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sse\Desktop\Invoice 2025\250601\"/>
    </mc:Choice>
  </mc:AlternateContent>
  <xr:revisionPtr revIDLastSave="0" documentId="13_ncr:1_{F4DDA219-B3EA-41CD-9DFD-9341ED50632C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Sales Master" sheetId="7" r:id="rId1"/>
    <sheet name="#04-33 Picking List" sheetId="152" r:id="rId2"/>
    <sheet name="04-22 Lyeheng" sheetId="154" r:id="rId3"/>
    <sheet name="好运 " sheetId="155" r:id="rId4"/>
    <sheet name="order list new" sheetId="213" r:id="rId5"/>
    <sheet name="sEFONG" sheetId="178" r:id="rId6"/>
    <sheet name="Ally" sheetId="29" r:id="rId7"/>
    <sheet name="BLK 248" sheetId="231" r:id="rId8"/>
    <sheet name="Yuan Yuan" sheetId="225" r:id="rId9"/>
    <sheet name="City Energy" sheetId="320" r:id="rId10"/>
    <sheet name="Sheet1" sheetId="321" r:id="rId11"/>
  </sheets>
  <definedNames>
    <definedName name="_xlnm._FilterDatabase" localSheetId="0" hidden="1">'Sales Master'!$A$2:$DA$377</definedName>
    <definedName name="_xlnm.Print_Area" localSheetId="1">'#04-33 Picking List'!$B$2:$R$28</definedName>
    <definedName name="_xlnm.Print_Area" localSheetId="2">'04-22 Lyeheng'!$B$2:$R$30</definedName>
    <definedName name="_xlnm.Print_Area" localSheetId="6">Ally!$B$1:$L$58</definedName>
    <definedName name="_xlnm.Print_Area" localSheetId="7">'BLK 248'!$A$2:$G$51</definedName>
    <definedName name="_xlnm.Print_Area" localSheetId="9">'City Energy'!$B$1:$L$46</definedName>
    <definedName name="_xlnm.Print_Area" localSheetId="4">'order list new'!$B$2:$R$41</definedName>
    <definedName name="_xlnm.Print_Area" localSheetId="0">'Sales Master'!$B$3:$DA$402</definedName>
    <definedName name="_xlnm.Print_Area" localSheetId="5">sEFONG!$B$5:$L$47</definedName>
    <definedName name="_xlnm.Print_Area" localSheetId="8">'Yuan Yuan'!$A$2:$O$26</definedName>
    <definedName name="_xlnm.Print_Area" localSheetId="3">'好运 '!$B$2:$R$37</definedName>
    <definedName name="_xlnm.Print_Titles" localSheetId="0">'Sales Master'!$2:$2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54" l="1"/>
  <c r="D31" i="154"/>
  <c r="C31" i="154"/>
  <c r="E30" i="154"/>
  <c r="D30" i="154"/>
  <c r="C30" i="154"/>
  <c r="E29" i="154"/>
  <c r="D29" i="154"/>
  <c r="C29" i="154"/>
  <c r="E15" i="155"/>
  <c r="D15" i="155"/>
  <c r="C15" i="155"/>
  <c r="E9" i="155"/>
  <c r="D9" i="155"/>
  <c r="C9" i="155"/>
  <c r="DA404" i="7"/>
  <c r="E36" i="155"/>
  <c r="D36" i="155"/>
  <c r="C36" i="155"/>
  <c r="E27" i="155"/>
  <c r="D27" i="155"/>
  <c r="C19" i="155"/>
  <c r="E11" i="155"/>
  <c r="D11" i="155"/>
  <c r="C11" i="155"/>
  <c r="E12" i="155"/>
  <c r="D12" i="155"/>
  <c r="C12" i="155"/>
  <c r="E14" i="155"/>
  <c r="D14" i="155"/>
  <c r="C14" i="155"/>
  <c r="E6" i="154"/>
  <c r="C6" i="154"/>
  <c r="E28" i="154"/>
  <c r="D28" i="154"/>
  <c r="C28" i="154"/>
  <c r="E16" i="154"/>
  <c r="C16" i="154"/>
  <c r="E28" i="152"/>
  <c r="D28" i="152"/>
  <c r="C28" i="152"/>
  <c r="E15" i="152"/>
  <c r="D15" i="152"/>
  <c r="C15" i="152"/>
  <c r="E17" i="152"/>
  <c r="D17" i="152"/>
  <c r="C17" i="152"/>
  <c r="E21" i="152"/>
  <c r="D21" i="152"/>
  <c r="C21" i="152"/>
  <c r="E19" i="152"/>
  <c r="D19" i="152"/>
  <c r="C19" i="152"/>
  <c r="DA336" i="7"/>
  <c r="DA388" i="7" l="1"/>
  <c r="DA257" i="7" l="1"/>
  <c r="DA225" i="7" l="1"/>
  <c r="H228" i="7" l="1"/>
  <c r="E9" i="154"/>
  <c r="C9" i="154"/>
  <c r="C7" i="154"/>
  <c r="H149" i="7" l="1"/>
  <c r="H155" i="7"/>
  <c r="H121" i="7"/>
  <c r="H120" i="7"/>
  <c r="H97" i="7"/>
  <c r="H98" i="7" s="1"/>
  <c r="H99" i="7" s="1"/>
  <c r="H27" i="7"/>
  <c r="H4" i="7" l="1"/>
  <c r="DA37" i="7"/>
  <c r="M34" i="320" l="1"/>
  <c r="L34" i="320"/>
  <c r="L35" i="320" l="1"/>
  <c r="L36" i="320" s="1"/>
  <c r="N34" i="320"/>
  <c r="L37" i="320" l="1"/>
  <c r="L38" i="320" s="1"/>
  <c r="DA216" i="7" l="1"/>
  <c r="DA64" i="7" l="1"/>
  <c r="DA66" i="7"/>
  <c r="DA69" i="7"/>
  <c r="DA68" i="7"/>
  <c r="DA73" i="7"/>
  <c r="DA76" i="7"/>
  <c r="DA80" i="7"/>
  <c r="DA87" i="7"/>
  <c r="DA102" i="7"/>
  <c r="DA101" i="7"/>
  <c r="DA113" i="7"/>
  <c r="DA111" i="7"/>
  <c r="DA120" i="7"/>
  <c r="DA121" i="7"/>
  <c r="DA126" i="7"/>
  <c r="DA135" i="7"/>
  <c r="DA139" i="7"/>
  <c r="DA159" i="7"/>
  <c r="DA209" i="7"/>
  <c r="DA213" i="7"/>
  <c r="DA228" i="7"/>
  <c r="DA227" i="7"/>
  <c r="DA226" i="7"/>
  <c r="DA236" i="7"/>
  <c r="DA235" i="7"/>
  <c r="DA234" i="7"/>
  <c r="DA233" i="7"/>
  <c r="DA232" i="7"/>
  <c r="DA231" i="7"/>
  <c r="DA230" i="7"/>
  <c r="DA253" i="7"/>
  <c r="DA297" i="7"/>
  <c r="DA318" i="7"/>
  <c r="DA320" i="7"/>
  <c r="DA324" i="7"/>
  <c r="DA351" i="7"/>
  <c r="DA356" i="7"/>
  <c r="DA359" i="7"/>
  <c r="DA373" i="7"/>
  <c r="DA375" i="7"/>
  <c r="DA383" i="7"/>
  <c r="DA382" i="7"/>
  <c r="H229" i="7"/>
  <c r="DA391" i="7" l="1"/>
  <c r="DA390" i="7"/>
  <c r="DA394" i="7"/>
  <c r="DA396" i="7"/>
  <c r="DA400" i="7"/>
  <c r="DA63" i="7"/>
  <c r="DA53" i="7"/>
  <c r="DA54" i="7"/>
  <c r="DA25" i="7"/>
  <c r="DA17" i="7"/>
  <c r="DA13" i="7"/>
  <c r="DA12" i="7"/>
  <c r="DA10" i="7"/>
  <c r="DA44" i="7" l="1"/>
  <c r="DA252" i="7"/>
  <c r="DA250" i="7"/>
  <c r="H145" i="7"/>
  <c r="H146" i="7" s="1"/>
  <c r="DA146" i="7" s="1"/>
  <c r="H112" i="7"/>
  <c r="DA112" i="7" s="1"/>
  <c r="DA26" i="7"/>
  <c r="DA27" i="7"/>
  <c r="DA23" i="7"/>
  <c r="DA22" i="7"/>
  <c r="DA21" i="7"/>
  <c r="DA403" i="7"/>
  <c r="H381" i="7"/>
  <c r="DA381" i="7" s="1"/>
  <c r="DA240" i="7"/>
  <c r="DA239" i="7"/>
  <c r="DA238" i="7"/>
  <c r="H237" i="7"/>
  <c r="DA237" i="7" s="1"/>
  <c r="DA99" i="7"/>
  <c r="DA98" i="7"/>
  <c r="DA97" i="7"/>
  <c r="DA96" i="7"/>
  <c r="DA92" i="7"/>
  <c r="H95" i="7"/>
  <c r="DA95" i="7" s="1"/>
  <c r="H94" i="7"/>
  <c r="DA94" i="7" s="1"/>
  <c r="H93" i="7"/>
  <c r="DA93" i="7" s="1"/>
  <c r="DA77" i="7"/>
  <c r="DA67" i="7"/>
  <c r="DA60" i="7"/>
  <c r="DA59" i="7"/>
  <c r="DA58" i="7"/>
  <c r="DA57" i="7"/>
  <c r="DA36" i="7"/>
  <c r="DA35" i="7"/>
  <c r="DA34" i="7"/>
  <c r="DA33" i="7"/>
  <c r="DA32" i="7"/>
  <c r="DA31" i="7"/>
  <c r="DA11" i="7"/>
  <c r="DA386" i="7"/>
  <c r="H380" i="7"/>
  <c r="DA380" i="7" s="1"/>
  <c r="DA389" i="7"/>
  <c r="DA387" i="7"/>
  <c r="DA374" i="7"/>
  <c r="H353" i="7"/>
  <c r="DA353" i="7" s="1"/>
  <c r="H345" i="7"/>
  <c r="DA345" i="7" s="1"/>
  <c r="DA335" i="7"/>
  <c r="DA327" i="7"/>
  <c r="DA315" i="7"/>
  <c r="DA311" i="7"/>
  <c r="DA310" i="7"/>
  <c r="DA309" i="7"/>
  <c r="DA308" i="7"/>
  <c r="DA301" i="7"/>
  <c r="DA298" i="7"/>
  <c r="H286" i="7"/>
  <c r="DA286" i="7" s="1"/>
  <c r="DA285" i="7"/>
  <c r="DA276" i="7"/>
  <c r="DA275" i="7"/>
  <c r="H274" i="7"/>
  <c r="DA274" i="7" s="1"/>
  <c r="H273" i="7"/>
  <c r="DA273" i="7" s="1"/>
  <c r="DA272" i="7"/>
  <c r="DA268" i="7"/>
  <c r="DA266" i="7"/>
  <c r="H269" i="7"/>
  <c r="DA269" i="7" s="1"/>
  <c r="H267" i="7"/>
  <c r="DA267" i="7" s="1"/>
  <c r="H263" i="7"/>
  <c r="DA263" i="7" s="1"/>
  <c r="DA262" i="7"/>
  <c r="H259" i="7"/>
  <c r="DA259" i="7" s="1"/>
  <c r="DA258" i="7"/>
  <c r="DA15" i="7"/>
  <c r="DA14" i="7"/>
  <c r="DA16" i="7"/>
  <c r="DA20" i="7"/>
  <c r="H8" i="7"/>
  <c r="DA8" i="7" s="1"/>
  <c r="DA9" i="7"/>
  <c r="H270" i="7"/>
  <c r="DA270" i="7" s="1"/>
  <c r="DA376" i="7"/>
  <c r="DA130" i="7"/>
  <c r="H107" i="7"/>
  <c r="DA107" i="7" s="1"/>
  <c r="H106" i="7"/>
  <c r="DA106" i="7" s="1"/>
  <c r="H105" i="7"/>
  <c r="DA105" i="7" s="1"/>
  <c r="H104" i="7"/>
  <c r="DA104" i="7" s="1"/>
  <c r="DA103" i="7"/>
  <c r="H379" i="7"/>
  <c r="DA379" i="7" s="1"/>
  <c r="H85" i="7"/>
  <c r="DA85" i="7" s="1"/>
  <c r="DA84" i="7"/>
  <c r="H83" i="7"/>
  <c r="DA83" i="7" s="1"/>
  <c r="H82" i="7"/>
  <c r="DA82" i="7" s="1"/>
  <c r="H81" i="7"/>
  <c r="DA81" i="7" s="1"/>
  <c r="DA128" i="7"/>
  <c r="DA75" i="7"/>
  <c r="DA56" i="7"/>
  <c r="DA55" i="7"/>
  <c r="DA319" i="7"/>
  <c r="DA229" i="7"/>
  <c r="H162" i="7"/>
  <c r="H153" i="7"/>
  <c r="DA201" i="7"/>
  <c r="H199" i="7"/>
  <c r="DA199" i="7" s="1"/>
  <c r="DA200" i="7"/>
  <c r="H196" i="7"/>
  <c r="H195" i="7"/>
  <c r="DA194" i="7"/>
  <c r="H192" i="7"/>
  <c r="H193" i="7" s="1"/>
  <c r="DA193" i="7" s="1"/>
  <c r="H191" i="7"/>
  <c r="DA191" i="7" s="1"/>
  <c r="DA190" i="7"/>
  <c r="DA203" i="7"/>
  <c r="H158" i="7"/>
  <c r="DA158" i="7" s="1"/>
  <c r="DA172" i="7"/>
  <c r="H177" i="7"/>
  <c r="DA177" i="7" s="1"/>
  <c r="H176" i="7"/>
  <c r="DA176" i="7" s="1"/>
  <c r="H175" i="7"/>
  <c r="DA175" i="7" s="1"/>
  <c r="H174" i="7"/>
  <c r="DA174" i="7" s="1"/>
  <c r="H173" i="7"/>
  <c r="DA173" i="7" s="1"/>
  <c r="DA307" i="7"/>
  <c r="DA264" i="7"/>
  <c r="H265" i="7"/>
  <c r="DA265" i="7" s="1"/>
  <c r="H119" i="7"/>
  <c r="DA119" i="7" s="1"/>
  <c r="DA118" i="7"/>
  <c r="DA117" i="7"/>
  <c r="DA116" i="7"/>
  <c r="DA24" i="7"/>
  <c r="DA144" i="7"/>
  <c r="DA18" i="7"/>
  <c r="DA217" i="7"/>
  <c r="H218" i="7"/>
  <c r="DA218" i="7" s="1"/>
  <c r="DA206" i="7"/>
  <c r="H261" i="7"/>
  <c r="DA261" i="7" s="1"/>
  <c r="DA260" i="7"/>
  <c r="H323" i="7"/>
  <c r="DA323" i="7" s="1"/>
  <c r="DA322" i="7"/>
  <c r="H321" i="7"/>
  <c r="DA321" i="7" s="1"/>
  <c r="DA198" i="7"/>
  <c r="H197" i="7"/>
  <c r="DA197" i="7" s="1"/>
  <c r="DA332" i="7"/>
  <c r="DA330" i="7"/>
  <c r="H256" i="7"/>
  <c r="DA256" i="7" s="1"/>
  <c r="H306" i="7"/>
  <c r="DA306" i="7" s="1"/>
  <c r="DA291" i="7"/>
  <c r="DA289" i="7"/>
  <c r="H288" i="7"/>
  <c r="DA288" i="7" s="1"/>
  <c r="DA287" i="7"/>
  <c r="DA347" i="7"/>
  <c r="H350" i="7"/>
  <c r="DA350" i="7" s="1"/>
  <c r="H349" i="7"/>
  <c r="DA349" i="7" s="1"/>
  <c r="H348" i="7"/>
  <c r="DA348" i="7" s="1"/>
  <c r="DA346" i="7"/>
  <c r="DA125" i="7"/>
  <c r="H115" i="7"/>
  <c r="DA115" i="7" s="1"/>
  <c r="DA114" i="7"/>
  <c r="H222" i="7"/>
  <c r="DA222" i="7" s="1"/>
  <c r="DA255" i="7"/>
  <c r="DA204" i="7"/>
  <c r="DA281" i="7"/>
  <c r="DA279" i="7"/>
  <c r="DA278" i="7"/>
  <c r="H88" i="7"/>
  <c r="DA88" i="7" s="1"/>
  <c r="H361" i="7"/>
  <c r="DA361" i="7" s="1"/>
  <c r="DA370" i="7"/>
  <c r="DA369" i="7"/>
  <c r="DA368" i="7"/>
  <c r="DA367" i="7"/>
  <c r="DA363" i="7"/>
  <c r="H364" i="7"/>
  <c r="DA364" i="7" s="1"/>
  <c r="H362" i="7"/>
  <c r="DA362" i="7" s="1"/>
  <c r="H358" i="7"/>
  <c r="DA358" i="7" s="1"/>
  <c r="DA357" i="7"/>
  <c r="H224" i="7"/>
  <c r="DA224" i="7" s="1"/>
  <c r="DA223" i="7"/>
  <c r="DA219" i="7"/>
  <c r="H220" i="7"/>
  <c r="DA220" i="7" s="1"/>
  <c r="H338" i="7"/>
  <c r="DA338" i="7" s="1"/>
  <c r="DA355" i="7"/>
  <c r="H342" i="7"/>
  <c r="DA342" i="7" s="1"/>
  <c r="DA343" i="7"/>
  <c r="H339" i="7"/>
  <c r="DA339" i="7" s="1"/>
  <c r="DA340" i="7"/>
  <c r="DA186" i="7"/>
  <c r="DA182" i="7"/>
  <c r="H184" i="7"/>
  <c r="DA184" i="7" s="1"/>
  <c r="H183" i="7"/>
  <c r="DA183" i="7" s="1"/>
  <c r="H180" i="7"/>
  <c r="H181" i="7" s="1"/>
  <c r="DA181" i="7" s="1"/>
  <c r="H179" i="7"/>
  <c r="DA179" i="7" s="1"/>
  <c r="DA178" i="7"/>
  <c r="DA62" i="7"/>
  <c r="DA61" i="7"/>
  <c r="H254" i="7"/>
  <c r="DA254" i="7" s="1"/>
  <c r="DA110" i="7"/>
  <c r="DA337" i="7"/>
  <c r="DA142" i="7"/>
  <c r="DA141" i="7"/>
  <c r="DA140" i="7"/>
  <c r="DA354" i="7"/>
  <c r="DA352" i="7"/>
  <c r="H215" i="7"/>
  <c r="DA215" i="7" s="1"/>
  <c r="DA214" i="7"/>
  <c r="DA283" i="7"/>
  <c r="H211" i="7"/>
  <c r="DA211" i="7" s="1"/>
  <c r="H210" i="7"/>
  <c r="DA210" i="7" s="1"/>
  <c r="DA187" i="7"/>
  <c r="H147" i="7"/>
  <c r="DA147" i="7" s="1"/>
  <c r="DA325" i="7"/>
  <c r="H165" i="7"/>
  <c r="DA165" i="7" s="1"/>
  <c r="DA299" i="7"/>
  <c r="DA296" i="7"/>
  <c r="H65" i="7"/>
  <c r="DA303" i="7"/>
  <c r="DA302" i="7"/>
  <c r="H371" i="7"/>
  <c r="DA371" i="7" s="1"/>
  <c r="H377" i="7"/>
  <c r="DA377" i="7" s="1"/>
  <c r="H366" i="7"/>
  <c r="DA366" i="7" s="1"/>
  <c r="H6" i="7"/>
  <c r="DA6" i="7" s="1"/>
  <c r="H341" i="7"/>
  <c r="DA341" i="7" s="1"/>
  <c r="H163" i="7" l="1"/>
  <c r="DA163" i="7" s="1"/>
  <c r="DA162" i="7"/>
  <c r="H221" i="7"/>
  <c r="DA221" i="7" s="1"/>
  <c r="DA145" i="7"/>
  <c r="H148" i="7"/>
  <c r="DA148" i="7" s="1"/>
  <c r="DA7" i="7"/>
  <c r="DA192" i="7"/>
  <c r="DA65" i="7"/>
  <c r="H185" i="7"/>
  <c r="DA185" i="7" s="1"/>
  <c r="DA149" i="7"/>
  <c r="DA180" i="7"/>
  <c r="H154" i="7"/>
  <c r="DA154" i="7" s="1"/>
  <c r="DA153" i="7"/>
  <c r="DA155" i="7"/>
  <c r="H150" i="7"/>
  <c r="DA150" i="7" s="1"/>
  <c r="H151" i="7"/>
  <c r="DA151" i="7" s="1"/>
  <c r="H156" i="7"/>
  <c r="DA156" i="7" s="1"/>
  <c r="H152" i="7"/>
  <c r="DA152" i="7" s="1"/>
  <c r="H157" i="7"/>
  <c r="DA157" i="7" s="1"/>
  <c r="DA3" i="7" l="1"/>
  <c r="DA4" i="7" l="1"/>
  <c r="H5" i="7"/>
  <c r="DA5" i="7" s="1"/>
  <c r="E10" i="155" l="1"/>
  <c r="E28" i="155"/>
  <c r="D28" i="155"/>
  <c r="C28" i="155"/>
  <c r="E7" i="155"/>
  <c r="D7" i="155"/>
  <c r="C7" i="155"/>
  <c r="E21" i="155"/>
  <c r="D21" i="155"/>
  <c r="C21" i="155"/>
  <c r="E24" i="155"/>
  <c r="C24" i="155"/>
  <c r="E6" i="155"/>
  <c r="D6" i="155"/>
  <c r="C6" i="155"/>
  <c r="E27" i="152"/>
  <c r="D27" i="152"/>
  <c r="C27" i="152"/>
  <c r="E26" i="152"/>
  <c r="D26" i="152"/>
  <c r="C26" i="152"/>
  <c r="E8" i="152"/>
  <c r="C8" i="152"/>
  <c r="I196" i="7" l="1"/>
  <c r="I174" i="7"/>
  <c r="I169" i="7"/>
  <c r="C27" i="155" l="1"/>
  <c r="E35" i="155" l="1"/>
  <c r="D35" i="155"/>
  <c r="C35" i="155"/>
  <c r="E16" i="155"/>
  <c r="D16" i="155"/>
  <c r="C16" i="155"/>
  <c r="E27" i="154"/>
  <c r="D27" i="154"/>
  <c r="C27" i="154"/>
  <c r="E26" i="154"/>
  <c r="D26" i="154"/>
  <c r="C26" i="154"/>
  <c r="E25" i="154"/>
  <c r="D25" i="154"/>
  <c r="C25" i="154"/>
  <c r="D24" i="154"/>
  <c r="C24" i="154"/>
  <c r="E23" i="154"/>
  <c r="D23" i="154"/>
  <c r="C23" i="154"/>
  <c r="E22" i="154"/>
  <c r="D22" i="154"/>
  <c r="C22" i="154"/>
  <c r="E21" i="154"/>
  <c r="D21" i="154"/>
  <c r="C21" i="154"/>
  <c r="E20" i="154"/>
  <c r="D20" i="154"/>
  <c r="C20" i="154"/>
  <c r="E19" i="154"/>
  <c r="D19" i="154"/>
  <c r="C19" i="154"/>
  <c r="E18" i="154"/>
  <c r="D18" i="154"/>
  <c r="C18" i="154"/>
  <c r="E17" i="154"/>
  <c r="C17" i="154"/>
  <c r="E15" i="154"/>
  <c r="D15" i="154"/>
  <c r="C15" i="154"/>
  <c r="E14" i="154"/>
  <c r="D14" i="154"/>
  <c r="C14" i="154"/>
  <c r="E13" i="154"/>
  <c r="D13" i="154"/>
  <c r="C13" i="154"/>
  <c r="E12" i="154"/>
  <c r="D12" i="154"/>
  <c r="C12" i="154"/>
  <c r="E11" i="154"/>
  <c r="D11" i="154"/>
  <c r="C11" i="154"/>
  <c r="E10" i="154"/>
  <c r="D10" i="154"/>
  <c r="C10" i="154"/>
  <c r="E8" i="154"/>
  <c r="C8" i="154"/>
  <c r="E5" i="154"/>
  <c r="C5" i="154"/>
  <c r="E22" i="152"/>
  <c r="D22" i="152"/>
  <c r="C22" i="152"/>
  <c r="E6" i="152"/>
  <c r="D6" i="152"/>
  <c r="C6" i="152"/>
  <c r="E9" i="152"/>
  <c r="D9" i="152"/>
  <c r="C9" i="152"/>
  <c r="E13" i="152"/>
  <c r="C13" i="152"/>
  <c r="E12" i="152"/>
  <c r="D12" i="152"/>
  <c r="C12" i="152"/>
  <c r="E7" i="152"/>
  <c r="D7" i="152"/>
  <c r="C7" i="152"/>
  <c r="AM189" i="7" l="1"/>
  <c r="H207" i="7" l="1"/>
  <c r="DA207" i="7" s="1"/>
  <c r="H78" i="7" l="1"/>
  <c r="DA78" i="7" s="1"/>
  <c r="H292" i="7" l="1"/>
  <c r="DA292" i="7" s="1"/>
  <c r="H290" i="7"/>
  <c r="DA290" i="7" s="1"/>
  <c r="X16" i="213" l="1"/>
  <c r="Y16" i="213" s="1"/>
  <c r="AA16" i="213" s="1"/>
  <c r="X15" i="213"/>
  <c r="X12" i="213"/>
  <c r="X11" i="213"/>
  <c r="Y11" i="213" s="1"/>
  <c r="AA11" i="213" s="1"/>
  <c r="X7" i="213"/>
  <c r="Y7" i="213" s="1"/>
  <c r="AA7" i="213" s="1"/>
  <c r="X6" i="213"/>
  <c r="Y6" i="213" s="1"/>
  <c r="AA6" i="213" s="1"/>
  <c r="X13" i="213" l="1"/>
  <c r="X8" i="213"/>
  <c r="AA8" i="213" s="1"/>
  <c r="X17" i="213"/>
  <c r="Y15" i="213"/>
  <c r="AA15" i="213" s="1"/>
  <c r="Y12" i="213"/>
  <c r="AA12" i="213" s="1"/>
  <c r="AA13" i="213" l="1"/>
  <c r="AA17" i="213"/>
  <c r="H248" i="7" l="1"/>
  <c r="DA248" i="7" s="1"/>
  <c r="H79" i="7" l="1"/>
  <c r="DA79" i="7" s="1"/>
  <c r="H166" i="7"/>
  <c r="H205" i="7"/>
  <c r="DA205" i="7" s="1"/>
  <c r="H188" i="7"/>
  <c r="H160" i="7"/>
  <c r="DA160" i="7" s="1"/>
  <c r="H189" i="7" l="1"/>
  <c r="DA189" i="7" s="1"/>
  <c r="DA188" i="7"/>
  <c r="H168" i="7"/>
  <c r="DA166" i="7"/>
  <c r="H167" i="7"/>
  <c r="DA167" i="7" s="1"/>
  <c r="DA196" i="7"/>
  <c r="DA195" i="7"/>
  <c r="H100" i="7"/>
  <c r="DA100" i="7" s="1"/>
  <c r="H284" i="7"/>
  <c r="DA284" i="7" s="1"/>
  <c r="H169" i="7" l="1"/>
  <c r="DA169" i="7" s="1"/>
  <c r="DA168" i="7"/>
  <c r="BX270" i="7" l="1"/>
  <c r="BX4" i="7"/>
  <c r="BX22" i="7"/>
  <c r="BX279" i="7"/>
  <c r="BX340" i="7"/>
  <c r="BX195" i="7"/>
  <c r="BX206" i="7"/>
  <c r="BX10" i="7"/>
  <c r="BX200" i="7"/>
  <c r="BX215" i="7"/>
  <c r="BX21" i="7"/>
  <c r="BX65" i="7"/>
  <c r="BX119" i="7"/>
  <c r="BX104" i="7"/>
  <c r="BX302" i="7"/>
  <c r="BX201" i="7"/>
  <c r="BX370" i="7"/>
  <c r="BX296" i="7"/>
  <c r="BX12" i="7"/>
  <c r="BX369" i="7"/>
  <c r="BX142" i="7"/>
  <c r="BX363" i="7"/>
  <c r="BX179" i="7"/>
  <c r="BS229" i="7" l="1"/>
  <c r="BS269" i="7"/>
  <c r="E16" i="152" l="1"/>
  <c r="D16" i="152"/>
  <c r="C16" i="152"/>
  <c r="BO131" i="7" l="1"/>
  <c r="BO129" i="7"/>
  <c r="E34" i="155" l="1"/>
  <c r="D34" i="155"/>
  <c r="C34" i="155"/>
  <c r="E30" i="155"/>
  <c r="D30" i="155"/>
  <c r="C30" i="155"/>
  <c r="E31" i="155"/>
  <c r="D31" i="155"/>
  <c r="C31" i="155"/>
  <c r="L15" i="178" l="1"/>
  <c r="L14" i="178"/>
  <c r="M35" i="178"/>
  <c r="L35" i="178" l="1"/>
  <c r="L36" i="178" s="1"/>
  <c r="L37" i="178" s="1"/>
  <c r="L39" i="178" l="1"/>
  <c r="E14" i="152" l="1"/>
  <c r="D14" i="152"/>
  <c r="C14" i="152"/>
  <c r="E18" i="155"/>
  <c r="D18" i="155"/>
  <c r="C18" i="155"/>
  <c r="E17" i="155"/>
  <c r="D17" i="155"/>
  <c r="C17" i="155"/>
  <c r="E26" i="155"/>
  <c r="D26" i="155"/>
  <c r="C26" i="155"/>
  <c r="H108" i="7" l="1"/>
  <c r="DA108" i="7" s="1"/>
  <c r="H402" i="7" l="1"/>
  <c r="H19" i="7"/>
  <c r="BC144" i="7" l="1"/>
  <c r="BA144" i="7"/>
  <c r="AZ144" i="7"/>
  <c r="AY144" i="7"/>
  <c r="AX144" i="7"/>
  <c r="AW144" i="7"/>
  <c r="AV144" i="7"/>
  <c r="AU144" i="7"/>
  <c r="AT144" i="7"/>
  <c r="AR144" i="7"/>
  <c r="AQ144" i="7"/>
  <c r="AP144" i="7"/>
  <c r="E29" i="155" l="1"/>
  <c r="D29" i="155"/>
  <c r="C29" i="155"/>
  <c r="E33" i="155"/>
  <c r="D33" i="155"/>
  <c r="C33" i="155"/>
  <c r="E32" i="155"/>
  <c r="D32" i="155"/>
  <c r="C32" i="155"/>
  <c r="D10" i="155"/>
  <c r="C10" i="155"/>
  <c r="E13" i="155"/>
  <c r="D13" i="155"/>
  <c r="C13" i="155"/>
  <c r="E20" i="155"/>
  <c r="D20" i="155"/>
  <c r="C20" i="155"/>
  <c r="E22" i="155"/>
  <c r="D22" i="155"/>
  <c r="C22" i="155"/>
  <c r="E8" i="155"/>
  <c r="D8" i="155"/>
  <c r="C8" i="155"/>
  <c r="E5" i="155"/>
  <c r="D5" i="155"/>
  <c r="C5" i="155"/>
  <c r="E25" i="155"/>
  <c r="D25" i="155"/>
  <c r="C25" i="155"/>
  <c r="E23" i="155"/>
  <c r="D23" i="155"/>
  <c r="C23" i="155"/>
  <c r="E25" i="152"/>
  <c r="D25" i="152"/>
  <c r="E11" i="152"/>
  <c r="D11" i="152"/>
  <c r="E10" i="152"/>
  <c r="D10" i="152"/>
  <c r="E23" i="152"/>
  <c r="D23" i="152"/>
  <c r="E24" i="152"/>
  <c r="D24" i="152"/>
  <c r="E5" i="152"/>
  <c r="D5" i="152"/>
  <c r="E18" i="152"/>
  <c r="D18" i="152"/>
  <c r="D20" i="152"/>
  <c r="E20" i="152"/>
  <c r="C25" i="152"/>
  <c r="C11" i="152"/>
  <c r="C10" i="152"/>
  <c r="C23" i="152"/>
  <c r="C24" i="152"/>
  <c r="C5" i="152"/>
  <c r="C18" i="152"/>
  <c r="C20" i="152"/>
  <c r="AN21" i="7" l="1"/>
  <c r="AM306" i="7" l="1"/>
  <c r="N148" i="7" l="1"/>
  <c r="N1" i="7"/>
  <c r="L307" i="7" l="1"/>
  <c r="J144" i="7" l="1"/>
  <c r="BX144" i="7" l="1"/>
  <c r="L15" i="29"/>
  <c r="L14" i="29"/>
  <c r="G15" i="29"/>
  <c r="L35" i="29" l="1"/>
  <c r="L37" i="29" s="1"/>
  <c r="L39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desse</author>
    <author>user</author>
  </authors>
  <commentList>
    <comment ref="S27" authorId="0" shapeId="0" xr:uid="{51A2058B-1CB7-4DAF-A933-87433AF5CD6E}">
      <text>
        <r>
          <rPr>
            <b/>
            <sz val="9"/>
            <color indexed="81"/>
            <rFont val="Tahoma"/>
            <family val="2"/>
          </rPr>
          <t>$6 before 1/11</t>
        </r>
      </text>
    </comment>
    <comment ref="I59" authorId="0" shapeId="0" xr:uid="{9E6D19BC-21B9-4514-86AD-9F6109E91CC0}">
      <text>
        <r>
          <rPr>
            <b/>
            <sz val="9"/>
            <color indexed="81"/>
            <rFont val="Tahoma"/>
            <family val="2"/>
          </rPr>
          <t xml:space="preserve">CHANGE ON 30 JUN
</t>
        </r>
      </text>
    </comment>
    <comment ref="O78" authorId="1" shapeId="0" xr:uid="{CA1C4CEE-A73E-4D0D-AE0B-D70128C2E57F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Q78" authorId="1" shapeId="0" xr:uid="{B021C631-84ED-4CDE-B64F-EDACA40CADC7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T78" authorId="1" shapeId="0" xr:uid="{A2433319-4C4A-452B-A242-FB58EF74134E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Z78" authorId="1" shapeId="0" xr:uid="{E7AD6346-D76F-4B06-823F-0F81864F4B5D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N115" authorId="0" shapeId="0" xr:uid="{AC353806-6935-44C2-A51E-4CC73608F6FE}">
      <text>
        <r>
          <rPr>
            <b/>
            <sz val="9"/>
            <color indexed="81"/>
            <rFont val="Tahoma"/>
            <family val="2"/>
          </rPr>
          <t>0.80</t>
        </r>
      </text>
    </comment>
    <comment ref="O115" authorId="0" shapeId="0" xr:uid="{C9C69FC1-366D-4DB5-BDCA-18B8D3D42243}">
      <text>
        <r>
          <rPr>
            <b/>
            <sz val="9"/>
            <color indexed="81"/>
            <rFont val="Tahoma"/>
            <family val="2"/>
          </rPr>
          <t>0.70</t>
        </r>
      </text>
    </comment>
    <comment ref="R115" authorId="0" shapeId="0" xr:uid="{002E4FFE-79F4-4DF1-9D48-D0BDC0E59B1C}">
      <text>
        <r>
          <rPr>
            <b/>
            <sz val="9"/>
            <color indexed="81"/>
            <rFont val="Tahoma"/>
            <family val="2"/>
          </rPr>
          <t>0.80</t>
        </r>
      </text>
    </comment>
    <comment ref="M125" authorId="0" shapeId="0" xr:uid="{B3095577-B118-4816-9032-7FA4CC9D1C53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increase from 22 to 24 effective 15/12/2021</t>
        </r>
      </text>
    </comment>
    <comment ref="M126" authorId="0" shapeId="0" xr:uid="{FCA04949-6027-4E9B-880E-1A2D989EFBB6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increase from 30 to $32 effective 15/12/2021</t>
        </r>
      </text>
    </comment>
    <comment ref="H147" authorId="0" shapeId="0" xr:uid="{D7E8930F-0740-4BC6-9CD9-5FFADF96717F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increase from 34 to 36 effective 1/12/2021
</t>
        </r>
      </text>
    </comment>
    <comment ref="O149" authorId="0" shapeId="0" xr:uid="{B528F4A1-EEBA-4CB9-887A-6500A98032C8}">
      <text>
        <r>
          <rPr>
            <b/>
            <sz val="9"/>
            <color indexed="81"/>
            <rFont val="Tahoma"/>
            <family val="2"/>
          </rPr>
          <t>东北</t>
        </r>
      </text>
    </comment>
    <comment ref="K172" authorId="0" shapeId="0" xr:uid="{20714F8A-6EEF-474B-997A-1496AD7E2E06}">
      <text>
        <r>
          <rPr>
            <b/>
            <sz val="9"/>
            <color indexed="81"/>
            <rFont val="Tahoma"/>
            <family val="2"/>
          </rPr>
          <t>$78 to be change on 15 June 2022
prev $75</t>
        </r>
      </text>
    </comment>
    <comment ref="R183" authorId="1" shapeId="0" xr:uid="{6FCBA645-1739-432B-B1AB-282783A441DB}">
      <text>
        <r>
          <rPr>
            <b/>
            <sz val="9"/>
            <color indexed="81"/>
            <rFont val="Tahoma"/>
            <family val="2"/>
          </rPr>
          <t>effective 18-11-2019</t>
        </r>
      </text>
    </comment>
    <comment ref="N218" authorId="0" shapeId="0" xr:uid="{1AC08202-BBC0-4BA1-B4C1-2A1D1ADF2649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O218" authorId="0" shapeId="0" xr:uid="{48017D37-E8B0-4035-A6E7-53B2AD963E13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P218" authorId="0" shapeId="0" xr:uid="{62F8E2B6-323A-4949-A02B-8DD7A9D180D5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R218" authorId="0" shapeId="0" xr:uid="{04D337F3-D9A2-4FB6-99CF-DB946183F824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AC218" authorId="0" shapeId="0" xr:uid="{DB09883B-8764-4889-A48B-D5617A511D77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AF218" authorId="0" shapeId="0" xr:uid="{8980A80F-53F8-4D72-8D25-0FC846D6B8A5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BZ218" authorId="0" shapeId="0" xr:uid="{D38729CB-9E46-487A-BB48-FC2C2B72515D}">
      <text>
        <r>
          <rPr>
            <b/>
            <sz val="9"/>
            <color indexed="81"/>
            <rFont val="Tahoma"/>
            <family val="2"/>
          </rPr>
          <t>3</t>
        </r>
      </text>
    </comment>
    <comment ref="AS270" authorId="1" shapeId="0" xr:uid="{EB8275A1-8403-4BB2-88BF-30C71A48DB98}">
      <text>
        <r>
          <rPr>
            <sz val="9"/>
            <color indexed="81"/>
            <rFont val="Tahoma"/>
            <family val="2"/>
          </rPr>
          <t xml:space="preserve">24-09 INV: 201909470 BLK 168 INCREASSE
</t>
        </r>
      </text>
    </comment>
    <comment ref="BB270" authorId="1" shapeId="0" xr:uid="{9523E6F9-2963-48BC-9FD0-58C919328D39}">
      <text>
        <r>
          <rPr>
            <sz val="9"/>
            <color indexed="81"/>
            <rFont val="Tahoma"/>
            <family val="2"/>
          </rPr>
          <t xml:space="preserve">24-09 INV: 201909470 BLK 168 INCREASSE
</t>
        </r>
      </text>
    </comment>
    <comment ref="BX270" authorId="1" shapeId="0" xr:uid="{F2E34449-E988-42B6-BC05-3A6AF925DAA9}">
      <text>
        <r>
          <rPr>
            <sz val="9"/>
            <color indexed="81"/>
            <rFont val="Tahoma"/>
            <family val="2"/>
          </rPr>
          <t xml:space="preserve">24-09 INV: 201909470 BLK 168 INCREASSE
</t>
        </r>
      </text>
    </comment>
    <comment ref="AA271" authorId="0" shapeId="0" xr:uid="{90200F0F-263C-4325-B810-758A8F2C27F5}">
      <text>
        <r>
          <rPr>
            <b/>
            <sz val="9"/>
            <color indexed="81"/>
            <rFont val="Tahoma"/>
            <family val="2"/>
          </rPr>
          <t>$26</t>
        </r>
      </text>
    </comment>
    <comment ref="I273" authorId="0" shapeId="0" xr:uid="{84A2FE76-016D-44FF-A439-9F8E024A9BED}">
      <text>
        <r>
          <rPr>
            <b/>
            <sz val="9"/>
            <color indexed="81"/>
            <rFont val="Tahoma"/>
            <family val="2"/>
          </rPr>
          <t>$18</t>
        </r>
      </text>
    </comment>
    <comment ref="I275" authorId="0" shapeId="0" xr:uid="{DDEF4E86-CA1F-4DD1-9989-9DA3A1FFA2FA}">
      <text>
        <r>
          <rPr>
            <b/>
            <sz val="9"/>
            <color indexed="81"/>
            <rFont val="Tahoma"/>
            <family val="2"/>
          </rPr>
          <t>To change back to Golden Champ after July in stock</t>
        </r>
      </text>
    </comment>
    <comment ref="U306" authorId="0" shapeId="0" xr:uid="{18C4FE15-4E9A-4A1E-AEAD-C6C381B95C7B}">
      <text>
        <r>
          <rPr>
            <b/>
            <sz val="9"/>
            <color indexed="81"/>
            <rFont val="Tahoma"/>
            <family val="2"/>
          </rPr>
          <t>38</t>
        </r>
      </text>
    </comment>
    <comment ref="DA324" authorId="0" shapeId="0" xr:uid="{7F648800-959D-4B5F-873B-14CF79109C6E}">
      <text>
        <r>
          <rPr>
            <b/>
            <sz val="9"/>
            <color indexed="81"/>
            <rFont val="Tahoma"/>
            <family val="2"/>
          </rPr>
          <t>mili: $20</t>
        </r>
      </text>
    </comment>
    <comment ref="DA332" authorId="0" shapeId="0" xr:uid="{E8395BD5-459E-4FCB-9E7F-2F58270B0DFF}">
      <text>
        <r>
          <rPr>
            <b/>
            <sz val="9"/>
            <color indexed="81"/>
            <rFont val="Tahoma"/>
            <family val="2"/>
          </rPr>
          <t>create on 26 May 2022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38" authorId="0" shapeId="0" xr:uid="{E3895B58-1A41-4227-BFFE-A9184A696BE0}">
      <text>
        <r>
          <rPr>
            <b/>
            <sz val="9"/>
            <color indexed="81"/>
            <rFont val="Tahoma"/>
            <family val="2"/>
          </rPr>
          <t>$6.6</t>
        </r>
      </text>
    </comment>
    <comment ref="V355" authorId="1" shapeId="0" xr:uid="{C17AABA4-BA30-443A-A7A3-3F3F2F5C89B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 June price increase to S$31</t>
        </r>
      </text>
    </comment>
    <comment ref="K359" authorId="0" shapeId="0" xr:uid="{0E8F6E2E-07E1-4BC6-B3D3-F48DA389C7CD}">
      <text>
        <r>
          <rPr>
            <b/>
            <sz val="9"/>
            <color indexed="81"/>
            <rFont val="Tahoma"/>
            <family val="2"/>
          </rPr>
          <t>$50 to be change on 15 June 2022
prev $42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5" authorId="0" shapeId="0" xr:uid="{90D8935E-E192-4A71-86F1-547720E71636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P12" authorId="0" shapeId="0" xr:uid="{069045F1-FDCE-477A-9283-5E38F7644291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P13" authorId="0" shapeId="0" xr:uid="{4CAEB4BC-1EBC-455B-A8C5-2A688A350FD6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P14" authorId="0" shapeId="0" xr:uid="{15BEC3FB-496C-4BEB-BE5C-19FCEF654F6F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33" authorId="0" shapeId="0" xr:uid="{4F094C6B-00ED-407B-BB13-44B457082FF2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9" authorId="0" shapeId="0" xr:uid="{785A103C-AACF-4968-8D4A-21FF82CCE93F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14" authorId="0" shapeId="0" xr:uid="{6D33A60D-4FCA-482D-BF8A-8D6ED3FF8171}">
      <text>
        <r>
          <rPr>
            <b/>
            <sz val="9"/>
            <color indexed="81"/>
            <rFont val="Tahoma"/>
            <family val="2"/>
          </rPr>
          <t>500 gmxs x 2</t>
        </r>
      </text>
    </comment>
  </commentList>
</comments>
</file>

<file path=xl/sharedStrings.xml><?xml version="1.0" encoding="utf-8"?>
<sst xmlns="http://schemas.openxmlformats.org/spreadsheetml/2006/main" count="3604" uniqueCount="1227">
  <si>
    <t>Product Code</t>
  </si>
  <si>
    <t>Description</t>
  </si>
  <si>
    <t>ITEM</t>
  </si>
  <si>
    <t>PRODUCT CODE</t>
  </si>
  <si>
    <t>DESCRIPTION</t>
  </si>
  <si>
    <t>QUANTITY</t>
  </si>
  <si>
    <t>UNIT PRICE</t>
  </si>
  <si>
    <t>AMOUNT (S$)</t>
  </si>
  <si>
    <t>Bill To:</t>
  </si>
  <si>
    <t>Delivery To:</t>
  </si>
  <si>
    <t>Date</t>
  </si>
  <si>
    <t>Terms</t>
  </si>
  <si>
    <t>Sales</t>
  </si>
  <si>
    <t>30 days</t>
  </si>
  <si>
    <t>Sub-Total</t>
  </si>
  <si>
    <t>SGD</t>
  </si>
  <si>
    <t>Add GST</t>
  </si>
  <si>
    <t>Good received in good order and condition</t>
  </si>
  <si>
    <t>Good sold are not returnable or refunable</t>
  </si>
  <si>
    <t>Cheques Payment should be crossed and made payable to : Dessert Origin Pte Ltd</t>
  </si>
  <si>
    <t>Total Current Bill</t>
  </si>
  <si>
    <t>Less Discount</t>
  </si>
  <si>
    <t>Total Amount Payable</t>
  </si>
  <si>
    <t xml:space="preserve">I-Banking account : 3583150135 </t>
  </si>
  <si>
    <t>Bank-Branch No : 7375-466</t>
  </si>
  <si>
    <t>Bank Name : United oversea Bank Limited</t>
  </si>
  <si>
    <t>COMPANY CHOP &amp; SIGNATURE</t>
  </si>
  <si>
    <t>Dessert Origin Pte Ltd</t>
  </si>
  <si>
    <t>Tax Invoice</t>
  </si>
  <si>
    <t>Currency</t>
  </si>
  <si>
    <t>Standard Pack</t>
  </si>
  <si>
    <t>UOM</t>
  </si>
  <si>
    <t>Box</t>
  </si>
  <si>
    <t>1 kg</t>
  </si>
  <si>
    <t>CTN</t>
  </si>
  <si>
    <t>-</t>
  </si>
  <si>
    <t>Kg</t>
  </si>
  <si>
    <t>Ctn</t>
  </si>
  <si>
    <t>1 box</t>
  </si>
  <si>
    <t>Pkt</t>
  </si>
  <si>
    <t>2 kgs</t>
  </si>
  <si>
    <t>Bag</t>
  </si>
  <si>
    <t>Bottle</t>
  </si>
  <si>
    <t>Chefs</t>
  </si>
  <si>
    <t>Can</t>
  </si>
  <si>
    <t>Coco</t>
  </si>
  <si>
    <t>Champ</t>
  </si>
  <si>
    <t>Statue</t>
  </si>
  <si>
    <t>statue</t>
  </si>
  <si>
    <t>500 gm</t>
  </si>
  <si>
    <t>PKT</t>
  </si>
  <si>
    <t>Rabbit Brand</t>
  </si>
  <si>
    <t>INDONESIA</t>
  </si>
  <si>
    <t>5 kgs</t>
  </si>
  <si>
    <t>Tukhmaria</t>
  </si>
  <si>
    <t>1kg</t>
  </si>
  <si>
    <t>AA</t>
  </si>
  <si>
    <t>Kara UHT</t>
  </si>
  <si>
    <t>Brand</t>
  </si>
  <si>
    <t>DO!</t>
  </si>
  <si>
    <t>INGCOD1019</t>
  </si>
  <si>
    <t>INGCOD1021</t>
  </si>
  <si>
    <t>10kgs/ctn</t>
  </si>
  <si>
    <t>INGCOD1052</t>
  </si>
  <si>
    <t>3KGS/PKT</t>
  </si>
  <si>
    <t>INGCOD1022</t>
  </si>
  <si>
    <t>5KGS/PKT</t>
  </si>
  <si>
    <t>INGCOD1027</t>
  </si>
  <si>
    <t>INGCOD1029</t>
  </si>
  <si>
    <t>3 KGS/PKT</t>
  </si>
  <si>
    <t>INGCOD1038</t>
  </si>
  <si>
    <t>10PKT/BAG</t>
  </si>
  <si>
    <t>INGCOD1048</t>
  </si>
  <si>
    <t>1 KG</t>
  </si>
  <si>
    <t>INGCOD1051</t>
  </si>
  <si>
    <t>INGCOD1060</t>
  </si>
  <si>
    <t>INGCOD1061</t>
  </si>
  <si>
    <t>INGCOD1016</t>
  </si>
  <si>
    <t>INGCOD1035</t>
  </si>
  <si>
    <t>INGCOD1033</t>
  </si>
  <si>
    <t>INGCOD1037</t>
  </si>
  <si>
    <t>INGCOD1041</t>
  </si>
  <si>
    <t>INGCOD1042</t>
  </si>
  <si>
    <t>INGCOD1043</t>
  </si>
  <si>
    <t>INGCOD1020</t>
  </si>
  <si>
    <t>INGCOD1050</t>
  </si>
  <si>
    <t>INGCOD1059</t>
  </si>
  <si>
    <t>INGCOOK266</t>
  </si>
  <si>
    <t>INGCOD1064</t>
  </si>
  <si>
    <t>INGCOD1055</t>
  </si>
  <si>
    <t>1 Can X A10</t>
  </si>
  <si>
    <t>INGCOD1066</t>
  </si>
  <si>
    <t>500 ML/BTL</t>
  </si>
  <si>
    <t>BL BRAND</t>
  </si>
  <si>
    <t>INGCOOK239</t>
  </si>
  <si>
    <t>Tin</t>
  </si>
  <si>
    <t>500 gms</t>
  </si>
  <si>
    <t>5 kg</t>
  </si>
  <si>
    <t>DO022</t>
  </si>
  <si>
    <t>INGCOD1031</t>
  </si>
  <si>
    <t>1 pc</t>
  </si>
  <si>
    <t>Pce</t>
  </si>
  <si>
    <t>INGCOD1024</t>
  </si>
  <si>
    <t>INGCOD1036</t>
  </si>
  <si>
    <t>INGCOD1039</t>
  </si>
  <si>
    <t>INGCOD1040</t>
  </si>
  <si>
    <t>INGCOD1049</t>
  </si>
  <si>
    <t>INGCOD1023</t>
  </si>
  <si>
    <t>INGCOD1017</t>
  </si>
  <si>
    <t>INGCOD1015</t>
  </si>
  <si>
    <t>INGCOD1034</t>
  </si>
  <si>
    <t>INGCOD1151</t>
  </si>
  <si>
    <t>INGCOOK240</t>
  </si>
  <si>
    <t>INGCOD1045</t>
  </si>
  <si>
    <t>INGCOD1004</t>
  </si>
  <si>
    <t>INGCOD1047</t>
  </si>
  <si>
    <t>INGCOD1032</t>
  </si>
  <si>
    <t>INGCOD1107</t>
  </si>
  <si>
    <t>BTL</t>
  </si>
  <si>
    <t>INGCOD1065</t>
  </si>
  <si>
    <t>1 Btl</t>
  </si>
  <si>
    <t>25 kgs/Bag</t>
  </si>
  <si>
    <t>Food Junction</t>
  </si>
  <si>
    <t>Koufu</t>
  </si>
  <si>
    <t>Rose</t>
  </si>
  <si>
    <t>ID#22</t>
  </si>
  <si>
    <t>ID#25</t>
  </si>
  <si>
    <t>PO No</t>
  </si>
  <si>
    <t>New Trends</t>
  </si>
  <si>
    <t>6 BOTTLE</t>
  </si>
  <si>
    <t>BOX</t>
  </si>
  <si>
    <t>Dessert Station</t>
  </si>
  <si>
    <t>DO076</t>
  </si>
  <si>
    <t>5 lt</t>
  </si>
  <si>
    <t>Almond No 1</t>
  </si>
  <si>
    <t>Mango</t>
  </si>
  <si>
    <t>Sin-ind</t>
  </si>
  <si>
    <t>Hershey's</t>
  </si>
  <si>
    <t>Yu Kee</t>
  </si>
  <si>
    <t>Btl</t>
  </si>
  <si>
    <t>ERWAN</t>
  </si>
  <si>
    <t>Tan Soon Mei</t>
  </si>
  <si>
    <t>3Q Jelly</t>
  </si>
  <si>
    <t xml:space="preserve">Tea Three </t>
  </si>
  <si>
    <t>Dessert First</t>
  </si>
  <si>
    <t>PKt</t>
  </si>
  <si>
    <t>Ally</t>
  </si>
  <si>
    <t>梅林</t>
  </si>
  <si>
    <t>甜甜</t>
  </si>
  <si>
    <t>TL</t>
  </si>
  <si>
    <t>丰</t>
  </si>
  <si>
    <t>20 kgs/tin</t>
  </si>
  <si>
    <t>2P</t>
  </si>
  <si>
    <t>Tub</t>
  </si>
  <si>
    <t>4 lt</t>
  </si>
  <si>
    <t>Drum</t>
  </si>
  <si>
    <t xml:space="preserve">Fresh Soursop 红毛榴莲 </t>
  </si>
  <si>
    <t>Fresh Soursop 红毛榴莲(无)</t>
  </si>
  <si>
    <t>Durian Puree 榴莲</t>
  </si>
  <si>
    <t>Mango Puree芒果</t>
  </si>
  <si>
    <t>Strawberry Puree草莓</t>
  </si>
  <si>
    <t>Guava Puree番石榴</t>
  </si>
  <si>
    <t>Q Ball Q圆</t>
  </si>
  <si>
    <t>Tadpole蝌蚪</t>
  </si>
  <si>
    <t>Honey Pearl - Black 蜜糖珍珠</t>
  </si>
  <si>
    <t>Tapioca木薯</t>
  </si>
  <si>
    <t>Chendol浆咯</t>
  </si>
  <si>
    <t>Chin Chow  仙 草</t>
  </si>
  <si>
    <t>Jelly Powder 文头雪粉</t>
  </si>
  <si>
    <t>Agar Powder菜燕粉</t>
  </si>
  <si>
    <t>Sea Coconut海底椰</t>
  </si>
  <si>
    <t>Longan in Syrup龙眼</t>
  </si>
  <si>
    <t>Lychee in Syrup荔枝</t>
  </si>
  <si>
    <t>Fruit Cocktail杂果</t>
  </si>
  <si>
    <t>Cream Corn玉米浆</t>
  </si>
  <si>
    <t>Whole Corn玉米粒</t>
  </si>
  <si>
    <t>Peach 桃畔</t>
  </si>
  <si>
    <t>Atap Seeds in Syrup亚嗒子</t>
  </si>
  <si>
    <t>Sweeten Melon Strip冬瓜条</t>
  </si>
  <si>
    <t>Coconut Sugar椰糖</t>
  </si>
  <si>
    <t>Sweet Potato Powder番薯粉</t>
  </si>
  <si>
    <t>Flavour Essence香精</t>
  </si>
  <si>
    <t>Tapioca Flour 茨粉</t>
  </si>
  <si>
    <t>Selaseh (Basil Seed) 青蛙蛋</t>
  </si>
  <si>
    <t>Red Bean红豆</t>
  </si>
  <si>
    <t>Chia Tao赤豆</t>
  </si>
  <si>
    <t>Green Bean 绿豆</t>
  </si>
  <si>
    <t>Split Green Mung Bean豆畔</t>
  </si>
  <si>
    <t>Black Glutinous Rice 黑糯米</t>
  </si>
  <si>
    <t>White Glutinous Rice白糯米</t>
  </si>
  <si>
    <t>White Wheat 大麦</t>
  </si>
  <si>
    <t>Pearl Barley 薏米</t>
  </si>
  <si>
    <t>Big Sago 大丸</t>
  </si>
  <si>
    <t>Small Sago 小丸</t>
  </si>
  <si>
    <t>Dried Longan 龙眼干</t>
  </si>
  <si>
    <t>Red Date 红枣</t>
  </si>
  <si>
    <t>Dried Persimmon 柿子</t>
  </si>
  <si>
    <t>Brown Sugar 黑糖</t>
  </si>
  <si>
    <t>Red Sugar 赤糖</t>
  </si>
  <si>
    <t>Fine Sugar 白糖</t>
  </si>
  <si>
    <t>Pong Thai Hai (Dry) 碰大海</t>
  </si>
  <si>
    <t>Pong Thai Hai (Wet) 碰大海</t>
  </si>
  <si>
    <t>Bean Curd Sheet 腐竹</t>
  </si>
  <si>
    <t>Potato Starch 风车粉</t>
  </si>
  <si>
    <t>Sweet Potato 番薯</t>
  </si>
  <si>
    <t>Yam 芋头</t>
  </si>
  <si>
    <t>Pandan Leaf 班兰叶</t>
  </si>
  <si>
    <t>Water Chestnut 马蹄</t>
  </si>
  <si>
    <t>Coconut Milk 椰浆</t>
  </si>
  <si>
    <t>Ginger 老姜</t>
  </si>
  <si>
    <t>Yu Tiao 油条</t>
  </si>
  <si>
    <t>Candy Sugar 片糖</t>
  </si>
  <si>
    <t>Fine Salt  幼盐</t>
  </si>
  <si>
    <t>Liquid Maltose 麦芽糖</t>
  </si>
  <si>
    <t>SALT 盐</t>
  </si>
  <si>
    <t>Sour Plum 酸梅</t>
  </si>
  <si>
    <t>Canned Red Bean 罐头 红豆</t>
  </si>
  <si>
    <t>Peanut 花生</t>
  </si>
  <si>
    <t>Colour Rice 七彩米</t>
  </si>
  <si>
    <t>CoCo Rice 可可米</t>
  </si>
  <si>
    <t>RICE FLOUR 粘米粉</t>
  </si>
  <si>
    <t>Water Chestnut Juice 马蹄水</t>
  </si>
  <si>
    <t>Calamansi Juice 酸柑水</t>
  </si>
  <si>
    <t>Sour Plum Juice 酸梅水</t>
  </si>
  <si>
    <t>Rose Juice 玫瑰水</t>
  </si>
  <si>
    <t>Passion Fruit Jam 百香果</t>
  </si>
  <si>
    <t>Green Apple Jam  青苹果</t>
  </si>
  <si>
    <t>Blueberry 蓝莓酱</t>
  </si>
  <si>
    <t>Agar Strip 菜燕条</t>
  </si>
  <si>
    <t>Butter 牛油</t>
  </si>
  <si>
    <t>Packing Method</t>
  </si>
  <si>
    <t>P035</t>
  </si>
  <si>
    <t>P057</t>
  </si>
  <si>
    <t>P059</t>
  </si>
  <si>
    <t>P062</t>
  </si>
  <si>
    <t>R017</t>
  </si>
  <si>
    <t>Nata De Coco椰果芊 0.5 x 0.5</t>
  </si>
  <si>
    <t>GingKo Nut白果罐</t>
  </si>
  <si>
    <t>GingKo Nut (Peel off)白果仁</t>
  </si>
  <si>
    <t>GingKo Nut白果粒</t>
  </si>
  <si>
    <t>Royal M</t>
  </si>
  <si>
    <t>1 Lt/BTL</t>
  </si>
  <si>
    <t>Orange</t>
  </si>
  <si>
    <t>Pineapple</t>
  </si>
  <si>
    <t>400gms x 50pkt/ctn</t>
  </si>
  <si>
    <t>20kgs/1 Tin</t>
  </si>
  <si>
    <t>Baked Beans茄汁豆</t>
  </si>
  <si>
    <t>Lime 酸甘</t>
  </si>
  <si>
    <t>Lime Juice 柠檬汁</t>
  </si>
  <si>
    <t>Zhu Fang Ruo (MRT)</t>
  </si>
  <si>
    <t>Indonesia</t>
  </si>
  <si>
    <t>Tong Shui Sweet Dessert</t>
  </si>
  <si>
    <t>Lotus Seed 莲子(无）</t>
  </si>
  <si>
    <t>Soon Soon Soon Food Holding</t>
  </si>
  <si>
    <t>Small Red Bean小红豆</t>
  </si>
  <si>
    <t>1 kgs</t>
  </si>
  <si>
    <t>2kgs</t>
  </si>
  <si>
    <t>Sour Plum 酸梅（无子）</t>
  </si>
  <si>
    <t>IN</t>
  </si>
  <si>
    <t>3 kgs</t>
  </si>
  <si>
    <t>6 kgs</t>
  </si>
  <si>
    <t>12.5 kgs</t>
  </si>
  <si>
    <t>Chilli 辣椒酱</t>
  </si>
  <si>
    <t>No 1</t>
  </si>
  <si>
    <t>Holland</t>
  </si>
  <si>
    <t>500/4000</t>
  </si>
  <si>
    <t>110088/5</t>
  </si>
  <si>
    <t>Food Coloring 颜色</t>
  </si>
  <si>
    <t>450 ML/BTL</t>
  </si>
  <si>
    <t>500 ml x12 BT/ Ctn</t>
  </si>
  <si>
    <t xml:space="preserve">3.3KG/Can </t>
  </si>
  <si>
    <t>KHS</t>
  </si>
  <si>
    <t>400 gms</t>
  </si>
  <si>
    <t>MiLi</t>
  </si>
  <si>
    <t>TH/Sw</t>
  </si>
  <si>
    <t>Windmill</t>
  </si>
  <si>
    <t>350 gm x 24 bag</t>
  </si>
  <si>
    <t>2552 Strawberry</t>
  </si>
  <si>
    <t>Honeydew</t>
  </si>
  <si>
    <t>Pandan (FKJ)</t>
  </si>
  <si>
    <t>Banana 23</t>
  </si>
  <si>
    <t>Peach</t>
  </si>
  <si>
    <t>Chin Chow powder 仙 草粉</t>
  </si>
  <si>
    <t>Mango Pudding Power 芒果布丁</t>
  </si>
  <si>
    <t>30gm/pkt x 10PKT</t>
  </si>
  <si>
    <t>Almond Power-White 杏仁粉</t>
  </si>
  <si>
    <t>Kidney Bean 大红豆 (美国）</t>
  </si>
  <si>
    <t>Star</t>
  </si>
  <si>
    <t>Food Coloring Powder  色粉</t>
  </si>
  <si>
    <t>Water Chestnut 马蹄 - Can</t>
  </si>
  <si>
    <t>3A</t>
  </si>
  <si>
    <t>Netual Cloudifier 白色精</t>
  </si>
  <si>
    <t>Cludly</t>
  </si>
  <si>
    <t>INGCOD1057</t>
  </si>
  <si>
    <t>INGCOD1141</t>
  </si>
  <si>
    <t>Quantity</t>
  </si>
  <si>
    <t>Wolfberry 枸杞子</t>
  </si>
  <si>
    <t>10 kgs/Ctn</t>
  </si>
  <si>
    <t>Red Bean红豆 (5.5 mm)</t>
  </si>
  <si>
    <t>FLS</t>
  </si>
  <si>
    <t>M027</t>
  </si>
  <si>
    <t>Red</t>
  </si>
  <si>
    <t>中</t>
  </si>
  <si>
    <t>Simei</t>
  </si>
  <si>
    <t>黄</t>
  </si>
  <si>
    <t>盒</t>
  </si>
  <si>
    <t>1 KGS/包</t>
  </si>
  <si>
    <t>Red/红</t>
  </si>
  <si>
    <t>Green/青</t>
  </si>
  <si>
    <t>Yellow/黄</t>
  </si>
  <si>
    <t xml:space="preserve">500gm/pkt </t>
  </si>
  <si>
    <t>4L/支</t>
  </si>
  <si>
    <t>Almond Power 杏仁粉 - Yelow</t>
  </si>
  <si>
    <t>PH</t>
  </si>
  <si>
    <t>150gm x 10 pkt</t>
  </si>
  <si>
    <t>(12g x 12pkt)/盒</t>
  </si>
  <si>
    <t>Black/黑</t>
  </si>
  <si>
    <t>Food Coloring - Liquid)颜色-水</t>
  </si>
  <si>
    <t>(500gm x 20Pkt)箱</t>
  </si>
  <si>
    <t>Full Cream Milk牛奶</t>
  </si>
  <si>
    <t>Marigold</t>
  </si>
  <si>
    <t>Carnation Milk淡奶水</t>
  </si>
  <si>
    <t>405gm/can/罐</t>
  </si>
  <si>
    <t>罐</t>
  </si>
  <si>
    <t>Dawn牛</t>
  </si>
  <si>
    <t>Coco Syrup 可可</t>
  </si>
  <si>
    <t xml:space="preserve">150g/pkt </t>
  </si>
  <si>
    <t>25 KGS</t>
  </si>
  <si>
    <t>SPH         #07-14</t>
  </si>
  <si>
    <t>Pure Milk 牛奶</t>
  </si>
  <si>
    <t>Cowhead</t>
  </si>
  <si>
    <t>(565gm x 12)/箱</t>
  </si>
  <si>
    <t>(567gm x 12)/箱</t>
  </si>
  <si>
    <t>(820gm x 12)/箱</t>
  </si>
  <si>
    <t>(425gm x 24)/箱</t>
  </si>
  <si>
    <t>(410gm x 24)/箱</t>
  </si>
  <si>
    <t>(397gm x 24)/箱</t>
  </si>
  <si>
    <t>12can/箱</t>
  </si>
  <si>
    <t>(567gm x 24)/箱</t>
  </si>
  <si>
    <t>(1L x 12bag)/箱</t>
  </si>
  <si>
    <t>(200gm x 30bag)/箱</t>
  </si>
  <si>
    <t>KAB Blk 15, #03-10</t>
  </si>
  <si>
    <t xml:space="preserve"> </t>
  </si>
  <si>
    <t>S. Marco Food Trading Blk 39, #05-27</t>
  </si>
  <si>
    <t>INGCOOK241</t>
  </si>
  <si>
    <t>HAWKER WAY PTE LTD  Blk 27 #06-16</t>
  </si>
  <si>
    <t>12.5KG/PKT X 2</t>
  </si>
  <si>
    <t>Aloe Vera芦荟 10mm</t>
  </si>
  <si>
    <t>Nata De Coco椰果芊 15mm</t>
  </si>
  <si>
    <t>Blk 85, Bedok #01-40</t>
  </si>
  <si>
    <t>HAO KOU WEI  16A</t>
  </si>
  <si>
    <t>Sin Yi Peng        #04-33</t>
  </si>
  <si>
    <t>INGCOD1054</t>
  </si>
  <si>
    <t>Asia Dessert Blk 3020, #02-125</t>
  </si>
  <si>
    <t>(500gm x 20Pkt)包</t>
  </si>
  <si>
    <t>1KG</t>
  </si>
  <si>
    <t>CODE</t>
  </si>
  <si>
    <t>PACKAGING METHOD</t>
  </si>
  <si>
    <t>Signature 取货者签名</t>
  </si>
  <si>
    <t>KOUFU 83</t>
  </si>
  <si>
    <t>Koufu West Mall</t>
  </si>
  <si>
    <t>Koufu 132</t>
  </si>
  <si>
    <t>Koufu 768 f &amp; S</t>
  </si>
  <si>
    <t>Koufu Bayfront (Fruit)</t>
  </si>
  <si>
    <t>F/man 飞人</t>
  </si>
  <si>
    <t>Koufu Novena Sq 2</t>
  </si>
  <si>
    <t>Koufu 681 Punggol</t>
  </si>
  <si>
    <t>Koufu 168 Punggol</t>
  </si>
  <si>
    <t>Koufu 180 Nanyang</t>
  </si>
  <si>
    <t>Koufu FUSIONOPOLIS WAY</t>
  </si>
  <si>
    <t>Koufu JEM DESSERT</t>
  </si>
  <si>
    <t>Koufu SENGKANG HOSPITAL</t>
  </si>
  <si>
    <t>Koufu Ngee Ann  (Fruit)</t>
  </si>
  <si>
    <t>Koufu Blk 267 Compassvale</t>
  </si>
  <si>
    <t>Koufu Bayfront (Dessert)</t>
  </si>
  <si>
    <t>690 Upper Changi #B3-02</t>
  </si>
  <si>
    <t>(600gm x 20Pkt)箱</t>
  </si>
  <si>
    <t>４缶／箱</t>
  </si>
  <si>
    <t>Golden Champ</t>
  </si>
  <si>
    <t>Country  Of Origin</t>
  </si>
  <si>
    <t>Singapore</t>
  </si>
  <si>
    <t>Blk 15 #03-50</t>
  </si>
  <si>
    <t>Vietnam</t>
  </si>
  <si>
    <t>150gm x 4pkt</t>
  </si>
  <si>
    <t>Blk 417 Yishun</t>
  </si>
  <si>
    <t>BUTTERFLY PEAS</t>
  </si>
  <si>
    <t>50 GMS</t>
  </si>
  <si>
    <t>BAG</t>
  </si>
  <si>
    <t>INGCOD1410</t>
  </si>
  <si>
    <t>6 Can X A10</t>
  </si>
  <si>
    <t>Fungus 黄木耳</t>
  </si>
  <si>
    <t>Fungus黄 木耳朵</t>
  </si>
  <si>
    <t>Herbal Jelly Powder</t>
  </si>
  <si>
    <t>500 GM/BAG</t>
  </si>
  <si>
    <t>5 KGS</t>
  </si>
  <si>
    <t>King &amp; King</t>
  </si>
  <si>
    <t>48 can/Box</t>
  </si>
  <si>
    <t>Whampoa blk 221B</t>
  </si>
  <si>
    <t>HollyWood blk 221B</t>
  </si>
  <si>
    <t>Ashley #02-48 91942898</t>
  </si>
  <si>
    <t>YiFong</t>
  </si>
  <si>
    <t>200 Turf Club</t>
  </si>
  <si>
    <t>Ivy Lim 50A</t>
  </si>
  <si>
    <t>25 kgs</t>
  </si>
  <si>
    <t>3 KGS</t>
  </si>
  <si>
    <t>HENG HENG FOOD SUPPLY</t>
  </si>
  <si>
    <t>200/ctn</t>
  </si>
  <si>
    <t>DO</t>
  </si>
  <si>
    <t>Earphone</t>
  </si>
  <si>
    <t>Chargetable lighter</t>
  </si>
  <si>
    <t>500/ctn</t>
  </si>
  <si>
    <t>AMOUNT (US$)</t>
  </si>
  <si>
    <t>US$</t>
  </si>
  <si>
    <t>30-10-2019</t>
  </si>
  <si>
    <t>PT Sefong Industries</t>
  </si>
  <si>
    <t>PT Sefong Industries Park Phase II Lot,4. Bata Ampar, Batam Island- Indonesia</t>
  </si>
  <si>
    <t>TSM</t>
  </si>
  <si>
    <t>462 Crawford</t>
  </si>
  <si>
    <t>10 Collyer Quay B1-10</t>
  </si>
  <si>
    <t>STEVEN</t>
  </si>
  <si>
    <t>500 GM</t>
  </si>
  <si>
    <t>500 GMS</t>
  </si>
  <si>
    <t>100 GMS</t>
  </si>
  <si>
    <t>BLK 642 #01-54</t>
  </si>
  <si>
    <t>80 GMS/PK</t>
  </si>
  <si>
    <t>Malaysia</t>
  </si>
  <si>
    <t>POLAR</t>
  </si>
  <si>
    <t>CHINA</t>
  </si>
  <si>
    <t>500 GMS/CAN</t>
  </si>
  <si>
    <t>THREE EAGLE</t>
  </si>
  <si>
    <t>400GM X 20</t>
  </si>
  <si>
    <t>1KG X 10</t>
  </si>
  <si>
    <t>生记</t>
  </si>
  <si>
    <t>2.5 kgs</t>
  </si>
  <si>
    <t>4 KGS</t>
  </si>
  <si>
    <t>5 KG</t>
  </si>
  <si>
    <t>3 KG</t>
  </si>
  <si>
    <t>2 kg</t>
  </si>
  <si>
    <t>SW Thailand</t>
  </si>
  <si>
    <t>Lemongrass Ginger Concentrate Juice 香茅姜汁</t>
  </si>
  <si>
    <t>Passion Fruit Concentrate Juice 百香果汁</t>
  </si>
  <si>
    <t>Citrus Plum Concentrate Juice 柑桔梅子汁</t>
  </si>
  <si>
    <t>SODA ASH DENSE 枧粉</t>
  </si>
  <si>
    <t>Golden Pearl -黄金 珍珠</t>
  </si>
  <si>
    <t>200:100</t>
  </si>
  <si>
    <t>Magic Pop Ball - Mango</t>
  </si>
  <si>
    <t>Magic Pop Ball - Strawberry</t>
  </si>
  <si>
    <t>Taiwan</t>
  </si>
  <si>
    <t>Magic Pop Ball - Lychee</t>
  </si>
  <si>
    <t>Tapioca Q - Green-木薯粉圆</t>
  </si>
  <si>
    <t>1k/BOX</t>
  </si>
  <si>
    <t>02-124</t>
  </si>
  <si>
    <t>42gm x 10PKT/Bag</t>
  </si>
  <si>
    <t>(565gm x 6)/箱</t>
  </si>
  <si>
    <t>1 kg/Bag</t>
  </si>
  <si>
    <t>4 KGS/Tub</t>
  </si>
  <si>
    <t>48 can/Ctn</t>
  </si>
  <si>
    <t>405 gm x48 can/Ctn</t>
  </si>
  <si>
    <t>380 gm x 48 can/Ctn</t>
  </si>
  <si>
    <t>Sugari</t>
  </si>
  <si>
    <t>1Lt x 12 Pkt/Ctn</t>
  </si>
  <si>
    <t>China</t>
  </si>
  <si>
    <t>Japan</t>
  </si>
  <si>
    <t>Thailand</t>
  </si>
  <si>
    <t>Joy</t>
  </si>
  <si>
    <t>Aust</t>
  </si>
  <si>
    <t>Kiwi Syrup 奇异果</t>
  </si>
  <si>
    <t>Avocado 鳄梨酱</t>
  </si>
  <si>
    <t>Coconut Sugar Syrup 椰糖浆</t>
  </si>
  <si>
    <t>Bobo ChaCha Cubes 摩摩喳喳</t>
  </si>
  <si>
    <t>Chin Chow  仙草</t>
  </si>
  <si>
    <t>Chin Chow powder 仙草粉</t>
  </si>
  <si>
    <t>Rock Sugar冰糖</t>
  </si>
  <si>
    <t>Dried Orange Peel 陈皮</t>
  </si>
  <si>
    <t>Zeemart</t>
  </si>
  <si>
    <t>P056-9</t>
  </si>
  <si>
    <t>9 MM</t>
  </si>
  <si>
    <t>COD</t>
  </si>
  <si>
    <t>QTY</t>
  </si>
  <si>
    <t>SIGN</t>
  </si>
  <si>
    <t>STANDARD PACK</t>
  </si>
  <si>
    <t>BRAND</t>
  </si>
  <si>
    <t>15 KGS</t>
  </si>
  <si>
    <t>YAM PASTE</t>
  </si>
  <si>
    <t>#01-173   KYS</t>
  </si>
  <si>
    <t>1 CAN</t>
  </si>
  <si>
    <t>NW (2.1:0.9) 3 kgs</t>
  </si>
  <si>
    <t>INGSUGR017</t>
  </si>
  <si>
    <t>CARTON</t>
  </si>
  <si>
    <t>640 Yishun BB Tea</t>
  </si>
  <si>
    <t>Honey Pearl - GOLDEN 蜜糖珍珠</t>
  </si>
  <si>
    <t>43 gms x 10PKT/Bag</t>
  </si>
  <si>
    <t>70 gms x 10pkt</t>
  </si>
  <si>
    <t>140 gms x 10 pkt</t>
  </si>
  <si>
    <t>500gm/pkt X 50</t>
  </si>
  <si>
    <t>500 GM X 2</t>
  </si>
  <si>
    <t>Polar Mineral Water</t>
  </si>
  <si>
    <t>CAFE 107</t>
  </si>
  <si>
    <t>600ML/24BTL</t>
  </si>
  <si>
    <t>600 gms/20bag</t>
  </si>
  <si>
    <t>SUN KEE</t>
  </si>
  <si>
    <t>400 GMS</t>
  </si>
  <si>
    <t>Circle in the box</t>
  </si>
  <si>
    <t>800 gms</t>
  </si>
  <si>
    <t>gm</t>
  </si>
  <si>
    <t>Evaporated Creamer 淡奶水</t>
  </si>
  <si>
    <t>Carnation Milk三花淡奶水</t>
  </si>
  <si>
    <t>Threeflower</t>
  </si>
  <si>
    <t xml:space="preserve">Premium Natural Honey </t>
  </si>
  <si>
    <t>Busy</t>
  </si>
  <si>
    <t>(1 kg x 12)/1 carton</t>
  </si>
  <si>
    <t>PURPLE Sweet Potato 番薯</t>
  </si>
  <si>
    <t>YAMMIE  (MRT)</t>
  </si>
  <si>
    <t>M1001</t>
  </si>
  <si>
    <t>M1001A</t>
  </si>
  <si>
    <t>M1001B</t>
  </si>
  <si>
    <t>5 KGS/TUB</t>
  </si>
  <si>
    <t>5 KGSPKT</t>
  </si>
  <si>
    <t>M1002</t>
  </si>
  <si>
    <t>M1002A</t>
  </si>
  <si>
    <t>M1003</t>
  </si>
  <si>
    <t>M1004</t>
  </si>
  <si>
    <t>M1005</t>
  </si>
  <si>
    <t>M1006</t>
  </si>
  <si>
    <t>M1007</t>
  </si>
  <si>
    <t>M1008</t>
  </si>
  <si>
    <t>M1009</t>
  </si>
  <si>
    <t>M1010</t>
  </si>
  <si>
    <t>M1011</t>
  </si>
  <si>
    <t>M1012</t>
  </si>
  <si>
    <t>M1013</t>
  </si>
  <si>
    <t>M1014</t>
  </si>
  <si>
    <t>M1015</t>
  </si>
  <si>
    <t>M1016</t>
  </si>
  <si>
    <t>M1017</t>
  </si>
  <si>
    <t>M1018</t>
  </si>
  <si>
    <t>M1019</t>
  </si>
  <si>
    <t>RICE BALL (PINK-PEANUT 花生)</t>
  </si>
  <si>
    <t>TYC</t>
  </si>
  <si>
    <t>15 PIECES/PKT</t>
  </si>
  <si>
    <t>M1020</t>
  </si>
  <si>
    <t>RICE BALL (WHITE - SESAME 芝麻)</t>
  </si>
  <si>
    <t>M1021</t>
  </si>
  <si>
    <t>RICE BALL (WHITE - RED BEAN 红豆)</t>
  </si>
  <si>
    <t>M1022</t>
  </si>
  <si>
    <t>M1023</t>
  </si>
  <si>
    <t>M1024</t>
  </si>
  <si>
    <t>M1025</t>
  </si>
  <si>
    <t>M1026</t>
  </si>
  <si>
    <t>M1027</t>
  </si>
  <si>
    <t>M1028</t>
  </si>
  <si>
    <t>M1029</t>
  </si>
  <si>
    <t>P1001</t>
  </si>
  <si>
    <t>P1001A</t>
  </si>
  <si>
    <t>4 KGS X Tub</t>
  </si>
  <si>
    <t>P1002</t>
  </si>
  <si>
    <t>P1003</t>
  </si>
  <si>
    <t>P1004</t>
  </si>
  <si>
    <t>P1005</t>
  </si>
  <si>
    <t>P1006</t>
  </si>
  <si>
    <t>P1007</t>
  </si>
  <si>
    <t>P1008</t>
  </si>
  <si>
    <t>3.2 KG/TUB</t>
  </si>
  <si>
    <t>P1008A</t>
  </si>
  <si>
    <t>P1006A</t>
  </si>
  <si>
    <t>P1007A</t>
  </si>
  <si>
    <t>P2001</t>
  </si>
  <si>
    <t>P2001A</t>
  </si>
  <si>
    <t>P2001B</t>
  </si>
  <si>
    <t>500 GM X 20PKT</t>
  </si>
  <si>
    <t>P2002</t>
  </si>
  <si>
    <t>P2002A</t>
  </si>
  <si>
    <t>P2002B</t>
  </si>
  <si>
    <t>Almond Powder - 杏仁粉- Yellow- Jelly A</t>
  </si>
  <si>
    <t>P2003</t>
  </si>
  <si>
    <t>P2003A</t>
  </si>
  <si>
    <t>P2004</t>
  </si>
  <si>
    <t>20BOX/CARTON</t>
  </si>
  <si>
    <t>P2004A</t>
  </si>
  <si>
    <t>P2005</t>
  </si>
  <si>
    <t>P2006</t>
  </si>
  <si>
    <t>`</t>
  </si>
  <si>
    <t>6BOX X (5PKT X 200GM)</t>
  </si>
  <si>
    <t>P2006A</t>
  </si>
  <si>
    <t>10PKT X 200 GM/BAG</t>
  </si>
  <si>
    <t>P2006B</t>
  </si>
  <si>
    <t>200 GM</t>
  </si>
  <si>
    <t>P2007</t>
  </si>
  <si>
    <t>P2007A</t>
  </si>
  <si>
    <t>P2007B</t>
  </si>
  <si>
    <t>P2008</t>
  </si>
  <si>
    <t>P2008A</t>
  </si>
  <si>
    <t>P2008B</t>
  </si>
  <si>
    <t>BOTTLE</t>
  </si>
  <si>
    <t>TUE</t>
  </si>
  <si>
    <t>P2009</t>
  </si>
  <si>
    <t>P2010</t>
  </si>
  <si>
    <t>P2010A</t>
  </si>
  <si>
    <t>NESTLE COFFEEMATE</t>
  </si>
  <si>
    <t>NESTLE</t>
  </si>
  <si>
    <t>12 KGS/CARTON</t>
  </si>
  <si>
    <t>1 KG/PKT</t>
  </si>
  <si>
    <t>P2011</t>
  </si>
  <si>
    <t>P2011A</t>
  </si>
  <si>
    <t>RE-PACK</t>
  </si>
  <si>
    <t>P2011B</t>
  </si>
  <si>
    <t>P2011C</t>
  </si>
  <si>
    <t>P2012</t>
  </si>
  <si>
    <t>P2012A</t>
  </si>
  <si>
    <t>P2013</t>
  </si>
  <si>
    <t>P2014</t>
  </si>
  <si>
    <t>GREEN MUNG BEAN STARCH</t>
  </si>
  <si>
    <t>P2014A</t>
  </si>
  <si>
    <t>P2015</t>
  </si>
  <si>
    <t>P2016</t>
  </si>
  <si>
    <t>P2016A</t>
  </si>
  <si>
    <t>P2017</t>
  </si>
  <si>
    <t>P2018</t>
  </si>
  <si>
    <t>WORLDWIDE</t>
  </si>
  <si>
    <t>P2019</t>
  </si>
  <si>
    <t>P2019A</t>
  </si>
  <si>
    <t>P2020</t>
  </si>
  <si>
    <t>Wheat Starch 澄面粉</t>
  </si>
  <si>
    <t>P2020A</t>
  </si>
  <si>
    <t>500 gm x 10</t>
  </si>
  <si>
    <t>P2021</t>
  </si>
  <si>
    <t>P2022</t>
  </si>
  <si>
    <t>P2023</t>
  </si>
  <si>
    <t>P2024</t>
  </si>
  <si>
    <t>P2025</t>
  </si>
  <si>
    <t>P2026</t>
  </si>
  <si>
    <t>P2027</t>
  </si>
  <si>
    <t>P2028</t>
  </si>
  <si>
    <t>TAIWAN</t>
  </si>
  <si>
    <t>P3001</t>
  </si>
  <si>
    <t>P3001A</t>
  </si>
  <si>
    <t>P3001B</t>
  </si>
  <si>
    <t>P3001C</t>
  </si>
  <si>
    <t>P3002</t>
  </si>
  <si>
    <t>P3003</t>
  </si>
  <si>
    <t>P3004</t>
  </si>
  <si>
    <t>P3004A</t>
  </si>
  <si>
    <t>1 kg (2 X 500GM)</t>
  </si>
  <si>
    <t>P3005</t>
  </si>
  <si>
    <t>P3005A</t>
  </si>
  <si>
    <t>P3005B</t>
  </si>
  <si>
    <t>P3005C</t>
  </si>
  <si>
    <t>P3005D</t>
  </si>
  <si>
    <t>P3006</t>
  </si>
  <si>
    <t>P3006A</t>
  </si>
  <si>
    <t>P3006B</t>
  </si>
  <si>
    <t>P3007</t>
  </si>
  <si>
    <t>P3007A</t>
  </si>
  <si>
    <t>P3008</t>
  </si>
  <si>
    <t>P3008A</t>
  </si>
  <si>
    <t>P3008B</t>
  </si>
  <si>
    <t>P3009</t>
  </si>
  <si>
    <t>P3009A</t>
  </si>
  <si>
    <t>P3009B</t>
  </si>
  <si>
    <t>P3009C</t>
  </si>
  <si>
    <t>P3010</t>
  </si>
  <si>
    <t>SOYABEAN</t>
  </si>
  <si>
    <t>P3011</t>
  </si>
  <si>
    <t>BLACK BEAN</t>
  </si>
  <si>
    <t>P3012</t>
  </si>
  <si>
    <t>P3012A</t>
  </si>
  <si>
    <t>P3012B</t>
  </si>
  <si>
    <t>P3012C</t>
  </si>
  <si>
    <t>P3012D</t>
  </si>
  <si>
    <t>P3012E</t>
  </si>
  <si>
    <t>P3013</t>
  </si>
  <si>
    <t>P3013A</t>
  </si>
  <si>
    <t>P3013B</t>
  </si>
  <si>
    <t>P3013C</t>
  </si>
  <si>
    <t>P3014</t>
  </si>
  <si>
    <t>P3014A</t>
  </si>
  <si>
    <t>P3014B</t>
  </si>
  <si>
    <t>P3014C</t>
  </si>
  <si>
    <t>P3015</t>
  </si>
  <si>
    <t>P3016</t>
  </si>
  <si>
    <t>P3016A</t>
  </si>
  <si>
    <t>P3016B</t>
  </si>
  <si>
    <t>P3017</t>
  </si>
  <si>
    <t>P3017A</t>
  </si>
  <si>
    <t>P3017B</t>
  </si>
  <si>
    <t>P3017C</t>
  </si>
  <si>
    <t>P3018</t>
  </si>
  <si>
    <t>P3018A</t>
  </si>
  <si>
    <t>P3018B</t>
  </si>
  <si>
    <t>P3019</t>
  </si>
  <si>
    <t>P3019A</t>
  </si>
  <si>
    <t>P3020</t>
  </si>
  <si>
    <t>10 KGS</t>
  </si>
  <si>
    <t>P3020A</t>
  </si>
  <si>
    <t>P3021</t>
  </si>
  <si>
    <t>P3022</t>
  </si>
  <si>
    <t>P3023</t>
  </si>
  <si>
    <t>P3024</t>
  </si>
  <si>
    <t>P3024A</t>
  </si>
  <si>
    <t>P3025</t>
  </si>
  <si>
    <t>P3025A</t>
  </si>
  <si>
    <t>P3026</t>
  </si>
  <si>
    <t>P3027</t>
  </si>
  <si>
    <t>P3028</t>
  </si>
  <si>
    <t>Chrysanthemum 菊花</t>
  </si>
  <si>
    <t>P3029</t>
  </si>
  <si>
    <t>P3030</t>
  </si>
  <si>
    <t>150g X 60PKTS</t>
  </si>
  <si>
    <t>P3030A</t>
  </si>
  <si>
    <t>150g/pkt X 40 PKTS</t>
  </si>
  <si>
    <t>P3031</t>
  </si>
  <si>
    <t>P3031A</t>
  </si>
  <si>
    <t>P3032</t>
  </si>
  <si>
    <t>3KGS X 10 PKTS</t>
  </si>
  <si>
    <t>P3032A</t>
  </si>
  <si>
    <t>P3033</t>
  </si>
  <si>
    <t>P3034</t>
  </si>
  <si>
    <t>P3034A</t>
  </si>
  <si>
    <t>P3035</t>
  </si>
  <si>
    <t>P3036</t>
  </si>
  <si>
    <t>P3037</t>
  </si>
  <si>
    <t>P3038</t>
  </si>
  <si>
    <t>P3039</t>
  </si>
  <si>
    <t>P3040</t>
  </si>
  <si>
    <t>P3041</t>
  </si>
  <si>
    <t>PACKED TOMATO SAUCE</t>
  </si>
  <si>
    <t>P3042</t>
  </si>
  <si>
    <t>P3043</t>
  </si>
  <si>
    <t>P3044</t>
  </si>
  <si>
    <t>P3045</t>
  </si>
  <si>
    <t>P3046</t>
  </si>
  <si>
    <t>P3047</t>
  </si>
  <si>
    <t>Liquorice 甘草</t>
  </si>
  <si>
    <t>P3048</t>
  </si>
  <si>
    <t>Ginseng 人参</t>
  </si>
  <si>
    <t>P3049</t>
  </si>
  <si>
    <t>Honeysuckle 金银花</t>
  </si>
  <si>
    <t>P3050</t>
  </si>
  <si>
    <t>Fritillary 川贝</t>
  </si>
  <si>
    <t>P3051</t>
  </si>
  <si>
    <t>Sweet Almond 南杏</t>
  </si>
  <si>
    <t>P3052</t>
  </si>
  <si>
    <t>Bitter Almond 北杏</t>
  </si>
  <si>
    <t>P3053</t>
  </si>
  <si>
    <t>Black Date 黑枣</t>
  </si>
  <si>
    <t>P3054</t>
  </si>
  <si>
    <t>China Barley 中国薏米</t>
  </si>
  <si>
    <t>P3055</t>
  </si>
  <si>
    <t>Smoke Plum 乌梅</t>
  </si>
  <si>
    <t>P3056</t>
  </si>
  <si>
    <t>Premium Figs 无花果</t>
  </si>
  <si>
    <t>P3057</t>
  </si>
  <si>
    <t>Flatted Orange 橘饼</t>
  </si>
  <si>
    <t>P3058</t>
  </si>
  <si>
    <t>Wheatgrass 小麦草</t>
  </si>
  <si>
    <t>P4001</t>
  </si>
  <si>
    <t>P4001A</t>
  </si>
  <si>
    <t>P4002</t>
  </si>
  <si>
    <t>P4002A</t>
  </si>
  <si>
    <t>CAN</t>
  </si>
  <si>
    <t>P4003</t>
  </si>
  <si>
    <t>P4003A</t>
  </si>
  <si>
    <t>P4004</t>
  </si>
  <si>
    <t>P4004A</t>
  </si>
  <si>
    <t>P4005</t>
  </si>
  <si>
    <t>P4005A</t>
  </si>
  <si>
    <t>P4006</t>
  </si>
  <si>
    <t>P4006A</t>
  </si>
  <si>
    <t>P4007</t>
  </si>
  <si>
    <t>P4008</t>
  </si>
  <si>
    <t>P4009</t>
  </si>
  <si>
    <t>P4009A</t>
  </si>
  <si>
    <t>P4009B</t>
  </si>
  <si>
    <t>567 GM/CAN</t>
  </si>
  <si>
    <t>P4010</t>
  </si>
  <si>
    <t>P4011</t>
  </si>
  <si>
    <t>P4012</t>
  </si>
  <si>
    <t>P4013</t>
  </si>
  <si>
    <t>P4014</t>
  </si>
  <si>
    <t>P4014A</t>
  </si>
  <si>
    <t>425 GM/CAN</t>
  </si>
  <si>
    <t>P4015</t>
  </si>
  <si>
    <t>P4015A</t>
  </si>
  <si>
    <t>P4016</t>
  </si>
  <si>
    <t>P4016A</t>
  </si>
  <si>
    <t>3.3KG X 6</t>
  </si>
  <si>
    <t>TUB</t>
  </si>
  <si>
    <t>P4018</t>
  </si>
  <si>
    <t>P4018A</t>
  </si>
  <si>
    <t>P4019</t>
  </si>
  <si>
    <t>P4019A</t>
  </si>
  <si>
    <t>Sweetened Creamer 练奶</t>
  </si>
  <si>
    <t>P4020</t>
  </si>
  <si>
    <t>P4020A</t>
  </si>
  <si>
    <t>380GM/CAN</t>
  </si>
  <si>
    <t>P4021</t>
  </si>
  <si>
    <t>P4022</t>
  </si>
  <si>
    <t>P4023</t>
  </si>
  <si>
    <t>P4024</t>
  </si>
  <si>
    <t>P4025</t>
  </si>
  <si>
    <t>Peaches Halves 桃畔</t>
  </si>
  <si>
    <t>South Africa</t>
  </si>
  <si>
    <t>Hosen</t>
  </si>
  <si>
    <t>12can x 825G/Carton</t>
  </si>
  <si>
    <t>P4026</t>
  </si>
  <si>
    <t>P4027</t>
  </si>
  <si>
    <t>P4028</t>
  </si>
  <si>
    <t>P4029</t>
  </si>
  <si>
    <t>P4030</t>
  </si>
  <si>
    <t>P4030A</t>
  </si>
  <si>
    <t>P4031</t>
  </si>
  <si>
    <t>P4032</t>
  </si>
  <si>
    <t>P4033</t>
  </si>
  <si>
    <t>P4034</t>
  </si>
  <si>
    <t>P4035</t>
  </si>
  <si>
    <t>P4036</t>
  </si>
  <si>
    <t>P4037</t>
  </si>
  <si>
    <t>P4038</t>
  </si>
  <si>
    <t>P4039</t>
  </si>
  <si>
    <t>P4040</t>
  </si>
  <si>
    <t>P4041</t>
  </si>
  <si>
    <t>P4042</t>
  </si>
  <si>
    <t>P4043</t>
  </si>
  <si>
    <t>P4044</t>
  </si>
  <si>
    <t>P4045</t>
  </si>
  <si>
    <t>Honey Longan syrup</t>
  </si>
  <si>
    <t>P5001</t>
  </si>
  <si>
    <t>3 KGS X 6 PKTS</t>
  </si>
  <si>
    <t>P5001A</t>
  </si>
  <si>
    <t>6 kgs X 6 PKTS</t>
  </si>
  <si>
    <t>P5002</t>
  </si>
  <si>
    <t>P5002A</t>
  </si>
  <si>
    <t>P5003</t>
  </si>
  <si>
    <t>P5003A</t>
  </si>
  <si>
    <t>MITRPHOL</t>
  </si>
  <si>
    <t>P5004</t>
  </si>
  <si>
    <t>P5005</t>
  </si>
  <si>
    <t>P5005A</t>
  </si>
  <si>
    <t>P5005B</t>
  </si>
  <si>
    <t>P5006</t>
  </si>
  <si>
    <t>P5007</t>
  </si>
  <si>
    <t>P5007A</t>
  </si>
  <si>
    <t>P5008</t>
  </si>
  <si>
    <t>P5009</t>
  </si>
  <si>
    <t>P5010</t>
  </si>
  <si>
    <t>P5011</t>
  </si>
  <si>
    <t>P5011A</t>
  </si>
  <si>
    <t>P5012</t>
  </si>
  <si>
    <t>P5013</t>
  </si>
  <si>
    <t>pkt</t>
  </si>
  <si>
    <t>P6001</t>
  </si>
  <si>
    <t>P6002</t>
  </si>
  <si>
    <t>P6003</t>
  </si>
  <si>
    <t>P6004</t>
  </si>
  <si>
    <t>P6005</t>
  </si>
  <si>
    <t>P6006</t>
  </si>
  <si>
    <t>P6007</t>
  </si>
  <si>
    <t>P6008</t>
  </si>
  <si>
    <t>P6011</t>
  </si>
  <si>
    <t>P6014</t>
  </si>
  <si>
    <t>P6009</t>
  </si>
  <si>
    <t>P6010</t>
  </si>
  <si>
    <t>China Turnip沙葛</t>
  </si>
  <si>
    <t>P6012</t>
  </si>
  <si>
    <t>Bonton Ginger</t>
  </si>
  <si>
    <t>P6013</t>
  </si>
  <si>
    <t>P7001</t>
  </si>
  <si>
    <t>P7002</t>
  </si>
  <si>
    <t>P7003</t>
  </si>
  <si>
    <t>P7004</t>
  </si>
  <si>
    <t>P7005</t>
  </si>
  <si>
    <t>P7006</t>
  </si>
  <si>
    <t>P7007</t>
  </si>
  <si>
    <t>P7008</t>
  </si>
  <si>
    <t>P7009</t>
  </si>
  <si>
    <t>P7010</t>
  </si>
  <si>
    <t>P7011</t>
  </si>
  <si>
    <t>P7012</t>
  </si>
  <si>
    <t>P7013</t>
  </si>
  <si>
    <t>P7014</t>
  </si>
  <si>
    <t>P7015</t>
  </si>
  <si>
    <t>P7016</t>
  </si>
  <si>
    <t>P7017</t>
  </si>
  <si>
    <t>P7018</t>
  </si>
  <si>
    <t>P7019</t>
  </si>
  <si>
    <t>P7020</t>
  </si>
  <si>
    <t>P7021</t>
  </si>
  <si>
    <t>P7022</t>
  </si>
  <si>
    <t>450ml</t>
  </si>
  <si>
    <t>P7023</t>
  </si>
  <si>
    <t>Durian</t>
  </si>
  <si>
    <t>P7024</t>
  </si>
  <si>
    <t>1 lt/btl</t>
  </si>
  <si>
    <t>P8001</t>
  </si>
  <si>
    <t>Coconut Suger Syrup 椰糖浆(G)</t>
  </si>
  <si>
    <t>THAILAND</t>
  </si>
  <si>
    <t>Chendol浆咯 (248, CMEP)</t>
  </si>
  <si>
    <t>S'pore</t>
  </si>
  <si>
    <t>P3027A</t>
  </si>
  <si>
    <t>Blk 632</t>
  </si>
  <si>
    <t>2 KG</t>
  </si>
  <si>
    <t>M1023A</t>
  </si>
  <si>
    <t>M1024A</t>
  </si>
  <si>
    <t>Catholic College</t>
  </si>
  <si>
    <t>P3030B</t>
  </si>
  <si>
    <t>Jelly Powder "文头雪粉" (CARRAGEENAN)</t>
  </si>
  <si>
    <t>AAA</t>
  </si>
  <si>
    <t>INGCOD1123</t>
  </si>
  <si>
    <t>INGCOD1069</t>
  </si>
  <si>
    <t>M1014A</t>
  </si>
  <si>
    <t>Chendol CUSTOM MADE 浆咯</t>
  </si>
  <si>
    <t>P4017A</t>
  </si>
  <si>
    <t>P5012A</t>
  </si>
  <si>
    <t>500 GM/CAN</t>
  </si>
  <si>
    <t>P3059</t>
  </si>
  <si>
    <t>30 kgs</t>
  </si>
  <si>
    <t>Balester 411</t>
  </si>
  <si>
    <t xml:space="preserve">Kidney Beans </t>
  </si>
  <si>
    <t>24x 425 gms</t>
  </si>
  <si>
    <t>P4046</t>
  </si>
  <si>
    <t>P4017</t>
  </si>
  <si>
    <t>P1009</t>
  </si>
  <si>
    <t>P1010</t>
  </si>
  <si>
    <t>USA</t>
  </si>
  <si>
    <t>Red Date 红枣 (Seedless)</t>
  </si>
  <si>
    <t>P2029</t>
  </si>
  <si>
    <t>TOW SUAN</t>
  </si>
  <si>
    <t>BUBOR HITAM</t>
  </si>
  <si>
    <t>BUBOR TERIGU</t>
  </si>
  <si>
    <t>FOODGLE HUB</t>
  </si>
  <si>
    <t>P8002</t>
  </si>
  <si>
    <t>P8003</t>
  </si>
  <si>
    <t>P8004</t>
  </si>
  <si>
    <t>Green Bean Soup 绿豆</t>
  </si>
  <si>
    <t>Red Beam Soup</t>
  </si>
  <si>
    <t>P8005</t>
  </si>
  <si>
    <t>P8006</t>
  </si>
  <si>
    <t>Sweet Potato Soup</t>
  </si>
  <si>
    <t>P8007</t>
  </si>
  <si>
    <t>Dessert Syrup</t>
  </si>
  <si>
    <t>P8008</t>
  </si>
  <si>
    <t xml:space="preserve">Steam Sweet Potato </t>
  </si>
  <si>
    <t>4 kgs</t>
  </si>
  <si>
    <t>1 CAN X 6 X A10</t>
  </si>
  <si>
    <t>Coconut Suger Syrup (Pandan) 椰糖浆</t>
  </si>
  <si>
    <t>P8009</t>
  </si>
  <si>
    <t>P2030</t>
  </si>
  <si>
    <t>FISH BRAND</t>
  </si>
  <si>
    <t>COMME ME DAS</t>
  </si>
  <si>
    <t>(1500:500)2KG</t>
  </si>
  <si>
    <t>P2031</t>
  </si>
  <si>
    <t>P2008C</t>
  </si>
  <si>
    <t>150 GM</t>
  </si>
  <si>
    <t>P2032</t>
  </si>
  <si>
    <t>P2033</t>
  </si>
  <si>
    <t>HOME TOWN #01-59</t>
  </si>
  <si>
    <t>Qty</t>
  </si>
  <si>
    <t>1kg/box</t>
  </si>
  <si>
    <t>JAPAN</t>
  </si>
  <si>
    <t>42gmx10Pkt</t>
  </si>
  <si>
    <t>AUSTRALIA</t>
  </si>
  <si>
    <t>SW</t>
  </si>
  <si>
    <t>VIETNAM</t>
  </si>
  <si>
    <t>HOLLAND</t>
  </si>
  <si>
    <t>Yit Hong</t>
  </si>
  <si>
    <t>48 CAN/CARTON</t>
  </si>
  <si>
    <t>5 KGS/Pkt</t>
  </si>
  <si>
    <t>FJ</t>
  </si>
  <si>
    <t>1 kg (2 包)</t>
  </si>
  <si>
    <t>Blk 828</t>
  </si>
  <si>
    <t>M1033</t>
  </si>
  <si>
    <t>M1030</t>
  </si>
  <si>
    <t>Pineapple Jam</t>
  </si>
  <si>
    <t>200 gm</t>
  </si>
  <si>
    <t>M1031</t>
  </si>
  <si>
    <t>M1032</t>
  </si>
  <si>
    <t>PANDAN BEAN CURD JELLY</t>
  </si>
  <si>
    <t>Red Tea Jelly</t>
  </si>
  <si>
    <t>M1034</t>
  </si>
  <si>
    <t>FEN YUAN JELLY</t>
  </si>
  <si>
    <t>P4047</t>
  </si>
  <si>
    <t>Goodwoof</t>
  </si>
  <si>
    <t>P4048</t>
  </si>
  <si>
    <t>P4048A</t>
  </si>
  <si>
    <t>Golden boy</t>
  </si>
  <si>
    <t>A10 x 6</t>
  </si>
  <si>
    <t>A10 x 1</t>
  </si>
  <si>
    <t>P3037A</t>
  </si>
  <si>
    <t>7 MM</t>
  </si>
  <si>
    <t>P3032B</t>
  </si>
  <si>
    <t>Sweeten Melon  cube 冬瓜</t>
  </si>
  <si>
    <t>Blk 248</t>
  </si>
  <si>
    <t>P3006C</t>
  </si>
  <si>
    <t>Yam Skinless 芋头去皮</t>
  </si>
  <si>
    <t>P3060</t>
  </si>
  <si>
    <t>OSMANTHUS</t>
  </si>
  <si>
    <t>100 GM</t>
  </si>
  <si>
    <t>P4049</t>
  </si>
  <si>
    <t>COARSE SALT</t>
  </si>
  <si>
    <t>P3061</t>
  </si>
  <si>
    <t>Osmanthus Jelly</t>
  </si>
  <si>
    <t>P3062</t>
  </si>
  <si>
    <t xml:space="preserve">DRIED ROSELLE </t>
  </si>
  <si>
    <t>FOOD REPUBLIC</t>
  </si>
  <si>
    <t>P5014</t>
  </si>
  <si>
    <t>Small Rock Sugar</t>
  </si>
  <si>
    <t>BEVTEA021</t>
  </si>
  <si>
    <t>INGSUGR004</t>
  </si>
  <si>
    <t>without gst</t>
  </si>
  <si>
    <t>with GST</t>
  </si>
  <si>
    <t>RED BEAN</t>
  </si>
  <si>
    <t>P4050</t>
  </si>
  <si>
    <t>GOLDEN CHAMP</t>
  </si>
  <si>
    <t>SELETAR COUNTRY CLUB</t>
  </si>
  <si>
    <t>FG000743</t>
  </si>
  <si>
    <t>FP000205</t>
  </si>
  <si>
    <t>FP000298</t>
  </si>
  <si>
    <t>FP000345</t>
  </si>
  <si>
    <t>M1032A</t>
  </si>
  <si>
    <t>M1033A</t>
  </si>
  <si>
    <t>M1035</t>
  </si>
  <si>
    <t>150 gm</t>
  </si>
  <si>
    <t>AD</t>
  </si>
  <si>
    <t>M1036</t>
  </si>
  <si>
    <t>SNOW ICE - MILK</t>
  </si>
  <si>
    <t>SNOW ICE - CHOCOLATE</t>
  </si>
  <si>
    <t>SNOW ICE - MANGO</t>
  </si>
  <si>
    <t>SNOW ICE - STRAWBERRY</t>
  </si>
  <si>
    <t>SNOW ICE - DURIAN</t>
  </si>
  <si>
    <t>SNOW ICE - MATCHA GREEN TEA</t>
  </si>
  <si>
    <t>M1036A</t>
  </si>
  <si>
    <t>M1036B</t>
  </si>
  <si>
    <t>M1036C</t>
  </si>
  <si>
    <t>M1036D</t>
  </si>
  <si>
    <t>M1036F</t>
  </si>
  <si>
    <t>T1</t>
  </si>
  <si>
    <t>P4051</t>
  </si>
  <si>
    <t>P3025B</t>
  </si>
  <si>
    <t>White Sesame Seeds</t>
  </si>
  <si>
    <t>P3063</t>
  </si>
  <si>
    <t>P4052</t>
  </si>
  <si>
    <t>COST</t>
  </si>
  <si>
    <t>BLANDED APRICOT KERNELS光中杏 (南杏)</t>
  </si>
  <si>
    <t>MARGIN</t>
  </si>
  <si>
    <t>AMOUNT</t>
  </si>
  <si>
    <t>M1003R</t>
  </si>
  <si>
    <t>M1002R</t>
  </si>
  <si>
    <t>P2007C</t>
  </si>
  <si>
    <t>35gms x 10 pkt</t>
  </si>
  <si>
    <t>P2011D</t>
  </si>
  <si>
    <t>M1001R</t>
  </si>
  <si>
    <t>5 KGS/PKT</t>
  </si>
  <si>
    <t>2 KG/PKT</t>
  </si>
  <si>
    <t>P2019B</t>
  </si>
  <si>
    <t>P2019C</t>
  </si>
  <si>
    <t>Red Tea Jelly Powder</t>
  </si>
  <si>
    <t>P2034</t>
  </si>
  <si>
    <t>Green Tea Powder</t>
  </si>
  <si>
    <t>TOP</t>
  </si>
  <si>
    <t>JELLY POWDER T-80 (BAI LIANG FEN)</t>
  </si>
  <si>
    <t>WHEAT FLOUR</t>
  </si>
  <si>
    <t>COLD BEAN CURD POWDER</t>
  </si>
  <si>
    <t>MESONA LIQUID (GLASS JELLY)</t>
  </si>
  <si>
    <t>3 KGS/TIN</t>
  </si>
  <si>
    <t>EGG PUDDING POWDER</t>
  </si>
  <si>
    <t>1 KGS</t>
  </si>
  <si>
    <t>AI YI JELLY</t>
  </si>
  <si>
    <t>TIN</t>
  </si>
  <si>
    <t>TOSU</t>
  </si>
  <si>
    <t>P3005E</t>
  </si>
  <si>
    <t>2.5 KGS</t>
  </si>
  <si>
    <t>P3007B</t>
  </si>
  <si>
    <t>P3035A</t>
  </si>
  <si>
    <t>Nata De Coco椰果芊 10 x 10MM</t>
  </si>
  <si>
    <t>P4053</t>
  </si>
  <si>
    <t>P4054</t>
  </si>
  <si>
    <t>P5005C</t>
  </si>
  <si>
    <t>M1037</t>
  </si>
  <si>
    <t>ROCK SUGAR SYRUP</t>
  </si>
  <si>
    <t>#01-23 Changi expo</t>
  </si>
  <si>
    <t>4 KG</t>
  </si>
  <si>
    <t>FP000206</t>
  </si>
  <si>
    <t>FP000207</t>
  </si>
  <si>
    <t>P4055</t>
  </si>
  <si>
    <t>INGCOD1216</t>
  </si>
  <si>
    <t>INGSUGR005</t>
  </si>
  <si>
    <t>P3003A</t>
  </si>
  <si>
    <t>37A TEBAN GARDEN</t>
  </si>
  <si>
    <t>P4056</t>
  </si>
  <si>
    <t>Spectrum</t>
  </si>
  <si>
    <t>P3064</t>
  </si>
  <si>
    <t>SUN</t>
  </si>
  <si>
    <t>Wintermelon</t>
  </si>
  <si>
    <t>6 CAN X A10</t>
  </si>
  <si>
    <t>BOX/盒</t>
  </si>
  <si>
    <t>1KG/PKT</t>
  </si>
  <si>
    <t>800 GM/BAG</t>
  </si>
  <si>
    <t>NW(2.2:0.8) 3 KG/BAG</t>
  </si>
  <si>
    <t>700 GM/BOX</t>
  </si>
  <si>
    <t>80 GM/PKT</t>
  </si>
  <si>
    <t>100 GM/PKT</t>
  </si>
  <si>
    <t>4L/BTL</t>
  </si>
  <si>
    <t>M1037A</t>
  </si>
  <si>
    <t>Wheat Grass 小麦草</t>
  </si>
  <si>
    <t>400GM</t>
  </si>
  <si>
    <t>P2026A</t>
  </si>
  <si>
    <t>INGCOD1001</t>
  </si>
  <si>
    <t>BEVSRUP004</t>
  </si>
  <si>
    <t>Erawan Glutinous Flour 糯米粉</t>
  </si>
  <si>
    <t>INGVEGE047</t>
  </si>
  <si>
    <t>P6015</t>
  </si>
  <si>
    <t>Pumpkin Gourd 金瓜</t>
  </si>
  <si>
    <t>P5002B</t>
  </si>
  <si>
    <t>P2035</t>
  </si>
  <si>
    <t>CHEESE MOUSSE POWDER</t>
  </si>
  <si>
    <t>12 CAN/CARTON</t>
  </si>
  <si>
    <t>5 X 100 GM</t>
  </si>
  <si>
    <t>2 kgs (20 X 100GM)</t>
  </si>
  <si>
    <t>P5003C</t>
  </si>
  <si>
    <t>INGCOD1400</t>
  </si>
  <si>
    <t>Ronnie Kitchen</t>
  </si>
  <si>
    <t>Coral Weed 海草</t>
  </si>
  <si>
    <t>NW (1.6:0.6) 2.2 kgs</t>
  </si>
  <si>
    <t>Original Konjac Ball</t>
  </si>
  <si>
    <t>Black Sugar Konjac Ball</t>
  </si>
  <si>
    <t>Green Mung Bean Starch 绿豆粉</t>
  </si>
  <si>
    <t>Corn Strach 玉蜀黍粉</t>
  </si>
  <si>
    <t xml:space="preserve">Plain Flour 面粉 </t>
  </si>
  <si>
    <t>Rong Hua 10 Ubi</t>
  </si>
  <si>
    <t>Super Tea (S) Pte Ltd</t>
  </si>
  <si>
    <t>M1023B</t>
  </si>
  <si>
    <t>1 KG/BOX</t>
  </si>
  <si>
    <t>Passion Fruit Puree 百香果浆</t>
  </si>
  <si>
    <t>P2002C</t>
  </si>
  <si>
    <t>42gm</t>
  </si>
  <si>
    <t>Jelly Powder "文头雪粉" (Carrageenan)</t>
  </si>
  <si>
    <t>30 kgs/Bag</t>
  </si>
  <si>
    <t>Roselle Puree 洛神花浆</t>
  </si>
  <si>
    <t>900 gm</t>
  </si>
  <si>
    <t>Food Junction / Seletar / Kopitiam Product Code</t>
  </si>
  <si>
    <t>Tiong Bahru Soya Bean</t>
  </si>
  <si>
    <t>500GM X 24</t>
  </si>
  <si>
    <t>P7025</t>
  </si>
  <si>
    <t>Almond Syrup 杏仁精</t>
  </si>
  <si>
    <t>Kwang Rong</t>
  </si>
  <si>
    <t>500 ml x12 Btl/ Ctn</t>
  </si>
  <si>
    <t>P3009D</t>
  </si>
  <si>
    <t>P4057</t>
  </si>
  <si>
    <t>PINEAPPLE IN CUBES</t>
  </si>
  <si>
    <t>STATUE</t>
  </si>
  <si>
    <t>24 CAN/CARTON</t>
  </si>
  <si>
    <t>CORN CREAM</t>
  </si>
  <si>
    <t>GOLDEN BOY</t>
  </si>
  <si>
    <t>P4055A</t>
  </si>
  <si>
    <t>CORN WHOLE</t>
  </si>
  <si>
    <t>P4056A</t>
  </si>
  <si>
    <t>RED LANTEN SCC</t>
  </si>
  <si>
    <t>M1038</t>
  </si>
  <si>
    <t>M1039</t>
  </si>
  <si>
    <t>AGAR AGAR RED JELLY</t>
  </si>
  <si>
    <t>AGAR AGAR GREEN JELLY</t>
  </si>
  <si>
    <t>900 GM</t>
  </si>
  <si>
    <t>1KGS</t>
  </si>
  <si>
    <t>(836gm x 12)/箱</t>
  </si>
  <si>
    <t>P4058</t>
  </si>
  <si>
    <t>Grass Jelly 仙草冻</t>
  </si>
  <si>
    <t>Honeydew Premier Concentrated</t>
  </si>
  <si>
    <t>Mango Juice</t>
  </si>
  <si>
    <t>VANILLIN 班兰素</t>
  </si>
  <si>
    <t>750 GM</t>
  </si>
  <si>
    <t>HONEY ROCK SUGAR</t>
  </si>
  <si>
    <t>250GM X 80PKT</t>
  </si>
  <si>
    <t>KOPITIAM</t>
  </si>
  <si>
    <t>COST      AS AT            30-10-2022</t>
  </si>
  <si>
    <t>Tuck Shop, One Punggol</t>
  </si>
  <si>
    <t>Peaches SLICED 桃片</t>
  </si>
  <si>
    <t>Sweet Potato Q - Orange 番薯粉圆</t>
  </si>
  <si>
    <t>M1025A</t>
  </si>
  <si>
    <t>Mini Sweet Potato Q - Orange 番薯粉圆</t>
  </si>
  <si>
    <t>Sweet Potato Q - Purple 紫番薯粉圆</t>
  </si>
  <si>
    <t>M1026A</t>
  </si>
  <si>
    <t>Mini Sweet Potato Q - Purple 紫番薯粉圆</t>
  </si>
  <si>
    <t>Taro Q - White 芋头粉圆</t>
  </si>
  <si>
    <t>M1027A</t>
  </si>
  <si>
    <t>Mini Taro Q - White 芋头粉圆</t>
  </si>
  <si>
    <t>P4030B</t>
  </si>
  <si>
    <t>200 GM/PKT</t>
  </si>
  <si>
    <t>Phlippine</t>
  </si>
  <si>
    <t>Fruit Cocktail Quality杂果</t>
  </si>
  <si>
    <t>City Energy Pte Ltd</t>
  </si>
  <si>
    <t>(as Trustee of City Energy Trust)</t>
  </si>
  <si>
    <t>26 Senoko Avenue</t>
  </si>
  <si>
    <t>Singapore 758312</t>
  </si>
  <si>
    <t>One-time cash incentive to use City Energy for 15 Woodlands Loop #04-35</t>
  </si>
  <si>
    <t>CXT-22-I271</t>
  </si>
  <si>
    <t>Edwin Cheong</t>
  </si>
  <si>
    <t>Split Green Mung Bean 豆爽</t>
  </si>
  <si>
    <t>HOSEN</t>
  </si>
  <si>
    <t>P3034B</t>
  </si>
  <si>
    <t>Rose Petal 玫瑰花瓣</t>
  </si>
  <si>
    <t>India</t>
  </si>
  <si>
    <t>50gm</t>
  </si>
  <si>
    <t>P6016</t>
  </si>
  <si>
    <t>Lemon 柠檬</t>
  </si>
  <si>
    <t>P4059</t>
  </si>
  <si>
    <t>Twin Five</t>
  </si>
  <si>
    <t>5 KGS/bottle</t>
  </si>
  <si>
    <t>Mili</t>
  </si>
  <si>
    <t>Fruit Cocktail Quality 杂果</t>
  </si>
  <si>
    <t>CORN CREAM 玉米浆</t>
  </si>
  <si>
    <t>Whole Corn 玉米粒</t>
  </si>
  <si>
    <t>Twin five</t>
  </si>
  <si>
    <t>Kara</t>
  </si>
  <si>
    <t>100 gm</t>
  </si>
  <si>
    <t>F/Man</t>
  </si>
  <si>
    <t>JOY</t>
  </si>
  <si>
    <t>P7025A</t>
  </si>
  <si>
    <t>500 ml</t>
  </si>
  <si>
    <t>DATE</t>
  </si>
  <si>
    <t>Joe</t>
  </si>
  <si>
    <t>Codral Weed 海草</t>
  </si>
  <si>
    <t>Lye Heng</t>
  </si>
  <si>
    <t xml:space="preserve">好运   </t>
  </si>
  <si>
    <t>Ecreative</t>
  </si>
  <si>
    <t>#03-24 - DEC 2025</t>
  </si>
  <si>
    <t xml:space="preserve"> #04-33/34 - DEC 2025</t>
  </si>
  <si>
    <t xml:space="preserve"> #04-22 -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</si>
</sst>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.0_-;\-&quot;$&quot;* #,##0.0_-;_-&quot;$&quot;* &quot;-&quot;??_-;_-@_-"/>
    <numFmt numFmtId="166" formatCode="d\/m\/yyyy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u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8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6">
    <xf numFmtId="0" fontId="0" fillId="0" borderId="0" xfId="0"/>
    <xf numFmtId="0" fontId="0" fillId="0" borderId="1" xfId="0" applyBorder="1"/>
    <xf numFmtId="0" fontId="0" fillId="2" borderId="1" xfId="0" applyFill="1" applyBorder="1"/>
    <xf numFmtId="165" fontId="0" fillId="0" borderId="1" xfId="1" applyNumberFormat="1" applyFont="1" applyFill="1" applyBorder="1"/>
    <xf numFmtId="165" fontId="0" fillId="0" borderId="0" xfId="1" applyNumberFormat="1" applyFont="1" applyFill="1"/>
    <xf numFmtId="0" fontId="0" fillId="0" borderId="1" xfId="0" applyBorder="1" applyAlignment="1">
      <alignment horizontal="center"/>
    </xf>
    <xf numFmtId="0" fontId="5" fillId="0" borderId="0" xfId="0" applyFont="1"/>
    <xf numFmtId="0" fontId="6" fillId="2" borderId="2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7" fillId="0" borderId="1" xfId="0" applyFont="1" applyBorder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horizontal="right" vertical="center"/>
    </xf>
    <xf numFmtId="0" fontId="8" fillId="0" borderId="17" xfId="0" applyFont="1" applyBorder="1"/>
    <xf numFmtId="0" fontId="8" fillId="0" borderId="0" xfId="0" applyFont="1" applyAlignment="1">
      <alignment vertical="top" wrapText="1"/>
    </xf>
    <xf numFmtId="0" fontId="8" fillId="0" borderId="20" xfId="0" applyFont="1" applyBorder="1"/>
    <xf numFmtId="0" fontId="8" fillId="0" borderId="22" xfId="0" applyFont="1" applyBorder="1"/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164" fontId="8" fillId="0" borderId="0" xfId="1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0" borderId="7" xfId="1" applyFont="1" applyBorder="1" applyAlignment="1">
      <alignment horizontal="center"/>
    </xf>
    <xf numFmtId="164" fontId="8" fillId="0" borderId="5" xfId="1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164" fontId="8" fillId="0" borderId="8" xfId="0" applyNumberFormat="1" applyFont="1" applyBorder="1"/>
    <xf numFmtId="0" fontId="8" fillId="0" borderId="12" xfId="0" applyFont="1" applyBorder="1" applyAlignment="1">
      <alignment horizontal="left"/>
    </xf>
    <xf numFmtId="9" fontId="8" fillId="0" borderId="13" xfId="0" applyNumberFormat="1" applyFont="1" applyBorder="1" applyAlignment="1">
      <alignment horizontal="center"/>
    </xf>
    <xf numFmtId="164" fontId="8" fillId="0" borderId="11" xfId="0" applyNumberFormat="1" applyFont="1" applyBorder="1"/>
    <xf numFmtId="164" fontId="8" fillId="0" borderId="11" xfId="1" applyFont="1" applyBorder="1"/>
    <xf numFmtId="164" fontId="8" fillId="0" borderId="6" xfId="0" applyNumberFormat="1" applyFont="1" applyBorder="1"/>
    <xf numFmtId="0" fontId="8" fillId="0" borderId="15" xfId="0" applyFont="1" applyBorder="1"/>
    <xf numFmtId="0" fontId="8" fillId="0" borderId="14" xfId="0" applyFont="1" applyBorder="1"/>
    <xf numFmtId="0" fontId="8" fillId="0" borderId="16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5" xfId="0" applyFont="1" applyBorder="1"/>
    <xf numFmtId="0" fontId="9" fillId="0" borderId="4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8" fillId="0" borderId="0" xfId="0" applyNumberFormat="1" applyFont="1"/>
    <xf numFmtId="164" fontId="13" fillId="0" borderId="3" xfId="1" applyFont="1" applyBorder="1" applyAlignment="1">
      <alignment horizontal="center"/>
    </xf>
    <xf numFmtId="0" fontId="13" fillId="0" borderId="0" xfId="0" applyFont="1"/>
    <xf numFmtId="0" fontId="12" fillId="0" borderId="1" xfId="0" applyFont="1" applyBorder="1"/>
    <xf numFmtId="0" fontId="13" fillId="0" borderId="0" xfId="0" applyFont="1" applyAlignment="1">
      <alignment horizontal="center"/>
    </xf>
    <xf numFmtId="164" fontId="13" fillId="0" borderId="0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4" borderId="0" xfId="1" applyFont="1" applyFill="1"/>
    <xf numFmtId="0" fontId="14" fillId="0" borderId="0" xfId="0" applyFont="1"/>
    <xf numFmtId="0" fontId="0" fillId="0" borderId="1" xfId="0" applyBorder="1" applyAlignment="1">
      <alignment horizontal="left"/>
    </xf>
    <xf numFmtId="0" fontId="0" fillId="6" borderId="1" xfId="0" applyFill="1" applyBorder="1"/>
    <xf numFmtId="0" fontId="0" fillId="0" borderId="28" xfId="0" applyBorder="1" applyAlignment="1">
      <alignment horizontal="center"/>
    </xf>
    <xf numFmtId="0" fontId="16" fillId="0" borderId="0" xfId="0" applyFont="1"/>
    <xf numFmtId="164" fontId="0" fillId="0" borderId="1" xfId="1" applyFont="1" applyFill="1" applyBorder="1"/>
    <xf numFmtId="164" fontId="3" fillId="7" borderId="1" xfId="1" applyFont="1" applyFill="1" applyBorder="1" applyAlignment="1">
      <alignment horizontal="center"/>
    </xf>
    <xf numFmtId="0" fontId="8" fillId="0" borderId="12" xfId="0" applyFont="1" applyBorder="1"/>
    <xf numFmtId="9" fontId="8" fillId="0" borderId="13" xfId="0" applyNumberFormat="1" applyFont="1" applyBorder="1"/>
    <xf numFmtId="164" fontId="0" fillId="0" borderId="1" xfId="1" applyFont="1" applyBorder="1"/>
    <xf numFmtId="165" fontId="7" fillId="0" borderId="1" xfId="1" applyNumberFormat="1" applyFont="1" applyFill="1" applyBorder="1"/>
    <xf numFmtId="165" fontId="3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9" fontId="8" fillId="0" borderId="0" xfId="2" applyFont="1"/>
    <xf numFmtId="16" fontId="0" fillId="6" borderId="1" xfId="0" applyNumberFormat="1" applyFill="1" applyBorder="1" applyAlignment="1">
      <alignment horizontal="center"/>
    </xf>
    <xf numFmtId="164" fontId="13" fillId="0" borderId="0" xfId="1" applyFont="1"/>
    <xf numFmtId="20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36" xfId="0" applyFont="1" applyBorder="1" applyAlignment="1">
      <alignment horizontal="center"/>
    </xf>
    <xf numFmtId="164" fontId="3" fillId="4" borderId="1" xfId="1" applyFont="1" applyFill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1" applyNumberFormat="1" applyFont="1" applyFill="1" applyBorder="1"/>
    <xf numFmtId="165" fontId="7" fillId="0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4" borderId="1" xfId="1" applyFont="1" applyFill="1" applyBorder="1"/>
    <xf numFmtId="0" fontId="13" fillId="0" borderId="1" xfId="0" applyFont="1" applyBorder="1"/>
    <xf numFmtId="0" fontId="3" fillId="2" borderId="1" xfId="0" applyFont="1" applyFill="1" applyBorder="1"/>
    <xf numFmtId="0" fontId="13" fillId="0" borderId="1" xfId="0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164" fontId="3" fillId="4" borderId="37" xfId="1" applyFont="1" applyFill="1" applyBorder="1" applyAlignment="1">
      <alignment horizontal="center"/>
    </xf>
    <xf numFmtId="164" fontId="0" fillId="0" borderId="0" xfId="1" applyFont="1" applyFill="1"/>
    <xf numFmtId="0" fontId="3" fillId="0" borderId="1" xfId="0" applyFont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165" fontId="3" fillId="4" borderId="1" xfId="1" applyNumberFormat="1" applyFont="1" applyFill="1" applyBorder="1"/>
    <xf numFmtId="0" fontId="0" fillId="3" borderId="1" xfId="0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20" fontId="19" fillId="0" borderId="1" xfId="0" applyNumberFormat="1" applyFont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37" xfId="0" applyFont="1" applyBorder="1"/>
    <xf numFmtId="164" fontId="23" fillId="0" borderId="1" xfId="1" applyFont="1" applyFill="1" applyBorder="1"/>
    <xf numFmtId="0" fontId="23" fillId="0" borderId="0" xfId="0" applyFont="1"/>
    <xf numFmtId="0" fontId="23" fillId="0" borderId="1" xfId="0" applyFont="1" applyBorder="1" applyAlignment="1">
      <alignment horizontal="left"/>
    </xf>
    <xf numFmtId="164" fontId="23" fillId="0" borderId="1" xfId="1" applyFont="1" applyBorder="1"/>
    <xf numFmtId="0" fontId="19" fillId="0" borderId="1" xfId="0" applyFont="1" applyBorder="1" applyAlignment="1">
      <alignment horizontal="left"/>
    </xf>
    <xf numFmtId="164" fontId="0" fillId="0" borderId="0" xfId="1" applyFont="1"/>
    <xf numFmtId="164" fontId="0" fillId="3" borderId="41" xfId="1" applyFont="1" applyFill="1" applyBorder="1" applyAlignment="1">
      <alignment horizontal="center" vertical="center" wrapText="1"/>
    </xf>
    <xf numFmtId="164" fontId="23" fillId="0" borderId="0" xfId="1" applyFont="1" applyFill="1"/>
    <xf numFmtId="164" fontId="0" fillId="3" borderId="1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3" fillId="0" borderId="37" xfId="0" applyFont="1" applyBorder="1"/>
    <xf numFmtId="0" fontId="3" fillId="0" borderId="37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165" fontId="0" fillId="3" borderId="1" xfId="1" applyNumberFormat="1" applyFont="1" applyFill="1" applyBorder="1" applyAlignment="1">
      <alignment horizontal="center" vertical="center"/>
    </xf>
    <xf numFmtId="16" fontId="0" fillId="5" borderId="0" xfId="1" applyNumberFormat="1" applyFont="1" applyFill="1"/>
    <xf numFmtId="164" fontId="13" fillId="5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37" xfId="0" applyBorder="1" applyAlignment="1">
      <alignment horizontal="center"/>
    </xf>
    <xf numFmtId="0" fontId="18" fillId="0" borderId="1" xfId="0" applyFont="1" applyBorder="1" applyAlignment="1">
      <alignment horizontal="center"/>
    </xf>
    <xf numFmtId="164" fontId="0" fillId="6" borderId="29" xfId="1" applyFont="1" applyFill="1" applyBorder="1" applyAlignment="1">
      <alignment horizontal="center"/>
    </xf>
    <xf numFmtId="164" fontId="7" fillId="7" borderId="0" xfId="1" applyFont="1" applyFill="1"/>
    <xf numFmtId="164" fontId="0" fillId="7" borderId="0" xfId="1" applyFont="1" applyFill="1"/>
    <xf numFmtId="164" fontId="7" fillId="7" borderId="1" xfId="1" applyFont="1" applyFill="1" applyBorder="1" applyAlignment="1">
      <alignment horizontal="center"/>
    </xf>
    <xf numFmtId="164" fontId="3" fillId="7" borderId="37" xfId="1" applyFont="1" applyFill="1" applyBorder="1" applyAlignment="1">
      <alignment horizontal="center"/>
    </xf>
    <xf numFmtId="164" fontId="25" fillId="7" borderId="0" xfId="1" applyFont="1" applyFill="1"/>
    <xf numFmtId="165" fontId="3" fillId="7" borderId="1" xfId="1" applyNumberFormat="1" applyFont="1" applyFill="1" applyBorder="1"/>
    <xf numFmtId="164" fontId="0" fillId="7" borderId="1" xfId="1" applyFont="1" applyFill="1" applyBorder="1"/>
    <xf numFmtId="164" fontId="3" fillId="0" borderId="1" xfId="1" applyFont="1" applyFill="1" applyBorder="1" applyAlignment="1">
      <alignment horizontal="center"/>
    </xf>
    <xf numFmtId="164" fontId="17" fillId="7" borderId="1" xfId="1" applyFont="1" applyFill="1" applyBorder="1"/>
    <xf numFmtId="164" fontId="3" fillId="7" borderId="1" xfId="1" applyFont="1" applyFill="1" applyBorder="1"/>
    <xf numFmtId="164" fontId="7" fillId="0" borderId="0" xfId="1" applyFont="1" applyFill="1"/>
    <xf numFmtId="164" fontId="3" fillId="4" borderId="1" xfId="1" applyFont="1" applyFill="1" applyBorder="1"/>
    <xf numFmtId="164" fontId="7" fillId="4" borderId="1" xfId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164" fontId="3" fillId="0" borderId="1" xfId="1" applyFont="1" applyFill="1" applyBorder="1"/>
    <xf numFmtId="165" fontId="0" fillId="0" borderId="37" xfId="1" applyNumberFormat="1" applyFont="1" applyFill="1" applyBorder="1"/>
    <xf numFmtId="165" fontId="3" fillId="0" borderId="37" xfId="1" applyNumberFormat="1" applyFont="1" applyFill="1" applyBorder="1" applyAlignment="1">
      <alignment horizontal="center"/>
    </xf>
    <xf numFmtId="0" fontId="0" fillId="0" borderId="37" xfId="0" applyBorder="1"/>
    <xf numFmtId="164" fontId="0" fillId="0" borderId="37" xfId="1" applyFont="1" applyFill="1" applyBorder="1"/>
    <xf numFmtId="165" fontId="0" fillId="0" borderId="37" xfId="1" applyNumberFormat="1" applyFont="1" applyFill="1" applyBorder="1" applyAlignment="1">
      <alignment horizontal="center"/>
    </xf>
    <xf numFmtId="164" fontId="3" fillId="3" borderId="1" xfId="1" applyFont="1" applyFill="1" applyBorder="1" applyAlignment="1">
      <alignment horizontal="center" vertical="center" wrapText="1"/>
    </xf>
    <xf numFmtId="165" fontId="0" fillId="3" borderId="1" xfId="1" applyNumberFormat="1" applyFont="1" applyFill="1" applyBorder="1" applyAlignment="1">
      <alignment horizontal="center" vertical="center" wrapText="1"/>
    </xf>
    <xf numFmtId="165" fontId="0" fillId="3" borderId="1" xfId="1" applyNumberFormat="1" applyFont="1" applyFill="1" applyBorder="1" applyAlignment="1">
      <alignment wrapText="1"/>
    </xf>
    <xf numFmtId="164" fontId="0" fillId="3" borderId="1" xfId="1" applyFont="1" applyFill="1" applyBorder="1" applyAlignment="1">
      <alignment horizontal="center" vertical="center"/>
    </xf>
    <xf numFmtId="0" fontId="8" fillId="0" borderId="31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8" fillId="0" borderId="33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31" xfId="0" applyFont="1" applyBorder="1" applyAlignment="1">
      <alignment wrapText="1"/>
    </xf>
    <xf numFmtId="0" fontId="0" fillId="0" borderId="31" xfId="0" applyBorder="1" applyAlignment="1">
      <alignment wrapText="1"/>
    </xf>
    <xf numFmtId="164" fontId="8" fillId="0" borderId="0" xfId="1" applyFont="1" applyBorder="1" applyAlignment="1">
      <alignment vertical="center"/>
    </xf>
    <xf numFmtId="164" fontId="13" fillId="0" borderId="3" xfId="1" applyFont="1" applyBorder="1" applyAlignment="1">
      <alignment vertical="center"/>
    </xf>
    <xf numFmtId="0" fontId="27" fillId="0" borderId="43" xfId="0" applyFont="1" applyBorder="1"/>
    <xf numFmtId="0" fontId="27" fillId="0" borderId="44" xfId="0" applyFont="1" applyBorder="1"/>
    <xf numFmtId="0" fontId="27" fillId="0" borderId="44" xfId="0" applyFont="1" applyBorder="1" applyAlignment="1">
      <alignment horizontal="center"/>
    </xf>
    <xf numFmtId="0" fontId="27" fillId="0" borderId="45" xfId="0" applyFont="1" applyBorder="1" applyAlignment="1">
      <alignment horizontal="center"/>
    </xf>
    <xf numFmtId="0" fontId="28" fillId="0" borderId="0" xfId="0" applyFont="1"/>
    <xf numFmtId="0" fontId="27" fillId="0" borderId="0" xfId="0" applyFont="1" applyAlignment="1">
      <alignment horizontal="center"/>
    </xf>
    <xf numFmtId="0" fontId="27" fillId="0" borderId="46" xfId="0" applyFont="1" applyBorder="1"/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47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9" fillId="0" borderId="47" xfId="0" applyFont="1" applyBorder="1" applyAlignment="1">
      <alignment horizontal="center"/>
    </xf>
    <xf numFmtId="0" fontId="28" fillId="0" borderId="46" xfId="0" applyFont="1" applyBorder="1"/>
    <xf numFmtId="0" fontId="27" fillId="0" borderId="48" xfId="0" applyFont="1" applyBorder="1"/>
    <xf numFmtId="0" fontId="27" fillId="0" borderId="49" xfId="0" applyFont="1" applyBorder="1"/>
    <xf numFmtId="0" fontId="27" fillId="0" borderId="4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164" fontId="0" fillId="0" borderId="1" xfId="0" applyNumberFormat="1" applyBorder="1"/>
    <xf numFmtId="0" fontId="30" fillId="0" borderId="0" xfId="0" applyFont="1"/>
    <xf numFmtId="0" fontId="31" fillId="0" borderId="1" xfId="0" applyFont="1" applyBorder="1" applyAlignment="1">
      <alignment horizontal="center"/>
    </xf>
    <xf numFmtId="0" fontId="31" fillId="0" borderId="44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1" fillId="0" borderId="49" xfId="0" applyFont="1" applyBorder="1" applyAlignment="1">
      <alignment horizontal="center"/>
    </xf>
    <xf numFmtId="0" fontId="28" fillId="0" borderId="45" xfId="0" applyFont="1" applyBorder="1"/>
    <xf numFmtId="0" fontId="28" fillId="0" borderId="47" xfId="0" applyFont="1" applyBorder="1"/>
    <xf numFmtId="0" fontId="31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/>
    </xf>
    <xf numFmtId="0" fontId="28" fillId="0" borderId="50" xfId="0" applyFont="1" applyBorder="1"/>
    <xf numFmtId="0" fontId="27" fillId="0" borderId="50" xfId="0" applyFont="1" applyBorder="1" applyAlignment="1">
      <alignment horizontal="center"/>
    </xf>
    <xf numFmtId="0" fontId="27" fillId="0" borderId="44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164" fontId="28" fillId="0" borderId="1" xfId="1" applyFont="1" applyBorder="1" applyAlignment="1">
      <alignment horizontal="left"/>
    </xf>
    <xf numFmtId="0" fontId="27" fillId="0" borderId="49" xfId="0" applyFont="1" applyBorder="1" applyAlignment="1">
      <alignment horizontal="left"/>
    </xf>
    <xf numFmtId="44" fontId="0" fillId="0" borderId="1" xfId="0" applyNumberFormat="1" applyBorder="1"/>
    <xf numFmtId="0" fontId="6" fillId="0" borderId="1" xfId="0" applyFont="1" applyBorder="1"/>
    <xf numFmtId="0" fontId="27" fillId="0" borderId="46" xfId="0" applyFont="1" applyBorder="1" applyAlignment="1">
      <alignment horizontal="left"/>
    </xf>
    <xf numFmtId="0" fontId="33" fillId="0" borderId="1" xfId="0" applyFont="1" applyBorder="1" applyAlignment="1">
      <alignment horizontal="center" wrapText="1"/>
    </xf>
    <xf numFmtId="0" fontId="33" fillId="0" borderId="1" xfId="0" applyFont="1" applyBorder="1" applyAlignment="1">
      <alignment horizontal="center"/>
    </xf>
    <xf numFmtId="0" fontId="33" fillId="0" borderId="49" xfId="0" applyFont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16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 wrapText="1"/>
    </xf>
    <xf numFmtId="0" fontId="0" fillId="6" borderId="39" xfId="0" applyFill="1" applyBorder="1" applyAlignment="1">
      <alignment horizontal="center" vertical="center" wrapText="1"/>
    </xf>
    <xf numFmtId="164" fontId="0" fillId="6" borderId="36" xfId="1" applyFont="1" applyFill="1" applyBorder="1" applyAlignment="1">
      <alignment horizontal="center" vertical="center" wrapText="1"/>
    </xf>
    <xf numFmtId="164" fontId="0" fillId="6" borderId="37" xfId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36" xfId="0" applyFill="1" applyBorder="1" applyAlignment="1">
      <alignment horizontal="center" vertical="center" wrapText="1"/>
    </xf>
    <xf numFmtId="0" fontId="0" fillId="6" borderId="37" xfId="0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33" xfId="0" applyFont="1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8" fillId="0" borderId="33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6" fillId="2" borderId="3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8" fillId="0" borderId="0" xfId="0" applyFont="1"/>
    <xf numFmtId="0" fontId="8" fillId="0" borderId="3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6" fillId="2" borderId="32" xfId="0" applyFont="1" applyFill="1" applyBorder="1" applyAlignment="1">
      <alignment horizontal="center" vertical="center"/>
    </xf>
    <xf numFmtId="0" fontId="23" fillId="0" borderId="1" xfId="0" applyFont="1" applyBorder="1"/>
    <xf numFmtId="0" fontId="26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166" fontId="8" fillId="0" borderId="1" xfId="0" applyNumberFormat="1" applyFont="1" applyBorder="1" applyAlignment="1">
      <alignment horizontal="center"/>
    </xf>
    <xf numFmtId="166" fontId="8" fillId="0" borderId="21" xfId="0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66"/>
      <color rgb="FF9966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520700</xdr:colOff>
      <xdr:row>0</xdr:row>
      <xdr:rowOff>0</xdr:rowOff>
    </xdr:from>
    <xdr:to>
      <xdr:col>11</xdr:col>
      <xdr:colOff>431800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0E5522-B61E-4D64-BF39-C1DD506CA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0" y="0"/>
          <a:ext cx="7772400" cy="1850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E0B5-B148-4711-9D8A-43230952AEE0}">
  <sheetPr codeName="Sheet15">
    <tabColor rgb="FFFFC000"/>
    <pageSetUpPr fitToPage="1"/>
  </sheetPr>
  <dimension ref="A1:DA413"/>
  <sheetViews>
    <sheetView zoomScaleNormal="100" workbookViewId="0">
      <pane xSplit="3" ySplit="2" topLeftCell="D381" activePane="bottomRight" state="frozen"/>
      <selection activeCell="K12" sqref="K12:L12"/>
      <selection pane="topRight" activeCell="K12" sqref="K12:L12"/>
      <selection pane="bottomLeft" activeCell="K12" sqref="K12:L12"/>
      <selection pane="bottomRight" activeCell="CR404" sqref="CR404"/>
    </sheetView>
  </sheetViews>
  <sheetFormatPr defaultColWidth="8.7265625" defaultRowHeight="14.5" x14ac:dyDescent="0.35"/>
  <cols>
    <col min="1" max="1" width="15.26953125" customWidth="1"/>
    <col min="2" max="2" width="11.1796875" customWidth="1"/>
    <col min="3" max="3" width="47.54296875" customWidth="1"/>
    <col min="4" max="4" width="18.54296875" style="84" customWidth="1"/>
    <col min="5" max="5" width="15.7265625" style="17" customWidth="1"/>
    <col min="6" max="6" width="23.1796875" customWidth="1"/>
    <col min="7" max="7" width="8.7265625" customWidth="1"/>
    <col min="8" max="8" width="9.54296875" style="66" customWidth="1"/>
    <col min="9" max="9" width="11" style="4" customWidth="1"/>
    <col min="10" max="36" width="8.7265625" style="4" customWidth="1"/>
    <col min="37" max="40" width="8.7265625" customWidth="1"/>
    <col min="41" max="55" width="8.7265625" style="4" customWidth="1"/>
    <col min="56" max="58" width="8.7265625" customWidth="1"/>
    <col min="59" max="59" width="10.7265625" customWidth="1"/>
    <col min="60" max="60" width="13.1796875" customWidth="1"/>
    <col min="61" max="61" width="9.81640625" customWidth="1"/>
    <col min="62" max="75" width="8.7265625" customWidth="1"/>
    <col min="76" max="76" width="8.7265625" style="4" customWidth="1"/>
    <col min="77" max="84" width="8.7265625" style="100" customWidth="1"/>
    <col min="85" max="104" width="8.7265625" customWidth="1"/>
    <col min="105" max="105" width="10.1796875" style="100" bestFit="1" customWidth="1"/>
  </cols>
  <sheetData>
    <row r="1" spans="1:105" x14ac:dyDescent="0.35">
      <c r="E1" s="85"/>
      <c r="N1" s="4">
        <f>M1+1</f>
        <v>1</v>
      </c>
    </row>
    <row r="2" spans="1:105" ht="72.5" x14ac:dyDescent="0.35">
      <c r="A2" s="13" t="s">
        <v>1139</v>
      </c>
      <c r="B2" s="13" t="s">
        <v>0</v>
      </c>
      <c r="C2" s="14" t="s">
        <v>1</v>
      </c>
      <c r="D2" s="13" t="s">
        <v>379</v>
      </c>
      <c r="E2" s="14" t="s">
        <v>58</v>
      </c>
      <c r="F2" s="14" t="s">
        <v>30</v>
      </c>
      <c r="G2" s="14" t="s">
        <v>31</v>
      </c>
      <c r="H2" s="158" t="s">
        <v>1173</v>
      </c>
      <c r="I2" s="78" t="s">
        <v>122</v>
      </c>
      <c r="J2" s="131" t="s">
        <v>123</v>
      </c>
      <c r="K2" s="159" t="s">
        <v>1172</v>
      </c>
      <c r="L2" s="159" t="s">
        <v>128</v>
      </c>
      <c r="M2" s="159" t="s">
        <v>131</v>
      </c>
      <c r="N2" s="159" t="s">
        <v>303</v>
      </c>
      <c r="O2" s="159" t="s">
        <v>249</v>
      </c>
      <c r="P2" s="78" t="s">
        <v>916</v>
      </c>
      <c r="Q2" s="131" t="s">
        <v>138</v>
      </c>
      <c r="R2" s="159" t="s">
        <v>251</v>
      </c>
      <c r="S2" s="131" t="s">
        <v>1089</v>
      </c>
      <c r="T2" s="159" t="s">
        <v>1079</v>
      </c>
      <c r="U2" s="159" t="s">
        <v>1087</v>
      </c>
      <c r="V2" s="159" t="s">
        <v>253</v>
      </c>
      <c r="W2" s="159" t="s">
        <v>141</v>
      </c>
      <c r="X2" s="159" t="s">
        <v>1120</v>
      </c>
      <c r="Y2" s="159" t="s">
        <v>143</v>
      </c>
      <c r="Z2" s="159" t="s">
        <v>144</v>
      </c>
      <c r="AA2" s="159" t="s">
        <v>146</v>
      </c>
      <c r="AB2" s="159" t="s">
        <v>147</v>
      </c>
      <c r="AC2" s="159" t="s">
        <v>148</v>
      </c>
      <c r="AD2" s="159" t="s">
        <v>1129</v>
      </c>
      <c r="AE2" s="159" t="s">
        <v>1140</v>
      </c>
      <c r="AF2" s="159" t="s">
        <v>328</v>
      </c>
      <c r="AG2" s="159" t="s">
        <v>341</v>
      </c>
      <c r="AH2" s="160" t="s">
        <v>343</v>
      </c>
      <c r="AI2" s="160" t="s">
        <v>345</v>
      </c>
      <c r="AJ2" s="159" t="s">
        <v>1156</v>
      </c>
      <c r="AK2" s="159" t="s">
        <v>349</v>
      </c>
      <c r="AL2" s="159" t="s">
        <v>350</v>
      </c>
      <c r="AM2" s="159" t="s">
        <v>351</v>
      </c>
      <c r="AN2" s="159" t="s">
        <v>353</v>
      </c>
      <c r="AO2" s="159" t="s">
        <v>359</v>
      </c>
      <c r="AP2" s="159" t="s">
        <v>365</v>
      </c>
      <c r="AQ2" s="159" t="s">
        <v>361</v>
      </c>
      <c r="AR2" s="159" t="s">
        <v>362</v>
      </c>
      <c r="AS2" s="159" t="s">
        <v>363</v>
      </c>
      <c r="AT2" s="159" t="s">
        <v>366</v>
      </c>
      <c r="AU2" s="159" t="s">
        <v>367</v>
      </c>
      <c r="AV2" s="159" t="s">
        <v>360</v>
      </c>
      <c r="AW2" s="159" t="s">
        <v>374</v>
      </c>
      <c r="AX2" s="159" t="s">
        <v>368</v>
      </c>
      <c r="AY2" s="159" t="s">
        <v>369</v>
      </c>
      <c r="AZ2" s="159" t="s">
        <v>370</v>
      </c>
      <c r="BA2" s="159" t="s">
        <v>371</v>
      </c>
      <c r="BB2" s="159" t="s">
        <v>372</v>
      </c>
      <c r="BC2" s="159" t="s">
        <v>373</v>
      </c>
      <c r="BD2" s="159" t="s">
        <v>375</v>
      </c>
      <c r="BE2" s="159" t="s">
        <v>381</v>
      </c>
      <c r="BF2" s="159" t="s">
        <v>384</v>
      </c>
      <c r="BG2" s="159" t="s">
        <v>397</v>
      </c>
      <c r="BH2" s="159" t="s">
        <v>398</v>
      </c>
      <c r="BI2" s="159" t="s">
        <v>399</v>
      </c>
      <c r="BJ2" s="159" t="s">
        <v>401</v>
      </c>
      <c r="BK2" s="159" t="s">
        <v>402</v>
      </c>
      <c r="BL2" s="159" t="s">
        <v>405</v>
      </c>
      <c r="BM2" s="159" t="s">
        <v>417</v>
      </c>
      <c r="BN2" s="159" t="s">
        <v>418</v>
      </c>
      <c r="BO2" s="159" t="s">
        <v>419</v>
      </c>
      <c r="BP2" s="159" t="s">
        <v>423</v>
      </c>
      <c r="BQ2" s="159" t="s">
        <v>484</v>
      </c>
      <c r="BR2" s="159" t="s">
        <v>451</v>
      </c>
      <c r="BS2" s="102" t="s">
        <v>474</v>
      </c>
      <c r="BT2" s="104" t="s">
        <v>489</v>
      </c>
      <c r="BU2" s="102" t="s">
        <v>497</v>
      </c>
      <c r="BV2" s="104" t="s">
        <v>502</v>
      </c>
      <c r="BW2" s="104" t="s">
        <v>512</v>
      </c>
      <c r="BX2" s="159" t="s">
        <v>899</v>
      </c>
      <c r="BY2" s="126" t="s">
        <v>903</v>
      </c>
      <c r="BZ2" s="126" t="s">
        <v>1128</v>
      </c>
      <c r="CA2" s="126" t="s">
        <v>929</v>
      </c>
      <c r="CB2" s="126" t="s">
        <v>948</v>
      </c>
      <c r="CC2" s="126" t="s">
        <v>955</v>
      </c>
      <c r="CD2" s="161" t="s">
        <v>981</v>
      </c>
      <c r="CE2" s="126" t="s">
        <v>1003</v>
      </c>
      <c r="CF2" s="126" t="s">
        <v>1013</v>
      </c>
      <c r="CG2" s="165" t="s">
        <v>1174</v>
      </c>
      <c r="CH2" s="54"/>
      <c r="CI2" s="54"/>
      <c r="CJ2" s="54"/>
      <c r="CK2" s="54"/>
      <c r="CL2" s="54"/>
      <c r="CM2" s="54"/>
      <c r="CN2" s="54"/>
      <c r="CO2" s="1"/>
      <c r="CP2" s="1"/>
      <c r="CQ2" s="1"/>
      <c r="CR2" s="1"/>
      <c r="DA2" s="132">
        <v>44639</v>
      </c>
    </row>
    <row r="3" spans="1:105" ht="20.25" customHeight="1" x14ac:dyDescent="0.35">
      <c r="A3" s="65"/>
      <c r="B3" s="79" t="s">
        <v>513</v>
      </c>
      <c r="C3" s="79" t="s">
        <v>156</v>
      </c>
      <c r="D3" s="65" t="s">
        <v>380</v>
      </c>
      <c r="E3" s="65" t="s">
        <v>59</v>
      </c>
      <c r="F3" s="65" t="s">
        <v>1051</v>
      </c>
      <c r="G3" s="65" t="s">
        <v>41</v>
      </c>
      <c r="H3" s="73">
        <v>17.670000000000002</v>
      </c>
      <c r="I3" s="3"/>
      <c r="J3" s="3"/>
      <c r="K3" s="3"/>
      <c r="L3" s="3">
        <v>32</v>
      </c>
      <c r="M3" s="3">
        <v>32</v>
      </c>
      <c r="N3" s="89">
        <v>31</v>
      </c>
      <c r="O3" s="3">
        <v>32</v>
      </c>
      <c r="P3" s="89">
        <v>32</v>
      </c>
      <c r="Q3" s="3">
        <v>32</v>
      </c>
      <c r="R3" s="3">
        <v>32</v>
      </c>
      <c r="S3" s="3">
        <v>32</v>
      </c>
      <c r="T3" s="3"/>
      <c r="U3" s="3"/>
      <c r="V3" s="87"/>
      <c r="W3" s="3"/>
      <c r="X3" s="3"/>
      <c r="Y3" s="3"/>
      <c r="Z3" s="3"/>
      <c r="AA3" s="3"/>
      <c r="AB3" s="3"/>
      <c r="AC3" s="3">
        <v>31</v>
      </c>
      <c r="AD3" s="3"/>
      <c r="AE3" s="3"/>
      <c r="AF3" s="3"/>
      <c r="AG3" s="3"/>
      <c r="AH3" s="3"/>
      <c r="AI3" s="3"/>
      <c r="AJ3" s="3"/>
      <c r="AK3" s="1"/>
      <c r="AL3" s="1"/>
      <c r="AM3" s="1"/>
      <c r="AN3" s="1"/>
      <c r="AO3" s="1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3"/>
      <c r="BY3" s="72"/>
      <c r="BZ3" s="72">
        <v>32</v>
      </c>
      <c r="CA3" s="72"/>
      <c r="CB3" s="72"/>
      <c r="CC3" s="72"/>
      <c r="CD3" s="72"/>
      <c r="CE3" s="72"/>
      <c r="CF3" s="72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DA3" s="139">
        <f t="shared" ref="DA3:DA9" si="0">H3</f>
        <v>17.670000000000002</v>
      </c>
    </row>
    <row r="4" spans="1:105" ht="20.25" customHeight="1" x14ac:dyDescent="0.35">
      <c r="A4" s="65" t="s">
        <v>103</v>
      </c>
      <c r="B4" s="79" t="s">
        <v>514</v>
      </c>
      <c r="C4" s="79" t="s">
        <v>156</v>
      </c>
      <c r="D4" s="88" t="s">
        <v>380</v>
      </c>
      <c r="E4" s="65" t="s">
        <v>59</v>
      </c>
      <c r="F4" s="65" t="s">
        <v>516</v>
      </c>
      <c r="G4" s="65" t="s">
        <v>153</v>
      </c>
      <c r="H4" s="73">
        <f>H3+1.4</f>
        <v>19.07</v>
      </c>
      <c r="I4" s="89">
        <v>33</v>
      </c>
      <c r="J4" s="3">
        <v>30</v>
      </c>
      <c r="K4" s="3"/>
      <c r="L4" s="3"/>
      <c r="M4" s="3"/>
      <c r="N4" s="151"/>
      <c r="O4" s="3"/>
      <c r="P4" s="3"/>
      <c r="Q4" s="3"/>
      <c r="R4" s="3"/>
      <c r="S4" s="3"/>
      <c r="T4" s="3"/>
      <c r="U4" s="3"/>
      <c r="V4" s="87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1"/>
      <c r="AL4" s="1"/>
      <c r="AM4" s="1"/>
      <c r="AN4" s="1"/>
      <c r="AO4" s="3">
        <v>30</v>
      </c>
      <c r="AP4" s="3">
        <v>30</v>
      </c>
      <c r="AQ4" s="3"/>
      <c r="AR4" s="3">
        <v>30</v>
      </c>
      <c r="AS4" s="3"/>
      <c r="AT4" s="3">
        <v>30</v>
      </c>
      <c r="AU4" s="3">
        <v>30</v>
      </c>
      <c r="AV4" s="3">
        <v>30</v>
      </c>
      <c r="AW4" s="3"/>
      <c r="AX4" s="3">
        <v>30</v>
      </c>
      <c r="AY4" s="3">
        <v>30</v>
      </c>
      <c r="AZ4" s="3">
        <v>30</v>
      </c>
      <c r="BA4" s="3"/>
      <c r="BB4" s="3"/>
      <c r="BC4" s="3">
        <v>30</v>
      </c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>
        <v>34</v>
      </c>
      <c r="BV4" s="1"/>
      <c r="BW4" s="1"/>
      <c r="BX4" s="3">
        <f>J4</f>
        <v>30</v>
      </c>
      <c r="BY4" s="72"/>
      <c r="BZ4" s="72"/>
      <c r="CA4" s="72"/>
      <c r="CB4" s="72"/>
      <c r="CC4" s="72"/>
      <c r="CD4" s="72"/>
      <c r="CE4" s="72"/>
      <c r="CF4" s="72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DA4" s="139">
        <f t="shared" si="0"/>
        <v>19.07</v>
      </c>
    </row>
    <row r="5" spans="1:105" ht="20.25" customHeight="1" x14ac:dyDescent="0.35">
      <c r="A5" s="65"/>
      <c r="B5" s="79" t="s">
        <v>515</v>
      </c>
      <c r="C5" s="79" t="s">
        <v>156</v>
      </c>
      <c r="D5" s="88" t="s">
        <v>380</v>
      </c>
      <c r="E5" s="65" t="s">
        <v>59</v>
      </c>
      <c r="F5" s="65" t="s">
        <v>1094</v>
      </c>
      <c r="G5" s="65" t="s">
        <v>32</v>
      </c>
      <c r="H5" s="73">
        <f>H4/5</f>
        <v>3.8140000000000001</v>
      </c>
      <c r="I5" s="89"/>
      <c r="J5" s="3"/>
      <c r="K5" s="3"/>
      <c r="L5" s="3"/>
      <c r="M5" s="3"/>
      <c r="N5" s="151"/>
      <c r="O5" s="3"/>
      <c r="P5" s="3"/>
      <c r="Q5" s="3"/>
      <c r="R5" s="3"/>
      <c r="S5" s="3"/>
      <c r="T5" s="3"/>
      <c r="U5" s="3"/>
      <c r="V5" s="87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1"/>
      <c r="AL5" s="1"/>
      <c r="AM5" s="1"/>
      <c r="AN5" s="1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3"/>
      <c r="BY5" s="72"/>
      <c r="BZ5" s="72"/>
      <c r="CA5" s="72"/>
      <c r="CB5" s="72"/>
      <c r="CC5" s="72"/>
      <c r="CD5" s="72"/>
      <c r="CE5" s="72"/>
      <c r="CF5" s="72">
        <v>8</v>
      </c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DA5" s="139">
        <f t="shared" si="0"/>
        <v>3.8140000000000001</v>
      </c>
    </row>
    <row r="6" spans="1:105" ht="20.25" customHeight="1" x14ac:dyDescent="0.35">
      <c r="A6" s="65"/>
      <c r="B6" s="79" t="s">
        <v>1050</v>
      </c>
      <c r="C6" s="79" t="s">
        <v>156</v>
      </c>
      <c r="D6" s="88" t="s">
        <v>380</v>
      </c>
      <c r="E6" s="65" t="s">
        <v>425</v>
      </c>
      <c r="F6" s="65" t="s">
        <v>1051</v>
      </c>
      <c r="G6" s="65"/>
      <c r="H6" s="73">
        <f>(17+22)/2</f>
        <v>19.5</v>
      </c>
      <c r="I6" s="89"/>
      <c r="J6" s="3"/>
      <c r="K6" s="3"/>
      <c r="L6" s="3"/>
      <c r="M6" s="3"/>
      <c r="N6" s="151"/>
      <c r="O6" s="3"/>
      <c r="P6" s="3"/>
      <c r="Q6" s="3"/>
      <c r="R6" s="3"/>
      <c r="S6" s="3"/>
      <c r="T6" s="3"/>
      <c r="U6" s="3"/>
      <c r="V6" s="87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1"/>
      <c r="AL6" s="1"/>
      <c r="AM6" s="1"/>
      <c r="AN6" s="1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3"/>
      <c r="BY6" s="72"/>
      <c r="BZ6" s="72"/>
      <c r="CA6" s="72"/>
      <c r="CB6" s="72"/>
      <c r="CC6" s="72"/>
      <c r="CD6" s="72"/>
      <c r="CE6" s="72"/>
      <c r="CF6" s="72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DA6" s="139">
        <f t="shared" si="0"/>
        <v>19.5</v>
      </c>
    </row>
    <row r="7" spans="1:105" ht="20.25" customHeight="1" x14ac:dyDescent="0.35">
      <c r="A7" s="65"/>
      <c r="B7" s="79" t="s">
        <v>518</v>
      </c>
      <c r="C7" s="79" t="s">
        <v>157</v>
      </c>
      <c r="D7" s="88" t="s">
        <v>380</v>
      </c>
      <c r="E7" s="65" t="s">
        <v>59</v>
      </c>
      <c r="F7" s="65" t="s">
        <v>516</v>
      </c>
      <c r="G7" s="65" t="s">
        <v>153</v>
      </c>
      <c r="H7" s="73">
        <v>22.36</v>
      </c>
      <c r="I7" s="89">
        <v>35</v>
      </c>
      <c r="J7" s="3">
        <v>35</v>
      </c>
      <c r="K7" s="3"/>
      <c r="L7" s="3"/>
      <c r="M7" s="3"/>
      <c r="N7" s="3"/>
      <c r="O7" s="3"/>
      <c r="P7" s="3"/>
      <c r="Q7" s="3"/>
      <c r="R7" s="3"/>
      <c r="S7" s="3">
        <v>38</v>
      </c>
      <c r="T7" s="3"/>
      <c r="U7" s="3"/>
      <c r="V7" s="87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1"/>
      <c r="AL7" s="1"/>
      <c r="AM7" s="1"/>
      <c r="AN7" s="1"/>
      <c r="AO7" s="1"/>
      <c r="AP7" s="3">
        <v>35</v>
      </c>
      <c r="AQ7" s="3"/>
      <c r="AR7" s="3"/>
      <c r="AS7" s="3">
        <v>35</v>
      </c>
      <c r="AT7" s="3"/>
      <c r="AU7" s="3"/>
      <c r="AV7" s="3"/>
      <c r="AW7" s="3"/>
      <c r="AX7" s="3"/>
      <c r="AY7" s="3"/>
      <c r="AZ7" s="3">
        <v>35</v>
      </c>
      <c r="BA7" s="3"/>
      <c r="BB7" s="3"/>
      <c r="BC7" s="3">
        <v>35</v>
      </c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>
        <v>36</v>
      </c>
      <c r="BQ7" s="1"/>
      <c r="BR7" s="1"/>
      <c r="BS7" s="1"/>
      <c r="BT7" s="1"/>
      <c r="BU7" s="1"/>
      <c r="BV7" s="1"/>
      <c r="BW7" s="1"/>
      <c r="BX7" s="3"/>
      <c r="BY7" s="72"/>
      <c r="BZ7" s="72"/>
      <c r="CA7" s="72"/>
      <c r="CB7" s="72"/>
      <c r="CC7" s="72"/>
      <c r="CD7" s="72"/>
      <c r="CE7" s="72"/>
      <c r="CF7" s="72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DA7" s="139">
        <f t="shared" si="0"/>
        <v>22.36</v>
      </c>
    </row>
    <row r="8" spans="1:105" ht="20.25" customHeight="1" x14ac:dyDescent="0.35">
      <c r="A8" s="65"/>
      <c r="B8" s="79" t="s">
        <v>519</v>
      </c>
      <c r="C8" s="79" t="s">
        <v>157</v>
      </c>
      <c r="D8" s="65" t="s">
        <v>380</v>
      </c>
      <c r="E8" s="65" t="s">
        <v>59</v>
      </c>
      <c r="F8" s="65" t="s">
        <v>1094</v>
      </c>
      <c r="G8" s="65" t="s">
        <v>32</v>
      </c>
      <c r="H8" s="73">
        <f>H7/5</f>
        <v>4.4719999999999995</v>
      </c>
      <c r="I8" s="3"/>
      <c r="J8" s="3"/>
      <c r="K8" s="3"/>
      <c r="L8" s="3"/>
      <c r="M8" s="3"/>
      <c r="N8" s="3"/>
      <c r="O8" s="3"/>
      <c r="P8" s="3"/>
      <c r="Q8" s="3"/>
      <c r="R8" s="3"/>
      <c r="S8" s="3">
        <v>10</v>
      </c>
      <c r="T8" s="3"/>
      <c r="U8" s="3"/>
      <c r="V8" s="87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1"/>
      <c r="AL8" s="1"/>
      <c r="AM8" s="1"/>
      <c r="AN8" s="1"/>
      <c r="AO8" s="1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1"/>
      <c r="BE8" s="1"/>
      <c r="BF8" s="1"/>
      <c r="BG8" s="1"/>
      <c r="BH8" s="1"/>
      <c r="BI8" s="1"/>
      <c r="BJ8" s="1"/>
      <c r="BK8" s="11">
        <v>10</v>
      </c>
      <c r="BL8" s="1"/>
      <c r="BM8" s="1"/>
      <c r="BN8" s="1"/>
      <c r="BO8" s="1"/>
      <c r="BP8" s="1"/>
      <c r="BQ8" s="1"/>
      <c r="BR8" s="1"/>
      <c r="BS8" s="1"/>
      <c r="BT8" s="1">
        <v>7</v>
      </c>
      <c r="BU8" s="1"/>
      <c r="BV8" s="1"/>
      <c r="BW8" s="1"/>
      <c r="BX8" s="3"/>
      <c r="BY8" s="72">
        <v>10</v>
      </c>
      <c r="BZ8" s="72"/>
      <c r="CA8" s="72"/>
      <c r="CB8" s="72"/>
      <c r="CC8" s="72"/>
      <c r="CD8" s="72"/>
      <c r="CE8" s="72"/>
      <c r="CF8" s="72">
        <v>10</v>
      </c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DA8" s="139">
        <f t="shared" si="0"/>
        <v>4.4719999999999995</v>
      </c>
    </row>
    <row r="9" spans="1:105" ht="20.25" customHeight="1" x14ac:dyDescent="0.35">
      <c r="A9" s="65"/>
      <c r="B9" s="79" t="s">
        <v>1046</v>
      </c>
      <c r="C9" s="79" t="s">
        <v>157</v>
      </c>
      <c r="D9" s="65"/>
      <c r="E9" s="65" t="s">
        <v>425</v>
      </c>
      <c r="F9" s="65" t="s">
        <v>1051</v>
      </c>
      <c r="G9" s="65"/>
      <c r="H9" s="73">
        <v>21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87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1"/>
      <c r="AL9" s="1"/>
      <c r="AM9" s="1"/>
      <c r="AN9" s="1"/>
      <c r="AO9" s="1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3"/>
      <c r="BY9" s="72"/>
      <c r="BZ9" s="72"/>
      <c r="CA9" s="72"/>
      <c r="CB9" s="72"/>
      <c r="CC9" s="72"/>
      <c r="CD9" s="72"/>
      <c r="CE9" s="72"/>
      <c r="CF9" s="72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DA9" s="139">
        <f t="shared" si="0"/>
        <v>21</v>
      </c>
    </row>
    <row r="10" spans="1:105" ht="20.25" customHeight="1" x14ac:dyDescent="0.35">
      <c r="A10" s="65" t="s">
        <v>110</v>
      </c>
      <c r="B10" s="79" t="s">
        <v>520</v>
      </c>
      <c r="C10" s="79" t="s">
        <v>158</v>
      </c>
      <c r="D10" s="88" t="s">
        <v>380</v>
      </c>
      <c r="E10" s="65" t="s">
        <v>59</v>
      </c>
      <c r="F10" s="65" t="s">
        <v>1094</v>
      </c>
      <c r="G10" s="65" t="s">
        <v>32</v>
      </c>
      <c r="H10" s="73">
        <v>4.71</v>
      </c>
      <c r="I10" s="89">
        <v>8</v>
      </c>
      <c r="J10" s="3">
        <v>7</v>
      </c>
      <c r="K10" s="3"/>
      <c r="L10" s="3"/>
      <c r="M10" s="3"/>
      <c r="N10" s="89">
        <v>7</v>
      </c>
      <c r="O10" s="3">
        <v>7</v>
      </c>
      <c r="P10" s="89">
        <v>7</v>
      </c>
      <c r="Q10" s="3">
        <v>6</v>
      </c>
      <c r="R10" s="3"/>
      <c r="S10" s="3">
        <v>7</v>
      </c>
      <c r="T10" s="3"/>
      <c r="U10" s="3"/>
      <c r="V10" s="87"/>
      <c r="W10" s="3"/>
      <c r="X10" s="3"/>
      <c r="Y10" s="3"/>
      <c r="Z10" s="3"/>
      <c r="AA10" s="3"/>
      <c r="AB10" s="3"/>
      <c r="AC10" s="3">
        <v>7</v>
      </c>
      <c r="AD10" s="3"/>
      <c r="AE10" s="3"/>
      <c r="AF10" s="3"/>
      <c r="AG10" s="3"/>
      <c r="AH10" s="3"/>
      <c r="AI10" s="3"/>
      <c r="AJ10" s="3"/>
      <c r="AK10" s="1"/>
      <c r="AL10" s="1"/>
      <c r="AM10" s="1"/>
      <c r="AN10" s="1"/>
      <c r="AO10" s="1"/>
      <c r="AP10" s="3">
        <v>7</v>
      </c>
      <c r="AQ10" s="3">
        <v>7</v>
      </c>
      <c r="AR10" s="3">
        <v>7</v>
      </c>
      <c r="AS10" s="3">
        <v>7</v>
      </c>
      <c r="AT10" s="3">
        <v>7</v>
      </c>
      <c r="AU10" s="3">
        <v>7</v>
      </c>
      <c r="AV10" s="3">
        <v>7</v>
      </c>
      <c r="AW10" s="3">
        <v>7</v>
      </c>
      <c r="AX10" s="3">
        <v>7</v>
      </c>
      <c r="AY10" s="3">
        <v>7</v>
      </c>
      <c r="AZ10" s="3">
        <v>7</v>
      </c>
      <c r="BA10" s="3">
        <v>7</v>
      </c>
      <c r="BB10" s="3"/>
      <c r="BC10" s="3">
        <v>7</v>
      </c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>
        <v>7</v>
      </c>
      <c r="BU10" s="1"/>
      <c r="BV10" s="1"/>
      <c r="BW10" s="1"/>
      <c r="BX10" s="3">
        <f>J10</f>
        <v>7</v>
      </c>
      <c r="BY10" s="72"/>
      <c r="BZ10" s="72">
        <v>7</v>
      </c>
      <c r="CA10" s="72"/>
      <c r="CB10" s="72"/>
      <c r="CC10" s="72"/>
      <c r="CD10" s="72"/>
      <c r="CE10" s="72"/>
      <c r="CF10" s="72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DA10" s="66">
        <f t="shared" ref="DA10:DA18" si="1">H10</f>
        <v>4.71</v>
      </c>
    </row>
    <row r="11" spans="1:105" ht="20.25" customHeight="1" x14ac:dyDescent="0.35">
      <c r="A11" s="65"/>
      <c r="B11" s="79" t="s">
        <v>1045</v>
      </c>
      <c r="C11" s="79" t="s">
        <v>158</v>
      </c>
      <c r="D11" s="88"/>
      <c r="E11" s="65" t="s">
        <v>425</v>
      </c>
      <c r="F11" s="65" t="s">
        <v>1052</v>
      </c>
      <c r="G11" s="65"/>
      <c r="H11" s="73">
        <v>26</v>
      </c>
      <c r="I11" s="89"/>
      <c r="J11" s="3"/>
      <c r="K11" s="3"/>
      <c r="L11" s="3"/>
      <c r="M11" s="3"/>
      <c r="N11" s="89"/>
      <c r="O11" s="3"/>
      <c r="P11" s="89"/>
      <c r="Q11" s="3"/>
      <c r="R11" s="3"/>
      <c r="S11" s="3"/>
      <c r="T11" s="3"/>
      <c r="U11" s="3"/>
      <c r="V11" s="87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1"/>
      <c r="AL11" s="1"/>
      <c r="AM11" s="1"/>
      <c r="AN11" s="1"/>
      <c r="AO11" s="1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3"/>
      <c r="BY11" s="72"/>
      <c r="BZ11" s="72"/>
      <c r="CA11" s="72"/>
      <c r="CB11" s="72"/>
      <c r="CC11" s="72"/>
      <c r="CD11" s="72"/>
      <c r="CE11" s="72"/>
      <c r="CF11" s="72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DA11" s="139">
        <f t="shared" si="1"/>
        <v>26</v>
      </c>
    </row>
    <row r="12" spans="1:105" ht="20.25" customHeight="1" x14ac:dyDescent="0.35">
      <c r="A12" s="65" t="s">
        <v>111</v>
      </c>
      <c r="B12" s="79" t="s">
        <v>521</v>
      </c>
      <c r="C12" s="79" t="s">
        <v>159</v>
      </c>
      <c r="D12" s="88" t="s">
        <v>380</v>
      </c>
      <c r="E12" s="65" t="s">
        <v>59</v>
      </c>
      <c r="F12" s="65" t="s">
        <v>1094</v>
      </c>
      <c r="G12" s="65" t="s">
        <v>32</v>
      </c>
      <c r="H12" s="73">
        <v>2.16</v>
      </c>
      <c r="I12" s="89">
        <v>7</v>
      </c>
      <c r="J12" s="3">
        <v>7</v>
      </c>
      <c r="K12" s="3"/>
      <c r="L12" s="3"/>
      <c r="M12" s="3"/>
      <c r="N12" s="89">
        <v>6</v>
      </c>
      <c r="O12" s="3">
        <v>7</v>
      </c>
      <c r="P12" s="89">
        <v>6</v>
      </c>
      <c r="Q12" s="3">
        <v>6</v>
      </c>
      <c r="R12" s="3"/>
      <c r="S12" s="3">
        <v>7</v>
      </c>
      <c r="T12" s="3"/>
      <c r="U12" s="3"/>
      <c r="V12" s="87"/>
      <c r="W12" s="3"/>
      <c r="X12" s="3"/>
      <c r="Y12" s="3"/>
      <c r="Z12" s="3"/>
      <c r="AA12" s="3"/>
      <c r="AB12" s="3"/>
      <c r="AC12" s="3">
        <v>7</v>
      </c>
      <c r="AD12" s="3"/>
      <c r="AE12" s="3"/>
      <c r="AF12" s="3"/>
      <c r="AG12" s="3"/>
      <c r="AH12" s="3"/>
      <c r="AI12" s="3"/>
      <c r="AJ12" s="3"/>
      <c r="AK12" s="1"/>
      <c r="AL12" s="1"/>
      <c r="AM12" s="1"/>
      <c r="AN12" s="1"/>
      <c r="AO12" s="1"/>
      <c r="AP12" s="3">
        <v>7</v>
      </c>
      <c r="AQ12" s="3">
        <v>7</v>
      </c>
      <c r="AR12" s="3">
        <v>7</v>
      </c>
      <c r="AS12" s="3">
        <v>7</v>
      </c>
      <c r="AT12" s="3">
        <v>7</v>
      </c>
      <c r="AU12" s="3">
        <v>7</v>
      </c>
      <c r="AV12" s="3">
        <v>7</v>
      </c>
      <c r="AW12" s="3">
        <v>7</v>
      </c>
      <c r="AX12" s="3">
        <v>7</v>
      </c>
      <c r="AY12" s="3">
        <v>7</v>
      </c>
      <c r="AZ12" s="3">
        <v>7</v>
      </c>
      <c r="BA12" s="3">
        <v>7</v>
      </c>
      <c r="BB12" s="3">
        <v>7</v>
      </c>
      <c r="BC12" s="3">
        <v>7</v>
      </c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>
        <v>7</v>
      </c>
      <c r="BU12" s="1"/>
      <c r="BV12" s="1"/>
      <c r="BW12" s="1"/>
      <c r="BX12" s="3">
        <f>J12</f>
        <v>7</v>
      </c>
      <c r="BY12" s="72">
        <v>7</v>
      </c>
      <c r="BZ12" s="72">
        <v>7</v>
      </c>
      <c r="CA12" s="72"/>
      <c r="CB12" s="72"/>
      <c r="CC12" s="72"/>
      <c r="CD12" s="72"/>
      <c r="CE12" s="72"/>
      <c r="CF12" s="72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DA12" s="66">
        <f t="shared" si="1"/>
        <v>2.16</v>
      </c>
    </row>
    <row r="13" spans="1:105" ht="20.25" customHeight="1" x14ac:dyDescent="0.35">
      <c r="A13" s="65"/>
      <c r="B13" s="79" t="s">
        <v>522</v>
      </c>
      <c r="C13" s="79" t="s">
        <v>160</v>
      </c>
      <c r="D13" s="88" t="s">
        <v>380</v>
      </c>
      <c r="E13" s="65" t="s">
        <v>59</v>
      </c>
      <c r="F13" s="65" t="s">
        <v>1094</v>
      </c>
      <c r="G13" s="65" t="s">
        <v>32</v>
      </c>
      <c r="H13" s="73">
        <v>3.66</v>
      </c>
      <c r="I13" s="89">
        <v>8</v>
      </c>
      <c r="J13" s="3">
        <v>6</v>
      </c>
      <c r="K13" s="3"/>
      <c r="L13" s="3"/>
      <c r="M13" s="3"/>
      <c r="N13" s="3"/>
      <c r="O13" s="3">
        <v>7</v>
      </c>
      <c r="P13" s="89">
        <v>7</v>
      </c>
      <c r="Q13" s="3">
        <v>6</v>
      </c>
      <c r="R13" s="3"/>
      <c r="S13" s="3"/>
      <c r="T13" s="3"/>
      <c r="U13" s="3"/>
      <c r="V13" s="87"/>
      <c r="W13" s="3">
        <v>8</v>
      </c>
      <c r="X13" s="3"/>
      <c r="Y13" s="3"/>
      <c r="Z13" s="3"/>
      <c r="AA13" s="3"/>
      <c r="AB13" s="3"/>
      <c r="AC13" s="3">
        <v>7</v>
      </c>
      <c r="AD13" s="3"/>
      <c r="AE13" s="3"/>
      <c r="AF13" s="3"/>
      <c r="AG13" s="3"/>
      <c r="AH13" s="3"/>
      <c r="AI13" s="3"/>
      <c r="AJ13" s="3"/>
      <c r="AK13" s="1"/>
      <c r="AL13" s="1"/>
      <c r="AM13" s="1"/>
      <c r="AN13" s="1"/>
      <c r="AO13" s="1"/>
      <c r="AP13" s="3">
        <v>6</v>
      </c>
      <c r="AQ13" s="3">
        <v>6</v>
      </c>
      <c r="AR13" s="3">
        <v>6</v>
      </c>
      <c r="AS13" s="3"/>
      <c r="AT13" s="3">
        <v>6</v>
      </c>
      <c r="AU13" s="3">
        <v>6</v>
      </c>
      <c r="AV13" s="3">
        <v>6</v>
      </c>
      <c r="AW13" s="3">
        <v>6</v>
      </c>
      <c r="AX13" s="3">
        <v>6</v>
      </c>
      <c r="AY13" s="3">
        <v>6</v>
      </c>
      <c r="AZ13" s="3">
        <v>6</v>
      </c>
      <c r="BA13" s="3">
        <v>6</v>
      </c>
      <c r="BB13" s="3"/>
      <c r="BC13" s="3">
        <v>6</v>
      </c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3"/>
      <c r="BY13" s="72">
        <v>9</v>
      </c>
      <c r="BZ13" s="72"/>
      <c r="CA13" s="72"/>
      <c r="CB13" s="72"/>
      <c r="CC13" s="72"/>
      <c r="CD13" s="72"/>
      <c r="CE13" s="72"/>
      <c r="CF13" s="72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DA13" s="66">
        <f t="shared" si="1"/>
        <v>3.66</v>
      </c>
    </row>
    <row r="14" spans="1:105" ht="20.25" customHeight="1" x14ac:dyDescent="0.35">
      <c r="A14" s="5"/>
      <c r="B14" s="79" t="s">
        <v>523</v>
      </c>
      <c r="C14" s="79" t="s">
        <v>161</v>
      </c>
      <c r="D14" s="88" t="s">
        <v>380</v>
      </c>
      <c r="E14" s="65" t="s">
        <v>35</v>
      </c>
      <c r="F14" s="65" t="s">
        <v>1094</v>
      </c>
      <c r="G14" s="65" t="s">
        <v>32</v>
      </c>
      <c r="H14" s="73">
        <v>5</v>
      </c>
      <c r="I14" s="3">
        <v>0</v>
      </c>
      <c r="J14" s="3"/>
      <c r="K14" s="3"/>
      <c r="L14" s="3"/>
      <c r="M14" s="3"/>
      <c r="N14" s="3"/>
      <c r="O14" s="3">
        <v>6</v>
      </c>
      <c r="P14" s="89">
        <v>6</v>
      </c>
      <c r="Q14" s="3">
        <v>7</v>
      </c>
      <c r="R14" s="3"/>
      <c r="S14" s="3"/>
      <c r="T14" s="3"/>
      <c r="U14" s="3"/>
      <c r="V14" s="87"/>
      <c r="W14" s="3"/>
      <c r="X14" s="3"/>
      <c r="Y14" s="3"/>
      <c r="Z14" s="3"/>
      <c r="AA14" s="3"/>
      <c r="AB14" s="3"/>
      <c r="AC14" s="3">
        <v>6</v>
      </c>
      <c r="AD14" s="3"/>
      <c r="AE14" s="3"/>
      <c r="AF14" s="3"/>
      <c r="AG14" s="3"/>
      <c r="AH14" s="3"/>
      <c r="AI14" s="3"/>
      <c r="AJ14" s="3"/>
      <c r="AK14" s="1"/>
      <c r="AL14" s="1"/>
      <c r="AM14" s="1"/>
      <c r="AN14" s="1"/>
      <c r="AO14" s="1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3"/>
      <c r="BY14" s="72"/>
      <c r="BZ14" s="72"/>
      <c r="CA14" s="72"/>
      <c r="CB14" s="72"/>
      <c r="CC14" s="72"/>
      <c r="CD14" s="72"/>
      <c r="CE14" s="72"/>
      <c r="CF14" s="72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DA14" s="139">
        <f t="shared" si="1"/>
        <v>5</v>
      </c>
    </row>
    <row r="15" spans="1:105" ht="20.25" customHeight="1" x14ac:dyDescent="0.35">
      <c r="A15" s="65"/>
      <c r="B15" s="79" t="s">
        <v>524</v>
      </c>
      <c r="C15" s="79" t="s">
        <v>466</v>
      </c>
      <c r="D15" s="88" t="s">
        <v>380</v>
      </c>
      <c r="E15" s="65" t="s">
        <v>35</v>
      </c>
      <c r="F15" s="65" t="s">
        <v>1094</v>
      </c>
      <c r="G15" s="65" t="s">
        <v>32</v>
      </c>
      <c r="H15" s="73">
        <v>6.5</v>
      </c>
      <c r="I15" s="89">
        <v>10</v>
      </c>
      <c r="J15" s="3"/>
      <c r="K15" s="3"/>
      <c r="L15" s="3"/>
      <c r="M15" s="3"/>
      <c r="N15" s="3"/>
      <c r="O15" s="3">
        <v>7</v>
      </c>
      <c r="P15" s="89">
        <v>7</v>
      </c>
      <c r="Q15" s="3">
        <v>7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7</v>
      </c>
      <c r="AD15" s="3"/>
      <c r="AE15" s="3"/>
      <c r="AF15" s="3"/>
      <c r="AG15" s="3"/>
      <c r="AH15" s="3"/>
      <c r="AI15" s="3"/>
      <c r="AJ15" s="3"/>
      <c r="AK15" s="1"/>
      <c r="AL15" s="1"/>
      <c r="AM15" s="1"/>
      <c r="AN15" s="1"/>
      <c r="AO15" s="1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3"/>
      <c r="BY15" s="72"/>
      <c r="BZ15" s="72"/>
      <c r="CA15" s="72"/>
      <c r="CB15" s="72"/>
      <c r="CC15" s="72"/>
      <c r="CD15" s="72"/>
      <c r="CE15" s="72"/>
      <c r="CF15" s="72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DA15" s="139">
        <f t="shared" si="1"/>
        <v>6.5</v>
      </c>
    </row>
    <row r="16" spans="1:105" ht="20.25" customHeight="1" x14ac:dyDescent="0.35">
      <c r="A16" s="65"/>
      <c r="B16" s="79" t="s">
        <v>525</v>
      </c>
      <c r="C16" s="79" t="s">
        <v>467</v>
      </c>
      <c r="D16" s="88" t="s">
        <v>380</v>
      </c>
      <c r="E16" s="65" t="s">
        <v>35</v>
      </c>
      <c r="F16" s="65" t="s">
        <v>1094</v>
      </c>
      <c r="G16" s="65" t="s">
        <v>32</v>
      </c>
      <c r="H16" s="73">
        <v>8</v>
      </c>
      <c r="I16" s="89">
        <v>12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>
        <v>8</v>
      </c>
      <c r="AD16" s="3"/>
      <c r="AE16" s="3"/>
      <c r="AF16" s="3"/>
      <c r="AG16" s="3"/>
      <c r="AH16" s="3"/>
      <c r="AI16" s="3"/>
      <c r="AJ16" s="3"/>
      <c r="AK16" s="1"/>
      <c r="AL16" s="1"/>
      <c r="AM16" s="1"/>
      <c r="AN16" s="1"/>
      <c r="AO16" s="1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3"/>
      <c r="BY16" s="72"/>
      <c r="BZ16" s="72"/>
      <c r="CA16" s="72"/>
      <c r="CB16" s="72"/>
      <c r="CC16" s="72"/>
      <c r="CD16" s="72"/>
      <c r="CE16" s="72"/>
      <c r="CF16" s="72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DA16" s="139">
        <f t="shared" si="1"/>
        <v>8</v>
      </c>
    </row>
    <row r="17" spans="1:105" ht="20.25" customHeight="1" x14ac:dyDescent="0.35">
      <c r="A17" s="65"/>
      <c r="B17" s="79" t="s">
        <v>526</v>
      </c>
      <c r="C17" s="79" t="s">
        <v>227</v>
      </c>
      <c r="D17" s="88" t="s">
        <v>380</v>
      </c>
      <c r="E17" s="65" t="s">
        <v>35</v>
      </c>
      <c r="F17" s="65" t="s">
        <v>1094</v>
      </c>
      <c r="G17" s="65" t="s">
        <v>32</v>
      </c>
      <c r="H17" s="86">
        <v>5.5</v>
      </c>
      <c r="I17" s="89">
        <v>12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151"/>
      <c r="W17" s="3"/>
      <c r="X17" s="3"/>
      <c r="Y17" s="3"/>
      <c r="Z17" s="3"/>
      <c r="AA17" s="3"/>
      <c r="AB17" s="3"/>
      <c r="AC17" s="3">
        <v>8</v>
      </c>
      <c r="AD17" s="3"/>
      <c r="AE17" s="3"/>
      <c r="AF17" s="3"/>
      <c r="AG17" s="3"/>
      <c r="AH17" s="3"/>
      <c r="AI17" s="3"/>
      <c r="AJ17" s="3"/>
      <c r="AK17" s="1"/>
      <c r="AL17" s="1"/>
      <c r="AM17" s="1"/>
      <c r="AN17" s="1"/>
      <c r="AO17" s="1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3"/>
      <c r="BY17" s="72"/>
      <c r="BZ17" s="72"/>
      <c r="CA17" s="72"/>
      <c r="CB17" s="72"/>
      <c r="CC17" s="72"/>
      <c r="CD17" s="72"/>
      <c r="CE17" s="72"/>
      <c r="CF17" s="72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DA17" s="66">
        <f t="shared" si="1"/>
        <v>5.5</v>
      </c>
    </row>
    <row r="18" spans="1:105" ht="20.25" customHeight="1" x14ac:dyDescent="0.35">
      <c r="A18" s="5"/>
      <c r="B18" s="79" t="s">
        <v>527</v>
      </c>
      <c r="C18" s="79" t="s">
        <v>225</v>
      </c>
      <c r="D18" s="88" t="s">
        <v>380</v>
      </c>
      <c r="E18" s="65" t="s">
        <v>35</v>
      </c>
      <c r="F18" s="65" t="s">
        <v>1094</v>
      </c>
      <c r="G18" s="65" t="s">
        <v>32</v>
      </c>
      <c r="H18" s="73">
        <v>4</v>
      </c>
      <c r="I18" s="3"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8</v>
      </c>
      <c r="AD18" s="3"/>
      <c r="AE18" s="3"/>
      <c r="AF18" s="3"/>
      <c r="AG18" s="3"/>
      <c r="AH18" s="3"/>
      <c r="AI18" s="3"/>
      <c r="AJ18" s="3">
        <v>9</v>
      </c>
      <c r="AK18" s="1"/>
      <c r="AL18" s="1"/>
      <c r="AM18" s="1"/>
      <c r="AN18" s="1"/>
      <c r="AO18" s="1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3"/>
      <c r="BY18" s="72"/>
      <c r="BZ18" s="72"/>
      <c r="CA18" s="72"/>
      <c r="CB18" s="72"/>
      <c r="CC18" s="72"/>
      <c r="CD18" s="72"/>
      <c r="CE18" s="72"/>
      <c r="CF18" s="72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DA18" s="139">
        <f t="shared" si="1"/>
        <v>4</v>
      </c>
    </row>
    <row r="19" spans="1:105" ht="20.25" customHeight="1" x14ac:dyDescent="0.35">
      <c r="A19" s="5"/>
      <c r="B19" s="79" t="s">
        <v>528</v>
      </c>
      <c r="C19" s="1" t="s">
        <v>226</v>
      </c>
      <c r="D19" s="88" t="s">
        <v>380</v>
      </c>
      <c r="E19" s="65" t="s">
        <v>35</v>
      </c>
      <c r="F19" s="65" t="s">
        <v>1094</v>
      </c>
      <c r="G19" s="65" t="s">
        <v>32</v>
      </c>
      <c r="H19" s="86">
        <f>AVERAGE(I19:BC19)</f>
        <v>0</v>
      </c>
      <c r="I19" s="3"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1"/>
      <c r="AL19" s="1"/>
      <c r="AM19" s="1"/>
      <c r="AN19" s="1"/>
      <c r="AO19" s="1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3"/>
      <c r="BY19" s="72"/>
      <c r="BZ19" s="72"/>
      <c r="CA19" s="72"/>
      <c r="CB19" s="72"/>
      <c r="CC19" s="72"/>
      <c r="CD19" s="72"/>
      <c r="CE19" s="72"/>
      <c r="CF19" s="72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DA19" s="66"/>
    </row>
    <row r="20" spans="1:105" ht="20.25" customHeight="1" x14ac:dyDescent="0.35">
      <c r="A20" s="5"/>
      <c r="B20" s="79" t="s">
        <v>529</v>
      </c>
      <c r="C20" s="1" t="s">
        <v>1121</v>
      </c>
      <c r="D20" s="88" t="s">
        <v>380</v>
      </c>
      <c r="E20" s="65" t="s">
        <v>35</v>
      </c>
      <c r="F20" s="65" t="s">
        <v>1095</v>
      </c>
      <c r="G20" s="65" t="s">
        <v>39</v>
      </c>
      <c r="H20" s="73">
        <v>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>
        <v>7</v>
      </c>
      <c r="AD20" s="3"/>
      <c r="AE20" s="3"/>
      <c r="AF20" s="3"/>
      <c r="AG20" s="3"/>
      <c r="AH20" s="3"/>
      <c r="AI20" s="3"/>
      <c r="AJ20" s="3"/>
      <c r="AK20" s="1"/>
      <c r="AL20" s="1"/>
      <c r="AM20" s="1"/>
      <c r="AN20" s="1"/>
      <c r="AO20" s="1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3"/>
      <c r="BY20" s="72"/>
      <c r="BZ20" s="72"/>
      <c r="CA20" s="72"/>
      <c r="CB20" s="72"/>
      <c r="CC20" s="72"/>
      <c r="CD20" s="72"/>
      <c r="CE20" s="72"/>
      <c r="CF20" s="72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DA20" s="139">
        <f t="shared" ref="DA20:DA27" si="2">H20</f>
        <v>6</v>
      </c>
    </row>
    <row r="21" spans="1:105" ht="20.25" customHeight="1" x14ac:dyDescent="0.35">
      <c r="A21" s="65" t="s">
        <v>65</v>
      </c>
      <c r="B21" s="79" t="s">
        <v>530</v>
      </c>
      <c r="C21" s="79" t="s">
        <v>469</v>
      </c>
      <c r="D21" s="88" t="s">
        <v>380</v>
      </c>
      <c r="E21" s="65" t="s">
        <v>59</v>
      </c>
      <c r="F21" s="65" t="s">
        <v>1096</v>
      </c>
      <c r="G21" s="65" t="s">
        <v>41</v>
      </c>
      <c r="H21" s="73">
        <v>0.71</v>
      </c>
      <c r="I21" s="89">
        <v>6</v>
      </c>
      <c r="J21" s="3">
        <v>6</v>
      </c>
      <c r="K21" s="3"/>
      <c r="L21" s="3"/>
      <c r="M21" s="3"/>
      <c r="N21" s="3"/>
      <c r="O21" s="3">
        <v>6</v>
      </c>
      <c r="P21" s="89">
        <v>7</v>
      </c>
      <c r="Q21" s="3">
        <v>6</v>
      </c>
      <c r="R21" s="3"/>
      <c r="S21" s="3">
        <v>7</v>
      </c>
      <c r="T21" s="3"/>
      <c r="U21" s="3">
        <v>6</v>
      </c>
      <c r="V21" s="87">
        <v>6</v>
      </c>
      <c r="W21" s="3"/>
      <c r="X21" s="3">
        <v>8</v>
      </c>
      <c r="Y21" s="3">
        <v>6.5</v>
      </c>
      <c r="Z21" s="3">
        <v>6.5</v>
      </c>
      <c r="AA21" s="3"/>
      <c r="AB21" s="3"/>
      <c r="AC21" s="3">
        <v>6</v>
      </c>
      <c r="AD21" s="3"/>
      <c r="AE21" s="3"/>
      <c r="AF21" s="3">
        <v>6</v>
      </c>
      <c r="AG21" s="3"/>
      <c r="AH21" s="3">
        <v>7</v>
      </c>
      <c r="AI21" s="3"/>
      <c r="AJ21" s="3">
        <v>6.5</v>
      </c>
      <c r="AK21" s="1"/>
      <c r="AL21" s="1"/>
      <c r="AM21" s="1"/>
      <c r="AN21" s="1">
        <f>500/100</f>
        <v>5</v>
      </c>
      <c r="AO21" s="3">
        <v>6</v>
      </c>
      <c r="AP21" s="3">
        <v>6</v>
      </c>
      <c r="AQ21" s="3">
        <v>6</v>
      </c>
      <c r="AR21" s="3">
        <v>6</v>
      </c>
      <c r="AS21" s="3"/>
      <c r="AT21" s="3">
        <v>6</v>
      </c>
      <c r="AU21" s="3">
        <v>6</v>
      </c>
      <c r="AV21" s="3">
        <v>6</v>
      </c>
      <c r="AW21" s="3">
        <v>6</v>
      </c>
      <c r="AX21" s="3">
        <v>6</v>
      </c>
      <c r="AY21" s="3">
        <v>6</v>
      </c>
      <c r="AZ21" s="3">
        <v>6</v>
      </c>
      <c r="BA21" s="3">
        <v>6</v>
      </c>
      <c r="BB21" s="3"/>
      <c r="BC21" s="3">
        <v>6</v>
      </c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3">
        <f>J21</f>
        <v>6</v>
      </c>
      <c r="BY21" s="72"/>
      <c r="BZ21" s="72">
        <v>7</v>
      </c>
      <c r="CA21" s="72"/>
      <c r="CB21" s="72"/>
      <c r="CC21" s="72"/>
      <c r="CD21" s="72"/>
      <c r="CE21" s="72"/>
      <c r="CF21" s="72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DA21" s="66">
        <f t="shared" si="2"/>
        <v>0.71</v>
      </c>
    </row>
    <row r="22" spans="1:105" ht="20.25" customHeight="1" x14ac:dyDescent="0.35">
      <c r="A22" s="65" t="s">
        <v>68</v>
      </c>
      <c r="B22" s="79" t="s">
        <v>531</v>
      </c>
      <c r="C22" s="79" t="s">
        <v>166</v>
      </c>
      <c r="D22" s="88" t="s">
        <v>380</v>
      </c>
      <c r="E22" s="65" t="s">
        <v>59</v>
      </c>
      <c r="F22" s="65" t="s">
        <v>1097</v>
      </c>
      <c r="G22" s="65" t="s">
        <v>41</v>
      </c>
      <c r="H22" s="73">
        <v>1.65</v>
      </c>
      <c r="I22" s="89">
        <v>6.5</v>
      </c>
      <c r="J22" s="3">
        <v>6.5</v>
      </c>
      <c r="K22" s="3"/>
      <c r="L22" s="3">
        <v>7.5</v>
      </c>
      <c r="M22" s="3">
        <v>7.5</v>
      </c>
      <c r="N22" s="3"/>
      <c r="O22" s="3">
        <v>7.5</v>
      </c>
      <c r="P22" s="89">
        <v>7.5</v>
      </c>
      <c r="Q22" s="3">
        <v>8</v>
      </c>
      <c r="R22" s="3"/>
      <c r="S22" s="3">
        <v>7.5</v>
      </c>
      <c r="T22" s="3"/>
      <c r="U22" s="3">
        <v>8</v>
      </c>
      <c r="V22" s="87">
        <v>6.5</v>
      </c>
      <c r="W22" s="3"/>
      <c r="X22" s="3"/>
      <c r="Y22" s="3"/>
      <c r="Z22" s="3">
        <v>7</v>
      </c>
      <c r="AA22" s="3"/>
      <c r="AB22" s="3">
        <v>7.5</v>
      </c>
      <c r="AC22" s="3">
        <v>7.5</v>
      </c>
      <c r="AD22" s="3"/>
      <c r="AE22" s="3"/>
      <c r="AF22" s="3"/>
      <c r="AG22" s="3"/>
      <c r="AH22" s="3"/>
      <c r="AI22" s="3"/>
      <c r="AJ22" s="3">
        <v>7</v>
      </c>
      <c r="AK22" s="1"/>
      <c r="AL22" s="1"/>
      <c r="AM22" s="1">
        <v>7</v>
      </c>
      <c r="AN22" s="1"/>
      <c r="AO22" s="1"/>
      <c r="AP22" s="3">
        <v>6.5</v>
      </c>
      <c r="AQ22" s="3">
        <v>6.5</v>
      </c>
      <c r="AR22" s="3">
        <v>6.5</v>
      </c>
      <c r="AS22" s="3"/>
      <c r="AT22" s="3">
        <v>6.5</v>
      </c>
      <c r="AU22" s="3">
        <v>6.5</v>
      </c>
      <c r="AV22" s="3">
        <v>6.5</v>
      </c>
      <c r="AW22" s="3">
        <v>6.5</v>
      </c>
      <c r="AX22" s="3">
        <v>6.5</v>
      </c>
      <c r="AY22" s="3">
        <v>6.5</v>
      </c>
      <c r="AZ22" s="3">
        <v>6.5</v>
      </c>
      <c r="BA22" s="3">
        <v>6.5</v>
      </c>
      <c r="BB22" s="3"/>
      <c r="BC22" s="3">
        <v>6.5</v>
      </c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>
        <v>7</v>
      </c>
      <c r="BV22" s="1"/>
      <c r="BW22" s="1"/>
      <c r="BX22" s="3">
        <f>J22</f>
        <v>6.5</v>
      </c>
      <c r="BY22" s="72"/>
      <c r="BZ22" s="72">
        <v>7</v>
      </c>
      <c r="CA22" s="72"/>
      <c r="CB22" s="72">
        <v>7</v>
      </c>
      <c r="CC22" s="72">
        <v>7</v>
      </c>
      <c r="CD22" s="72"/>
      <c r="CE22" s="72"/>
      <c r="CF22" s="72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DA22" s="66">
        <f t="shared" si="2"/>
        <v>1.65</v>
      </c>
    </row>
    <row r="23" spans="1:105" ht="20.25" customHeight="1" x14ac:dyDescent="0.35">
      <c r="A23" s="65" t="s">
        <v>908</v>
      </c>
      <c r="B23" s="79" t="s">
        <v>909</v>
      </c>
      <c r="C23" s="79" t="s">
        <v>910</v>
      </c>
      <c r="D23" s="88" t="s">
        <v>380</v>
      </c>
      <c r="E23" s="65" t="s">
        <v>59</v>
      </c>
      <c r="F23" s="65" t="s">
        <v>949</v>
      </c>
      <c r="G23" s="65" t="s">
        <v>41</v>
      </c>
      <c r="H23" s="73">
        <v>0</v>
      </c>
      <c r="I23" s="89">
        <v>10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87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1"/>
      <c r="AL23" s="1"/>
      <c r="AM23" s="1"/>
      <c r="AN23" s="1"/>
      <c r="AO23" s="1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3"/>
      <c r="BY23" s="72">
        <v>10</v>
      </c>
      <c r="BZ23" s="72"/>
      <c r="CA23" s="72"/>
      <c r="CB23" s="72">
        <v>10</v>
      </c>
      <c r="CC23" s="72"/>
      <c r="CD23" s="72"/>
      <c r="CE23" s="72"/>
      <c r="CF23" s="72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DA23" s="66">
        <f t="shared" si="2"/>
        <v>0</v>
      </c>
    </row>
    <row r="24" spans="1:105" ht="20.25" customHeight="1" x14ac:dyDescent="0.35">
      <c r="A24" s="65"/>
      <c r="B24" s="79" t="s">
        <v>532</v>
      </c>
      <c r="C24" s="79" t="s">
        <v>166</v>
      </c>
      <c r="D24" s="88" t="s">
        <v>380</v>
      </c>
      <c r="E24" s="65" t="s">
        <v>416</v>
      </c>
      <c r="F24" s="65" t="s">
        <v>259</v>
      </c>
      <c r="G24" s="65" t="s">
        <v>41</v>
      </c>
      <c r="H24" s="73">
        <v>7</v>
      </c>
      <c r="I24" s="3"/>
      <c r="J24" s="3"/>
      <c r="K24" s="3"/>
      <c r="L24" s="3"/>
      <c r="M24" s="3"/>
      <c r="N24" s="77">
        <v>10</v>
      </c>
      <c r="O24" s="3"/>
      <c r="P24" s="3"/>
      <c r="Q24" s="3"/>
      <c r="R24" s="3"/>
      <c r="S24" s="3"/>
      <c r="T24" s="3"/>
      <c r="U24" s="3"/>
      <c r="V24" s="87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1"/>
      <c r="AL24" s="1"/>
      <c r="AM24" s="1"/>
      <c r="AN24" s="1"/>
      <c r="AO24" s="1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3"/>
      <c r="BY24" s="72"/>
      <c r="BZ24" s="72"/>
      <c r="CA24" s="72"/>
      <c r="CB24" s="72"/>
      <c r="CC24" s="72"/>
      <c r="CD24" s="72"/>
      <c r="CE24" s="72"/>
      <c r="CF24" s="72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DA24" s="139">
        <f t="shared" si="2"/>
        <v>7</v>
      </c>
    </row>
    <row r="25" spans="1:105" ht="20.25" customHeight="1" x14ac:dyDescent="0.35">
      <c r="A25" s="65" t="s">
        <v>487</v>
      </c>
      <c r="B25" s="79" t="s">
        <v>533</v>
      </c>
      <c r="C25" s="79" t="s">
        <v>468</v>
      </c>
      <c r="D25" s="88" t="s">
        <v>380</v>
      </c>
      <c r="E25" s="65" t="s">
        <v>59</v>
      </c>
      <c r="F25" s="65" t="s">
        <v>1101</v>
      </c>
      <c r="G25" s="65" t="s">
        <v>139</v>
      </c>
      <c r="H25" s="73">
        <v>8.89</v>
      </c>
      <c r="I25" s="89">
        <v>14</v>
      </c>
      <c r="J25" s="3"/>
      <c r="K25" s="3"/>
      <c r="L25" s="3"/>
      <c r="M25" s="3"/>
      <c r="N25" s="3"/>
      <c r="O25" s="3">
        <v>0</v>
      </c>
      <c r="P25" s="3">
        <v>0</v>
      </c>
      <c r="Q25" s="3">
        <v>14</v>
      </c>
      <c r="R25" s="3"/>
      <c r="S25" s="3">
        <v>15</v>
      </c>
      <c r="T25" s="3"/>
      <c r="U25" s="3">
        <v>14</v>
      </c>
      <c r="V25" s="3"/>
      <c r="W25" s="3"/>
      <c r="X25" s="3"/>
      <c r="Y25" s="3">
        <v>13</v>
      </c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>
        <v>14</v>
      </c>
      <c r="AK25" s="1"/>
      <c r="AL25" s="1"/>
      <c r="AM25" s="1"/>
      <c r="AN25" s="1"/>
      <c r="AO25" s="1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>
        <v>13</v>
      </c>
      <c r="BO25" s="1"/>
      <c r="BP25" s="1"/>
      <c r="BQ25" s="1"/>
      <c r="BR25" s="1"/>
      <c r="BS25" s="1"/>
      <c r="BT25" s="1"/>
      <c r="BU25" s="1">
        <v>13</v>
      </c>
      <c r="BV25" s="1"/>
      <c r="BW25" s="1"/>
      <c r="BX25" s="3"/>
      <c r="BY25" s="72"/>
      <c r="BZ25" s="72">
        <v>14</v>
      </c>
      <c r="CA25" s="72"/>
      <c r="CB25" s="72"/>
      <c r="CC25" s="72"/>
      <c r="CD25" s="72"/>
      <c r="CE25" s="72"/>
      <c r="CF25" s="72"/>
      <c r="CG25" s="1">
        <v>14</v>
      </c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DA25" s="66">
        <f t="shared" si="2"/>
        <v>8.89</v>
      </c>
    </row>
    <row r="26" spans="1:105" ht="20.25" customHeight="1" x14ac:dyDescent="0.35">
      <c r="A26" s="5"/>
      <c r="B26" s="79" t="s">
        <v>534</v>
      </c>
      <c r="C26" s="79" t="s">
        <v>944</v>
      </c>
      <c r="D26" s="88" t="s">
        <v>380</v>
      </c>
      <c r="E26" s="5" t="s">
        <v>59</v>
      </c>
      <c r="F26" s="65" t="s">
        <v>1101</v>
      </c>
      <c r="G26" s="65" t="s">
        <v>139</v>
      </c>
      <c r="H26" s="73">
        <v>10.119999999999999</v>
      </c>
      <c r="I26" s="3">
        <v>0</v>
      </c>
      <c r="J26" s="3"/>
      <c r="K26" s="3"/>
      <c r="L26" s="3"/>
      <c r="M26" s="3"/>
      <c r="N26" s="3"/>
      <c r="O26" s="3">
        <v>0</v>
      </c>
      <c r="P26" s="3">
        <v>0</v>
      </c>
      <c r="Q26" s="3"/>
      <c r="R26" s="3"/>
      <c r="S26" s="3"/>
      <c r="T26" s="3"/>
      <c r="U26" s="3"/>
      <c r="V26" s="3"/>
      <c r="W26" s="3"/>
      <c r="X26" s="3"/>
      <c r="Y26" s="3">
        <v>24</v>
      </c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1"/>
      <c r="AL26" s="1"/>
      <c r="AM26" s="1"/>
      <c r="AN26" s="1"/>
      <c r="AO26" s="1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3"/>
      <c r="BY26" s="72"/>
      <c r="BZ26" s="72"/>
      <c r="CA26" s="72"/>
      <c r="CB26" s="72"/>
      <c r="CC26" s="72"/>
      <c r="CD26" s="72"/>
      <c r="CE26" s="72"/>
      <c r="CF26" s="72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DA26" s="66">
        <f t="shared" si="2"/>
        <v>10.119999999999999</v>
      </c>
    </row>
    <row r="27" spans="1:105" ht="20.25" customHeight="1" x14ac:dyDescent="0.35">
      <c r="A27" s="65"/>
      <c r="B27" s="79" t="s">
        <v>535</v>
      </c>
      <c r="C27" s="79" t="s">
        <v>201</v>
      </c>
      <c r="D27" s="88" t="s">
        <v>461</v>
      </c>
      <c r="E27" s="65" t="s">
        <v>59</v>
      </c>
      <c r="F27" s="65" t="s">
        <v>355</v>
      </c>
      <c r="G27" s="65" t="s">
        <v>36</v>
      </c>
      <c r="H27" s="73">
        <f>18/20</f>
        <v>0.9</v>
      </c>
      <c r="I27" s="89">
        <v>8</v>
      </c>
      <c r="J27" s="3">
        <v>7</v>
      </c>
      <c r="K27" s="3"/>
      <c r="L27" s="3"/>
      <c r="M27" s="3"/>
      <c r="N27" s="3"/>
      <c r="O27" s="3"/>
      <c r="P27" s="89">
        <v>5</v>
      </c>
      <c r="Q27" s="3">
        <v>5</v>
      </c>
      <c r="R27" s="3"/>
      <c r="S27" s="3">
        <v>7</v>
      </c>
      <c r="T27" s="3"/>
      <c r="U27" s="3"/>
      <c r="V27" s="87"/>
      <c r="W27" s="3"/>
      <c r="X27" s="3"/>
      <c r="Y27" s="3"/>
      <c r="Z27" s="3"/>
      <c r="AA27" s="3"/>
      <c r="AB27" s="3"/>
      <c r="AC27" s="3"/>
      <c r="AD27" s="3"/>
      <c r="AE27" s="3"/>
      <c r="AF27" s="3">
        <v>5</v>
      </c>
      <c r="AG27" s="3"/>
      <c r="AH27" s="3"/>
      <c r="AI27" s="3"/>
      <c r="AJ27" s="3"/>
      <c r="AK27" s="1">
        <v>5</v>
      </c>
      <c r="AL27" s="1"/>
      <c r="AM27" s="1">
        <v>6</v>
      </c>
      <c r="AN27" s="1"/>
      <c r="AO27" s="3">
        <v>7</v>
      </c>
      <c r="AP27" s="3">
        <v>7</v>
      </c>
      <c r="AQ27" s="3">
        <v>7</v>
      </c>
      <c r="AR27" s="3">
        <v>7</v>
      </c>
      <c r="AS27" s="3"/>
      <c r="AT27" s="3">
        <v>7</v>
      </c>
      <c r="AU27" s="3">
        <v>7</v>
      </c>
      <c r="AV27" s="3">
        <v>7</v>
      </c>
      <c r="AW27" s="3">
        <v>7</v>
      </c>
      <c r="AX27" s="3">
        <v>7</v>
      </c>
      <c r="AY27" s="3">
        <v>7</v>
      </c>
      <c r="AZ27" s="3">
        <v>7</v>
      </c>
      <c r="BA27" s="3">
        <v>7</v>
      </c>
      <c r="BB27" s="3"/>
      <c r="BC27" s="3">
        <v>7</v>
      </c>
      <c r="BD27" s="1"/>
      <c r="BE27" s="1"/>
      <c r="BF27" s="1"/>
      <c r="BG27" s="1"/>
      <c r="BH27" s="1"/>
      <c r="BI27" s="1"/>
      <c r="BJ27" s="1"/>
      <c r="BK27" s="11">
        <v>8</v>
      </c>
      <c r="BL27" s="1"/>
      <c r="BM27" s="1"/>
      <c r="BN27" s="1"/>
      <c r="BO27" s="1"/>
      <c r="BP27" s="1"/>
      <c r="BQ27" s="1"/>
      <c r="BR27" s="1"/>
      <c r="BS27" s="1"/>
      <c r="BT27" s="1"/>
      <c r="BU27" s="1">
        <v>5</v>
      </c>
      <c r="BV27" s="1"/>
      <c r="BW27" s="1"/>
      <c r="BX27" s="3">
        <v>7</v>
      </c>
      <c r="BY27" s="72"/>
      <c r="BZ27" s="72">
        <v>5</v>
      </c>
      <c r="CA27" s="72"/>
      <c r="CB27" s="72"/>
      <c r="CC27" s="72"/>
      <c r="CD27" s="72"/>
      <c r="CE27" s="72"/>
      <c r="CF27" s="72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DA27" s="66">
        <f t="shared" si="2"/>
        <v>0.9</v>
      </c>
    </row>
    <row r="28" spans="1:105" ht="20.25" customHeight="1" x14ac:dyDescent="0.35">
      <c r="A28" s="65"/>
      <c r="B28" s="79" t="s">
        <v>536</v>
      </c>
      <c r="C28" s="79" t="s">
        <v>537</v>
      </c>
      <c r="D28" s="65" t="s">
        <v>380</v>
      </c>
      <c r="E28" s="65" t="s">
        <v>538</v>
      </c>
      <c r="F28" s="65" t="s">
        <v>539</v>
      </c>
      <c r="G28" s="65" t="s">
        <v>41</v>
      </c>
      <c r="H28" s="86"/>
      <c r="I28" s="8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87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1"/>
      <c r="AL28" s="1"/>
      <c r="AM28" s="1"/>
      <c r="AN28" s="1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>
        <v>2.2999999999999998</v>
      </c>
      <c r="BV28" s="1"/>
      <c r="BW28" s="1"/>
      <c r="BX28" s="3"/>
      <c r="BY28" s="72"/>
      <c r="BZ28" s="72"/>
      <c r="CA28" s="72"/>
      <c r="CB28" s="72"/>
      <c r="CC28" s="72"/>
      <c r="CD28" s="72"/>
      <c r="CE28" s="72"/>
      <c r="CF28" s="72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DA28" s="66"/>
    </row>
    <row r="29" spans="1:105" ht="20.25" customHeight="1" x14ac:dyDescent="0.35">
      <c r="A29" s="65"/>
      <c r="B29" s="79" t="s">
        <v>540</v>
      </c>
      <c r="C29" s="79" t="s">
        <v>541</v>
      </c>
      <c r="D29" s="65" t="s">
        <v>380</v>
      </c>
      <c r="E29" s="65" t="s">
        <v>538</v>
      </c>
      <c r="F29" s="65" t="s">
        <v>539</v>
      </c>
      <c r="G29" s="65" t="s">
        <v>41</v>
      </c>
      <c r="H29" s="86"/>
      <c r="I29" s="8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87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1"/>
      <c r="AL29" s="1"/>
      <c r="AM29" s="1"/>
      <c r="AN29" s="1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>
        <v>2.2999999999999998</v>
      </c>
      <c r="BV29" s="1"/>
      <c r="BW29" s="1"/>
      <c r="BX29" s="3"/>
      <c r="BY29" s="72"/>
      <c r="BZ29" s="72"/>
      <c r="CA29" s="72"/>
      <c r="CB29" s="72"/>
      <c r="CC29" s="72"/>
      <c r="CD29" s="72"/>
      <c r="CE29" s="72"/>
      <c r="CF29" s="72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DA29" s="66"/>
    </row>
    <row r="30" spans="1:105" ht="20.25" customHeight="1" x14ac:dyDescent="0.35">
      <c r="A30" s="65"/>
      <c r="B30" s="79" t="s">
        <v>542</v>
      </c>
      <c r="C30" s="79" t="s">
        <v>543</v>
      </c>
      <c r="D30" s="65" t="s">
        <v>380</v>
      </c>
      <c r="E30" s="65" t="s">
        <v>538</v>
      </c>
      <c r="F30" s="65" t="s">
        <v>539</v>
      </c>
      <c r="G30" s="65" t="s">
        <v>41</v>
      </c>
      <c r="H30" s="86"/>
      <c r="I30" s="8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87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1"/>
      <c r="AL30" s="1"/>
      <c r="AM30" s="1"/>
      <c r="AN30" s="1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>
        <v>2.2999999999999998</v>
      </c>
      <c r="BV30" s="1"/>
      <c r="BW30" s="1"/>
      <c r="BX30" s="3"/>
      <c r="BY30" s="72"/>
      <c r="BZ30" s="72"/>
      <c r="CA30" s="72"/>
      <c r="CB30" s="72"/>
      <c r="CC30" s="72"/>
      <c r="CD30" s="72"/>
      <c r="CE30" s="72"/>
      <c r="CF30" s="72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DA30" s="66"/>
    </row>
    <row r="31" spans="1:105" ht="20.25" customHeight="1" x14ac:dyDescent="0.35">
      <c r="A31" s="5"/>
      <c r="B31" s="79" t="s">
        <v>544</v>
      </c>
      <c r="C31" s="79" t="s">
        <v>439</v>
      </c>
      <c r="D31" s="65" t="s">
        <v>425</v>
      </c>
      <c r="E31" s="58" t="s">
        <v>35</v>
      </c>
      <c r="F31" s="65" t="s">
        <v>1099</v>
      </c>
      <c r="G31" s="65" t="s">
        <v>41</v>
      </c>
      <c r="H31" s="73">
        <v>0.4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87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1"/>
      <c r="AL31" s="1"/>
      <c r="AM31" s="1"/>
      <c r="AN31" s="1"/>
      <c r="AO31" s="1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>
        <v>0.7</v>
      </c>
      <c r="BP31" s="1"/>
      <c r="BQ31" s="1"/>
      <c r="BR31" s="1"/>
      <c r="BS31" s="1"/>
      <c r="BT31" s="1"/>
      <c r="BU31" s="1"/>
      <c r="BV31" s="1"/>
      <c r="BW31" s="1"/>
      <c r="BX31" s="3"/>
      <c r="BY31" s="72"/>
      <c r="BZ31" s="72"/>
      <c r="CA31" s="72"/>
      <c r="CB31" s="72"/>
      <c r="CC31" s="72"/>
      <c r="CD31" s="72"/>
      <c r="CE31" s="72"/>
      <c r="CF31" s="72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DA31" s="139">
        <f>H31</f>
        <v>0.4</v>
      </c>
    </row>
    <row r="32" spans="1:105" ht="20.25" customHeight="1" x14ac:dyDescent="0.35">
      <c r="A32" s="5"/>
      <c r="B32" s="79" t="s">
        <v>545</v>
      </c>
      <c r="C32" s="79" t="s">
        <v>440</v>
      </c>
      <c r="D32" s="65" t="s">
        <v>425</v>
      </c>
      <c r="E32" s="58" t="s">
        <v>35</v>
      </c>
      <c r="F32" s="65" t="s">
        <v>1100</v>
      </c>
      <c r="G32" s="65" t="s">
        <v>41</v>
      </c>
      <c r="H32" s="73">
        <v>0.4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87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1"/>
      <c r="AL32" s="1"/>
      <c r="AM32" s="1"/>
      <c r="AN32" s="1"/>
      <c r="AO32" s="1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>
        <v>0.7</v>
      </c>
      <c r="BP32" s="1"/>
      <c r="BQ32" s="1"/>
      <c r="BR32" s="1"/>
      <c r="BS32" s="1"/>
      <c r="BT32" s="1"/>
      <c r="BU32" s="1"/>
      <c r="BV32" s="1"/>
      <c r="BW32" s="1"/>
      <c r="BX32" s="3"/>
      <c r="BY32" s="72"/>
      <c r="BZ32" s="72"/>
      <c r="CA32" s="72"/>
      <c r="CB32" s="72"/>
      <c r="CC32" s="72"/>
      <c r="CD32" s="72"/>
      <c r="CE32" s="72"/>
      <c r="CF32" s="72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DA32" s="139">
        <f t="shared" ref="DA32:DA37" si="3">H32</f>
        <v>0.4</v>
      </c>
    </row>
    <row r="33" spans="1:105" ht="20.25" customHeight="1" x14ac:dyDescent="0.35">
      <c r="A33" s="5"/>
      <c r="B33" s="79" t="s">
        <v>901</v>
      </c>
      <c r="C33" s="79" t="s">
        <v>440</v>
      </c>
      <c r="D33" s="65" t="s">
        <v>425</v>
      </c>
      <c r="E33" s="58" t="s">
        <v>35</v>
      </c>
      <c r="F33" s="65" t="s">
        <v>601</v>
      </c>
      <c r="G33" s="65" t="s">
        <v>41</v>
      </c>
      <c r="H33" s="73">
        <v>4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87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1"/>
      <c r="AL33" s="1"/>
      <c r="AM33" s="1"/>
      <c r="AN33" s="1"/>
      <c r="AO33" s="1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3"/>
      <c r="BY33" s="72">
        <v>8</v>
      </c>
      <c r="BZ33" s="72"/>
      <c r="CA33" s="72"/>
      <c r="CB33" s="72"/>
      <c r="CC33" s="72"/>
      <c r="CD33" s="72"/>
      <c r="CE33" s="72"/>
      <c r="CF33" s="72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DA33" s="139">
        <f t="shared" si="3"/>
        <v>4</v>
      </c>
    </row>
    <row r="34" spans="1:105" ht="20.25" customHeight="1" x14ac:dyDescent="0.35">
      <c r="A34" s="5"/>
      <c r="B34" s="79" t="s">
        <v>1130</v>
      </c>
      <c r="C34" s="79" t="s">
        <v>1132</v>
      </c>
      <c r="D34" s="65" t="s">
        <v>425</v>
      </c>
      <c r="E34" s="65" t="s">
        <v>35</v>
      </c>
      <c r="F34" s="65" t="s">
        <v>1131</v>
      </c>
      <c r="G34" s="65" t="s">
        <v>32</v>
      </c>
      <c r="H34" s="73">
        <v>4.8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87"/>
      <c r="W34" s="3"/>
      <c r="X34" s="3"/>
      <c r="Y34" s="3"/>
      <c r="Z34" s="3"/>
      <c r="AA34" s="3"/>
      <c r="AB34" s="3"/>
      <c r="AC34" s="3"/>
      <c r="AD34" s="3">
        <v>8.5</v>
      </c>
      <c r="AE34" s="3"/>
      <c r="AF34" s="3"/>
      <c r="AG34" s="3"/>
      <c r="AH34" s="3"/>
      <c r="AI34" s="3"/>
      <c r="AJ34" s="3"/>
      <c r="AK34" s="1"/>
      <c r="AL34" s="1"/>
      <c r="AM34" s="1"/>
      <c r="AN34" s="1"/>
      <c r="AO34" s="1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3"/>
      <c r="BY34" s="72"/>
      <c r="BZ34" s="72"/>
      <c r="CA34" s="72"/>
      <c r="CB34" s="72"/>
      <c r="CC34" s="72"/>
      <c r="CD34" s="72"/>
      <c r="CE34" s="72"/>
      <c r="CF34" s="72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DA34" s="139">
        <f t="shared" si="3"/>
        <v>4.8</v>
      </c>
    </row>
    <row r="35" spans="1:105" ht="20.25" customHeight="1" x14ac:dyDescent="0.35">
      <c r="A35" s="5"/>
      <c r="B35" s="79" t="s">
        <v>546</v>
      </c>
      <c r="C35" s="79" t="s">
        <v>441</v>
      </c>
      <c r="D35" s="65" t="s">
        <v>425</v>
      </c>
      <c r="E35" s="58" t="s">
        <v>35</v>
      </c>
      <c r="F35" s="65" t="s">
        <v>1099</v>
      </c>
      <c r="G35" s="65" t="s">
        <v>41</v>
      </c>
      <c r="H35" s="73">
        <v>0.4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87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1"/>
      <c r="AL35" s="1"/>
      <c r="AM35" s="1"/>
      <c r="AN35" s="1"/>
      <c r="AO35" s="1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>
        <v>0.7</v>
      </c>
      <c r="BP35" s="1"/>
      <c r="BQ35" s="1"/>
      <c r="BR35" s="1"/>
      <c r="BS35" s="1"/>
      <c r="BT35" s="1"/>
      <c r="BU35" s="1"/>
      <c r="BV35" s="1"/>
      <c r="BW35" s="1"/>
      <c r="BX35" s="3"/>
      <c r="BY35" s="72"/>
      <c r="BZ35" s="72"/>
      <c r="CA35" s="72"/>
      <c r="CB35" s="72"/>
      <c r="CC35" s="72"/>
      <c r="CD35" s="72"/>
      <c r="CE35" s="72"/>
      <c r="CF35" s="72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DA35" s="139">
        <f t="shared" si="3"/>
        <v>0.4</v>
      </c>
    </row>
    <row r="36" spans="1:105" ht="20.25" customHeight="1" x14ac:dyDescent="0.35">
      <c r="A36" s="5"/>
      <c r="B36" s="79" t="s">
        <v>902</v>
      </c>
      <c r="C36" s="79" t="s">
        <v>441</v>
      </c>
      <c r="D36" s="65" t="s">
        <v>425</v>
      </c>
      <c r="E36" s="58" t="s">
        <v>35</v>
      </c>
      <c r="F36" s="65" t="s">
        <v>601</v>
      </c>
      <c r="G36" s="65" t="s">
        <v>41</v>
      </c>
      <c r="H36" s="73">
        <v>4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87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>
        <v>7</v>
      </c>
      <c r="AK36" s="1"/>
      <c r="AL36" s="1"/>
      <c r="AM36" s="1"/>
      <c r="AN36" s="1"/>
      <c r="AO36" s="1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3"/>
      <c r="BY36" s="72">
        <v>8</v>
      </c>
      <c r="BZ36" s="72"/>
      <c r="CA36" s="72"/>
      <c r="CB36" s="72"/>
      <c r="CC36" s="72"/>
      <c r="CD36" s="72"/>
      <c r="CE36" s="72"/>
      <c r="CF36" s="72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DA36" s="139">
        <f t="shared" si="3"/>
        <v>4</v>
      </c>
    </row>
    <row r="37" spans="1:105" ht="20.25" customHeight="1" x14ac:dyDescent="0.35">
      <c r="A37" s="65"/>
      <c r="B37" s="101" t="s">
        <v>547</v>
      </c>
      <c r="C37" s="79" t="s">
        <v>1176</v>
      </c>
      <c r="D37" s="65" t="s">
        <v>380</v>
      </c>
      <c r="E37" s="65" t="s">
        <v>59</v>
      </c>
      <c r="F37" s="55" t="s">
        <v>1098</v>
      </c>
      <c r="G37" s="55" t="s">
        <v>130</v>
      </c>
      <c r="H37" s="73">
        <v>1.46</v>
      </c>
      <c r="I37" s="89">
        <v>6</v>
      </c>
      <c r="J37" s="77">
        <v>6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87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1"/>
      <c r="AL37" s="1"/>
      <c r="AM37" s="1"/>
      <c r="AN37" s="1"/>
      <c r="AO37" s="1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>
        <v>7</v>
      </c>
      <c r="BR37" s="1"/>
      <c r="BS37" s="1"/>
      <c r="BT37" s="1"/>
      <c r="BU37" s="1"/>
      <c r="BV37" s="1"/>
      <c r="BW37" s="1"/>
      <c r="BX37" s="3"/>
      <c r="BY37" s="72"/>
      <c r="BZ37" s="72"/>
      <c r="CA37" s="72"/>
      <c r="CB37" s="72"/>
      <c r="CC37" s="72"/>
      <c r="CD37" s="72"/>
      <c r="CE37" s="72"/>
      <c r="CF37" s="72"/>
      <c r="CG37" s="58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DA37" s="66">
        <f t="shared" si="3"/>
        <v>1.46</v>
      </c>
    </row>
    <row r="38" spans="1:105" ht="20.25" customHeight="1" x14ac:dyDescent="0.35">
      <c r="A38" s="65"/>
      <c r="B38" s="101" t="s">
        <v>1177</v>
      </c>
      <c r="C38" s="79" t="s">
        <v>1178</v>
      </c>
      <c r="D38" s="65" t="s">
        <v>380</v>
      </c>
      <c r="E38" s="65" t="s">
        <v>59</v>
      </c>
      <c r="F38" s="55" t="s">
        <v>1098</v>
      </c>
      <c r="G38" s="55" t="s">
        <v>130</v>
      </c>
      <c r="H38" s="86"/>
      <c r="I38" s="89"/>
      <c r="J38" s="77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87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1"/>
      <c r="AL38" s="1"/>
      <c r="AM38" s="1"/>
      <c r="AN38" s="1"/>
      <c r="AO38" s="1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3"/>
      <c r="BY38" s="72"/>
      <c r="BZ38" s="72"/>
      <c r="CA38" s="72"/>
      <c r="CB38" s="72"/>
      <c r="CC38" s="72"/>
      <c r="CD38" s="72"/>
      <c r="CE38" s="72"/>
      <c r="CF38" s="72"/>
      <c r="CG38" s="58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DA38" s="66"/>
    </row>
    <row r="39" spans="1:105" ht="20.25" customHeight="1" x14ac:dyDescent="0.35">
      <c r="A39" s="65"/>
      <c r="B39" s="101" t="s">
        <v>548</v>
      </c>
      <c r="C39" s="79" t="s">
        <v>1179</v>
      </c>
      <c r="D39" s="65" t="s">
        <v>380</v>
      </c>
      <c r="E39" s="65" t="s">
        <v>59</v>
      </c>
      <c r="F39" s="55" t="s">
        <v>1098</v>
      </c>
      <c r="G39" s="55" t="s">
        <v>387</v>
      </c>
      <c r="H39" s="73">
        <v>1.46</v>
      </c>
      <c r="I39" s="89">
        <v>7</v>
      </c>
      <c r="J39" s="77">
        <v>7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87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1"/>
      <c r="AL39" s="1"/>
      <c r="AM39" s="1"/>
      <c r="AN39" s="1"/>
      <c r="AO39" s="1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>
        <v>8</v>
      </c>
      <c r="BR39" s="1"/>
      <c r="BS39" s="1"/>
      <c r="BT39" s="1"/>
      <c r="BU39" s="1"/>
      <c r="BV39" s="1"/>
      <c r="BW39" s="1"/>
      <c r="BX39" s="3"/>
      <c r="BY39" s="72"/>
      <c r="BZ39" s="72"/>
      <c r="CA39" s="72"/>
      <c r="CB39" s="72"/>
      <c r="CC39" s="72"/>
      <c r="CD39" s="72"/>
      <c r="CE39" s="72"/>
      <c r="CF39" s="72"/>
      <c r="CG39" s="58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DA39" s="66"/>
    </row>
    <row r="40" spans="1:105" ht="20.25" customHeight="1" x14ac:dyDescent="0.35">
      <c r="A40" s="65"/>
      <c r="B40" s="101" t="s">
        <v>1180</v>
      </c>
      <c r="C40" s="79" t="s">
        <v>1181</v>
      </c>
      <c r="D40" s="65" t="s">
        <v>380</v>
      </c>
      <c r="E40" s="65" t="s">
        <v>59</v>
      </c>
      <c r="F40" s="55" t="s">
        <v>1098</v>
      </c>
      <c r="G40" s="55" t="s">
        <v>387</v>
      </c>
      <c r="H40" s="86"/>
      <c r="I40" s="89"/>
      <c r="J40" s="77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87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1"/>
      <c r="AL40" s="1"/>
      <c r="AM40" s="1"/>
      <c r="AN40" s="1"/>
      <c r="AO40" s="1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3"/>
      <c r="BY40" s="72"/>
      <c r="BZ40" s="72"/>
      <c r="CA40" s="72"/>
      <c r="CB40" s="72"/>
      <c r="CC40" s="72"/>
      <c r="CD40" s="72"/>
      <c r="CE40" s="72"/>
      <c r="CF40" s="72"/>
      <c r="CG40" s="58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DA40" s="66"/>
    </row>
    <row r="41" spans="1:105" ht="20.25" customHeight="1" x14ac:dyDescent="0.35">
      <c r="A41" s="65"/>
      <c r="B41" s="101" t="s">
        <v>549</v>
      </c>
      <c r="C41" s="79" t="s">
        <v>1182</v>
      </c>
      <c r="D41" s="65" t="s">
        <v>380</v>
      </c>
      <c r="E41" s="65" t="s">
        <v>59</v>
      </c>
      <c r="F41" s="55" t="s">
        <v>1098</v>
      </c>
      <c r="G41" s="55" t="s">
        <v>387</v>
      </c>
      <c r="H41" s="73">
        <v>2.82</v>
      </c>
      <c r="I41" s="89">
        <v>6</v>
      </c>
      <c r="J41" s="77">
        <v>6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87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1"/>
      <c r="AL41" s="1"/>
      <c r="AM41" s="1"/>
      <c r="AN41" s="1"/>
      <c r="AO41" s="1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>
        <v>8</v>
      </c>
      <c r="BR41" s="1"/>
      <c r="BS41" s="1"/>
      <c r="BT41" s="1"/>
      <c r="BU41" s="1"/>
      <c r="BV41" s="1"/>
      <c r="BW41" s="1"/>
      <c r="BX41" s="3"/>
      <c r="BY41" s="72"/>
      <c r="BZ41" s="72"/>
      <c r="CA41" s="72"/>
      <c r="CB41" s="72"/>
      <c r="CC41" s="72"/>
      <c r="CD41" s="72"/>
      <c r="CE41" s="72"/>
      <c r="CF41" s="72"/>
      <c r="CG41" s="58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DA41" s="66"/>
    </row>
    <row r="42" spans="1:105" ht="20.25" customHeight="1" x14ac:dyDescent="0.35">
      <c r="A42" s="65"/>
      <c r="B42" s="101" t="s">
        <v>1183</v>
      </c>
      <c r="C42" s="79" t="s">
        <v>1184</v>
      </c>
      <c r="D42" s="65" t="s">
        <v>380</v>
      </c>
      <c r="E42" s="65" t="s">
        <v>59</v>
      </c>
      <c r="F42" s="55" t="s">
        <v>1098</v>
      </c>
      <c r="G42" s="55" t="s">
        <v>387</v>
      </c>
      <c r="H42" s="86"/>
      <c r="I42" s="89"/>
      <c r="J42" s="77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87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1"/>
      <c r="AL42" s="1"/>
      <c r="AM42" s="1"/>
      <c r="AN42" s="1"/>
      <c r="AO42" s="1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3"/>
      <c r="BY42" s="72"/>
      <c r="BZ42" s="72"/>
      <c r="CA42" s="72"/>
      <c r="CB42" s="72"/>
      <c r="CC42" s="72"/>
      <c r="CD42" s="72"/>
      <c r="CE42" s="72"/>
      <c r="CF42" s="72"/>
      <c r="CG42" s="58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DA42" s="66"/>
    </row>
    <row r="43" spans="1:105" ht="20.25" customHeight="1" x14ac:dyDescent="0.35">
      <c r="A43" s="5"/>
      <c r="B43" s="79" t="s">
        <v>550</v>
      </c>
      <c r="C43" s="79" t="s">
        <v>449</v>
      </c>
      <c r="D43" s="88" t="s">
        <v>380</v>
      </c>
      <c r="E43" s="65" t="s">
        <v>59</v>
      </c>
      <c r="F43" s="65" t="s">
        <v>393</v>
      </c>
      <c r="G43" s="65" t="s">
        <v>387</v>
      </c>
      <c r="H43" s="86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87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1"/>
      <c r="AL43" s="1"/>
      <c r="AM43" s="1"/>
      <c r="AN43" s="1"/>
      <c r="AO43" s="1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3"/>
      <c r="BY43" s="72"/>
      <c r="BZ43" s="72"/>
      <c r="CA43" s="72"/>
      <c r="CB43" s="72"/>
      <c r="CC43" s="72"/>
      <c r="CD43" s="72"/>
      <c r="CE43" s="72"/>
      <c r="CF43" s="72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DA43" s="66"/>
    </row>
    <row r="44" spans="1:105" ht="20.25" customHeight="1" x14ac:dyDescent="0.35">
      <c r="A44" s="5"/>
      <c r="B44" s="79" t="s">
        <v>551</v>
      </c>
      <c r="C44" s="79" t="s">
        <v>1165</v>
      </c>
      <c r="D44" s="88" t="s">
        <v>380</v>
      </c>
      <c r="E44" s="65" t="s">
        <v>59</v>
      </c>
      <c r="F44" s="65" t="s">
        <v>450</v>
      </c>
      <c r="G44" s="65" t="s">
        <v>130</v>
      </c>
      <c r="H44" s="73">
        <v>0.93</v>
      </c>
      <c r="I44" s="3"/>
      <c r="J44" s="3">
        <v>3.5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87"/>
      <c r="W44" s="3"/>
      <c r="X44" s="3"/>
      <c r="Y44" s="3"/>
      <c r="Z44" s="3"/>
      <c r="AA44" s="3"/>
      <c r="AB44" s="3"/>
      <c r="AC44" s="3"/>
      <c r="AD44" s="3">
        <v>3.5</v>
      </c>
      <c r="AE44" s="3"/>
      <c r="AF44" s="3"/>
      <c r="AG44" s="3"/>
      <c r="AH44" s="3"/>
      <c r="AI44" s="3"/>
      <c r="AJ44" s="3"/>
      <c r="AK44" s="1"/>
      <c r="AL44" s="1"/>
      <c r="AM44" s="1"/>
      <c r="AN44" s="1"/>
      <c r="AO44" s="1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3"/>
      <c r="BY44" s="72"/>
      <c r="BZ44" s="72"/>
      <c r="CA44" s="72"/>
      <c r="CB44" s="72"/>
      <c r="CC44" s="72"/>
      <c r="CD44" s="72"/>
      <c r="CE44" s="72"/>
      <c r="CF44" s="72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DA44" s="66">
        <f>H44</f>
        <v>0.93</v>
      </c>
    </row>
    <row r="45" spans="1:105" ht="20.25" customHeight="1" x14ac:dyDescent="0.35">
      <c r="A45" s="5"/>
      <c r="B45" s="101" t="s">
        <v>971</v>
      </c>
      <c r="C45" s="79" t="s">
        <v>972</v>
      </c>
      <c r="D45" s="65" t="s">
        <v>380</v>
      </c>
      <c r="E45" s="65" t="s">
        <v>59</v>
      </c>
      <c r="F45" s="55" t="s">
        <v>973</v>
      </c>
      <c r="G45" s="55" t="s">
        <v>42</v>
      </c>
      <c r="H45" s="86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87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1"/>
      <c r="AL45" s="1"/>
      <c r="AM45" s="1"/>
      <c r="AN45" s="1"/>
      <c r="AO45" s="1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3"/>
      <c r="BY45" s="72"/>
      <c r="BZ45" s="72"/>
      <c r="CA45" s="72"/>
      <c r="CB45" s="72"/>
      <c r="CC45" s="72"/>
      <c r="CD45" s="72"/>
      <c r="CE45" s="72"/>
      <c r="CF45" s="72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DA45" s="66"/>
    </row>
    <row r="46" spans="1:105" ht="20.25" customHeight="1" x14ac:dyDescent="0.35">
      <c r="A46" s="5"/>
      <c r="B46" s="101" t="s">
        <v>974</v>
      </c>
      <c r="C46" s="62" t="s">
        <v>1137</v>
      </c>
      <c r="D46" s="65" t="s">
        <v>380</v>
      </c>
      <c r="E46" s="65" t="s">
        <v>59</v>
      </c>
      <c r="F46" s="55" t="s">
        <v>1138</v>
      </c>
      <c r="G46" s="55" t="s">
        <v>130</v>
      </c>
      <c r="H46" s="86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87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1"/>
      <c r="AL46" s="1"/>
      <c r="AM46" s="1"/>
      <c r="AN46" s="1"/>
      <c r="AO46" s="1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3"/>
      <c r="BY46" s="72"/>
      <c r="BZ46" s="72"/>
      <c r="CA46" s="72"/>
      <c r="CB46" s="72"/>
      <c r="CC46" s="72"/>
      <c r="CD46" s="72"/>
      <c r="CE46" s="72"/>
      <c r="CF46" s="72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DA46" s="66"/>
    </row>
    <row r="47" spans="1:105" ht="20.25" customHeight="1" x14ac:dyDescent="0.35">
      <c r="A47" s="5"/>
      <c r="B47" s="101" t="s">
        <v>975</v>
      </c>
      <c r="C47" s="79" t="s">
        <v>976</v>
      </c>
      <c r="D47" s="65" t="s">
        <v>380</v>
      </c>
      <c r="E47" s="65" t="s">
        <v>59</v>
      </c>
      <c r="F47" s="55" t="s">
        <v>952</v>
      </c>
      <c r="G47" s="55" t="s">
        <v>130</v>
      </c>
      <c r="H47" s="86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87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1"/>
      <c r="AL47" s="1"/>
      <c r="AM47" s="1"/>
      <c r="AN47" s="1"/>
      <c r="AO47" s="1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3"/>
      <c r="BY47" s="72"/>
      <c r="BZ47" s="72"/>
      <c r="CA47" s="72"/>
      <c r="CB47" s="72"/>
      <c r="CC47" s="72"/>
      <c r="CD47" s="72"/>
      <c r="CE47" s="72"/>
      <c r="CF47" s="72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DA47" s="66"/>
    </row>
    <row r="48" spans="1:105" ht="20.25" customHeight="1" x14ac:dyDescent="0.35">
      <c r="A48" s="5"/>
      <c r="B48" s="101" t="s">
        <v>1018</v>
      </c>
      <c r="C48" s="79" t="s">
        <v>976</v>
      </c>
      <c r="D48" s="65" t="s">
        <v>380</v>
      </c>
      <c r="E48" s="65" t="s">
        <v>59</v>
      </c>
      <c r="F48" s="55" t="s">
        <v>33</v>
      </c>
      <c r="G48" s="55" t="s">
        <v>130</v>
      </c>
      <c r="H48" s="8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87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1"/>
      <c r="AL48" s="1"/>
      <c r="AM48" s="1"/>
      <c r="AN48" s="1"/>
      <c r="AO48" s="1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3"/>
      <c r="BY48" s="72"/>
      <c r="BZ48" s="72"/>
      <c r="CA48" s="72"/>
      <c r="CB48" s="72"/>
      <c r="CC48" s="72"/>
      <c r="CD48" s="72"/>
      <c r="CE48" s="72"/>
      <c r="CF48" s="72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DA48" s="66"/>
    </row>
    <row r="49" spans="1:105" ht="20.25" customHeight="1" x14ac:dyDescent="0.35">
      <c r="A49" s="5"/>
      <c r="B49" s="101" t="s">
        <v>970</v>
      </c>
      <c r="C49" s="79" t="s">
        <v>977</v>
      </c>
      <c r="D49" s="65" t="s">
        <v>380</v>
      </c>
      <c r="E49" s="65" t="s">
        <v>59</v>
      </c>
      <c r="F49" s="55" t="s">
        <v>952</v>
      </c>
      <c r="G49" s="55" t="s">
        <v>130</v>
      </c>
      <c r="H49" s="86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87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1"/>
      <c r="AL49" s="1"/>
      <c r="AM49" s="1"/>
      <c r="AN49" s="1"/>
      <c r="AO49" s="1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3"/>
      <c r="BY49" s="72"/>
      <c r="BZ49" s="72"/>
      <c r="CA49" s="72"/>
      <c r="CB49" s="72"/>
      <c r="CC49" s="72"/>
      <c r="CD49" s="72"/>
      <c r="CE49" s="72"/>
      <c r="CF49" s="72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DA49" s="66"/>
    </row>
    <row r="50" spans="1:105" ht="20.25" customHeight="1" x14ac:dyDescent="0.35">
      <c r="A50" s="5"/>
      <c r="B50" s="101" t="s">
        <v>1019</v>
      </c>
      <c r="C50" s="79" t="s">
        <v>977</v>
      </c>
      <c r="D50" s="65" t="s">
        <v>380</v>
      </c>
      <c r="E50" s="65" t="s">
        <v>59</v>
      </c>
      <c r="F50" s="55" t="s">
        <v>33</v>
      </c>
      <c r="G50" s="55" t="s">
        <v>130</v>
      </c>
      <c r="H50" s="86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87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1"/>
      <c r="AL50" s="1"/>
      <c r="AM50" s="1"/>
      <c r="AN50" s="1"/>
      <c r="AO50" s="1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3"/>
      <c r="BY50" s="72"/>
      <c r="BZ50" s="72"/>
      <c r="CA50" s="72"/>
      <c r="CB50" s="72"/>
      <c r="CC50" s="72"/>
      <c r="CD50" s="72"/>
      <c r="CE50" s="72"/>
      <c r="CF50" s="72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DA50" s="66"/>
    </row>
    <row r="51" spans="1:105" ht="20.25" customHeight="1" x14ac:dyDescent="0.35">
      <c r="A51" s="5"/>
      <c r="B51" s="79" t="s">
        <v>978</v>
      </c>
      <c r="C51" s="79" t="s">
        <v>979</v>
      </c>
      <c r="D51" s="88" t="s">
        <v>380</v>
      </c>
      <c r="E51" s="65" t="s">
        <v>59</v>
      </c>
      <c r="F51" s="65" t="s">
        <v>586</v>
      </c>
      <c r="G51" s="65" t="s">
        <v>130</v>
      </c>
      <c r="H51" s="86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87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1"/>
      <c r="AL51" s="1"/>
      <c r="AM51" s="1"/>
      <c r="AN51" s="1"/>
      <c r="AO51" s="1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3"/>
      <c r="BY51" s="72"/>
      <c r="BZ51" s="72"/>
      <c r="CA51" s="72"/>
      <c r="CB51" s="72"/>
      <c r="CC51" s="72"/>
      <c r="CD51" s="72"/>
      <c r="CE51" s="72"/>
      <c r="CF51" s="72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DA51" s="66"/>
    </row>
    <row r="52" spans="1:105" ht="20.25" customHeight="1" x14ac:dyDescent="0.35">
      <c r="A52" s="5"/>
      <c r="B52" s="79" t="s">
        <v>1020</v>
      </c>
      <c r="C52" s="79" t="s">
        <v>1000</v>
      </c>
      <c r="D52" s="88" t="s">
        <v>380</v>
      </c>
      <c r="E52" s="65" t="s">
        <v>59</v>
      </c>
      <c r="F52" s="65" t="s">
        <v>1021</v>
      </c>
      <c r="G52" s="65" t="s">
        <v>32</v>
      </c>
      <c r="H52" s="86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87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1"/>
      <c r="AL52" s="1"/>
      <c r="AM52" s="1"/>
      <c r="AN52" s="1"/>
      <c r="AO52" s="1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3"/>
      <c r="BY52" s="72"/>
      <c r="BZ52" s="72"/>
      <c r="CA52" s="72"/>
      <c r="CB52" s="72"/>
      <c r="CC52" s="72"/>
      <c r="CD52" s="72"/>
      <c r="CE52" s="72"/>
      <c r="CF52" s="72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DA52" s="66"/>
    </row>
    <row r="53" spans="1:105" ht="20.25" customHeight="1" x14ac:dyDescent="0.35">
      <c r="A53" s="5"/>
      <c r="B53" s="79" t="s">
        <v>1023</v>
      </c>
      <c r="C53" s="79" t="s">
        <v>1024</v>
      </c>
      <c r="D53" s="88" t="s">
        <v>425</v>
      </c>
      <c r="E53" s="65" t="s">
        <v>1035</v>
      </c>
      <c r="F53" s="65" t="s">
        <v>900</v>
      </c>
      <c r="G53" s="65" t="s">
        <v>50</v>
      </c>
      <c r="H53" s="86">
        <v>9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87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1"/>
      <c r="AL53" s="1"/>
      <c r="AM53" s="1"/>
      <c r="AN53" s="1"/>
      <c r="AO53" s="1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3"/>
      <c r="BY53" s="72"/>
      <c r="BZ53" s="72"/>
      <c r="CA53" s="72"/>
      <c r="CB53" s="72"/>
      <c r="CC53" s="72"/>
      <c r="CD53" s="72"/>
      <c r="CE53" s="72"/>
      <c r="CF53" s="72">
        <v>12.8</v>
      </c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DA53" s="66">
        <f>H53</f>
        <v>9</v>
      </c>
    </row>
    <row r="54" spans="1:105" ht="20.25" customHeight="1" x14ac:dyDescent="0.35">
      <c r="A54" s="5"/>
      <c r="B54" s="79" t="s">
        <v>1030</v>
      </c>
      <c r="C54" s="79" t="s">
        <v>1025</v>
      </c>
      <c r="D54" s="88" t="s">
        <v>425</v>
      </c>
      <c r="E54" s="65" t="s">
        <v>1035</v>
      </c>
      <c r="F54" s="65" t="s">
        <v>900</v>
      </c>
      <c r="G54" s="65" t="s">
        <v>50</v>
      </c>
      <c r="H54" s="86">
        <v>9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87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1"/>
      <c r="AL54" s="1"/>
      <c r="AM54" s="1"/>
      <c r="AN54" s="1"/>
      <c r="AO54" s="1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3"/>
      <c r="BY54" s="72"/>
      <c r="BZ54" s="72"/>
      <c r="CA54" s="72"/>
      <c r="CB54" s="72"/>
      <c r="CC54" s="72"/>
      <c r="CD54" s="72"/>
      <c r="CE54" s="72"/>
      <c r="CF54" s="72">
        <v>12.8</v>
      </c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DA54" s="66">
        <f>H54</f>
        <v>9</v>
      </c>
    </row>
    <row r="55" spans="1:105" ht="20.25" customHeight="1" x14ac:dyDescent="0.35">
      <c r="A55" s="5" t="s">
        <v>1081</v>
      </c>
      <c r="B55" s="79" t="s">
        <v>1031</v>
      </c>
      <c r="C55" s="79" t="s">
        <v>1026</v>
      </c>
      <c r="D55" s="88" t="s">
        <v>425</v>
      </c>
      <c r="E55" s="65" t="s">
        <v>1035</v>
      </c>
      <c r="F55" s="65" t="s">
        <v>900</v>
      </c>
      <c r="G55" s="65" t="s">
        <v>50</v>
      </c>
      <c r="H55" s="73">
        <v>9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87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1"/>
      <c r="AL55" s="1"/>
      <c r="AM55" s="1"/>
      <c r="AN55" s="1"/>
      <c r="AO55" s="1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3"/>
      <c r="BY55" s="72"/>
      <c r="BZ55" s="72"/>
      <c r="CA55" s="72"/>
      <c r="CB55" s="72"/>
      <c r="CC55" s="72"/>
      <c r="CD55" s="72"/>
      <c r="CE55" s="72"/>
      <c r="CF55" s="72">
        <v>12.8</v>
      </c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DA55" s="139">
        <f>H55</f>
        <v>9</v>
      </c>
    </row>
    <row r="56" spans="1:105" ht="20.25" customHeight="1" x14ac:dyDescent="0.35">
      <c r="A56" s="5" t="s">
        <v>1082</v>
      </c>
      <c r="B56" s="79" t="s">
        <v>1032</v>
      </c>
      <c r="C56" s="79" t="s">
        <v>1027</v>
      </c>
      <c r="D56" s="88" t="s">
        <v>425</v>
      </c>
      <c r="E56" s="65" t="s">
        <v>1035</v>
      </c>
      <c r="F56" s="65" t="s">
        <v>900</v>
      </c>
      <c r="G56" s="65" t="s">
        <v>50</v>
      </c>
      <c r="H56" s="73">
        <v>9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87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1"/>
      <c r="AL56" s="1"/>
      <c r="AM56" s="1"/>
      <c r="AN56" s="1"/>
      <c r="AO56" s="1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3"/>
      <c r="BY56" s="72"/>
      <c r="BZ56" s="72"/>
      <c r="CA56" s="72"/>
      <c r="CB56" s="72"/>
      <c r="CC56" s="72"/>
      <c r="CD56" s="72"/>
      <c r="CE56" s="72"/>
      <c r="CF56" s="72">
        <v>12.8</v>
      </c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DA56" s="139">
        <f>H56</f>
        <v>9</v>
      </c>
    </row>
    <row r="57" spans="1:105" ht="20.25" customHeight="1" x14ac:dyDescent="0.35">
      <c r="A57" s="5"/>
      <c r="B57" s="79" t="s">
        <v>1033</v>
      </c>
      <c r="C57" s="79" t="s">
        <v>1028</v>
      </c>
      <c r="D57" s="88" t="s">
        <v>425</v>
      </c>
      <c r="E57" s="65" t="s">
        <v>1035</v>
      </c>
      <c r="F57" s="65" t="s">
        <v>900</v>
      </c>
      <c r="G57" s="65" t="s">
        <v>50</v>
      </c>
      <c r="H57" s="86">
        <v>9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87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1"/>
      <c r="AL57" s="1"/>
      <c r="AM57" s="1"/>
      <c r="AN57" s="1"/>
      <c r="AO57" s="1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3"/>
      <c r="BY57" s="72"/>
      <c r="BZ57" s="72"/>
      <c r="CA57" s="72"/>
      <c r="CB57" s="72"/>
      <c r="CC57" s="72"/>
      <c r="CD57" s="72"/>
      <c r="CE57" s="72"/>
      <c r="CF57" s="72">
        <v>12.8</v>
      </c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DA57" s="66">
        <f>H57</f>
        <v>9</v>
      </c>
    </row>
    <row r="58" spans="1:105" ht="20.25" customHeight="1" x14ac:dyDescent="0.35">
      <c r="A58" s="5"/>
      <c r="B58" s="79" t="s">
        <v>1034</v>
      </c>
      <c r="C58" s="79" t="s">
        <v>1029</v>
      </c>
      <c r="D58" s="88" t="s">
        <v>425</v>
      </c>
      <c r="E58" s="65" t="s">
        <v>1035</v>
      </c>
      <c r="F58" s="65" t="s">
        <v>900</v>
      </c>
      <c r="G58" s="65" t="s">
        <v>50</v>
      </c>
      <c r="H58" s="86">
        <v>10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87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1"/>
      <c r="AL58" s="1"/>
      <c r="AM58" s="1"/>
      <c r="AN58" s="1"/>
      <c r="AO58" s="1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3"/>
      <c r="BY58" s="72"/>
      <c r="BZ58" s="72"/>
      <c r="CA58" s="72"/>
      <c r="CB58" s="72"/>
      <c r="CC58" s="72"/>
      <c r="CD58" s="72"/>
      <c r="CE58" s="72"/>
      <c r="CF58" s="72">
        <v>12.8</v>
      </c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DA58" s="66">
        <f t="shared" ref="DA58:DA60" si="4">H58</f>
        <v>10</v>
      </c>
    </row>
    <row r="59" spans="1:105" ht="20.25" customHeight="1" x14ac:dyDescent="0.35">
      <c r="A59" s="5"/>
      <c r="B59" s="79" t="s">
        <v>1077</v>
      </c>
      <c r="C59" s="79" t="s">
        <v>1078</v>
      </c>
      <c r="D59" s="88" t="s">
        <v>380</v>
      </c>
      <c r="E59" s="65" t="s">
        <v>59</v>
      </c>
      <c r="F59" s="65" t="s">
        <v>1080</v>
      </c>
      <c r="G59" s="65"/>
      <c r="H59" s="86">
        <v>0</v>
      </c>
      <c r="I59" s="3">
        <v>7.5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87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1"/>
      <c r="AL59" s="1"/>
      <c r="AM59" s="1"/>
      <c r="AN59" s="1"/>
      <c r="AO59" s="1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3"/>
      <c r="BY59" s="72"/>
      <c r="BZ59" s="72"/>
      <c r="CA59" s="72"/>
      <c r="CB59" s="72"/>
      <c r="CC59" s="72"/>
      <c r="CD59" s="72"/>
      <c r="CE59" s="72"/>
      <c r="CF59" s="72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DA59" s="66">
        <f t="shared" si="4"/>
        <v>0</v>
      </c>
    </row>
    <row r="60" spans="1:105" ht="20.25" customHeight="1" x14ac:dyDescent="0.35">
      <c r="A60" s="5" t="s">
        <v>1085</v>
      </c>
      <c r="B60" s="79" t="s">
        <v>1102</v>
      </c>
      <c r="C60" s="79" t="s">
        <v>1078</v>
      </c>
      <c r="D60" s="88" t="s">
        <v>380</v>
      </c>
      <c r="E60" s="65" t="s">
        <v>59</v>
      </c>
      <c r="F60" s="65" t="s">
        <v>435</v>
      </c>
      <c r="G60" s="65"/>
      <c r="H60" s="73">
        <v>5.86</v>
      </c>
      <c r="I60" s="3">
        <v>8.5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87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>
        <v>10</v>
      </c>
      <c r="AK60" s="1"/>
      <c r="AL60" s="1"/>
      <c r="AM60" s="1"/>
      <c r="AN60" s="1"/>
      <c r="AO60" s="1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3"/>
      <c r="BY60" s="72"/>
      <c r="BZ60" s="72"/>
      <c r="CA60" s="72"/>
      <c r="CB60" s="72"/>
      <c r="CC60" s="72"/>
      <c r="CD60" s="72"/>
      <c r="CE60" s="72"/>
      <c r="CF60" s="72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DA60" s="66">
        <f t="shared" si="4"/>
        <v>5.86</v>
      </c>
    </row>
    <row r="61" spans="1:105" ht="20.25" customHeight="1" x14ac:dyDescent="0.35">
      <c r="A61" s="5"/>
      <c r="B61" s="79" t="s">
        <v>1157</v>
      </c>
      <c r="C61" s="79" t="s">
        <v>1159</v>
      </c>
      <c r="D61" s="88" t="s">
        <v>380</v>
      </c>
      <c r="E61" s="65" t="s">
        <v>35</v>
      </c>
      <c r="F61" s="65" t="s">
        <v>1161</v>
      </c>
      <c r="G61" s="65" t="s">
        <v>130</v>
      </c>
      <c r="H61" s="73">
        <v>2.4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87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>
        <v>3.4</v>
      </c>
      <c r="AK61" s="1"/>
      <c r="AL61" s="1"/>
      <c r="AM61" s="1"/>
      <c r="AN61" s="1"/>
      <c r="AO61" s="1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3"/>
      <c r="BY61" s="72"/>
      <c r="BZ61" s="72"/>
      <c r="CA61" s="72"/>
      <c r="CB61" s="72"/>
      <c r="CC61" s="72"/>
      <c r="CD61" s="72"/>
      <c r="CE61" s="72"/>
      <c r="CF61" s="72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DA61" s="139">
        <f t="shared" ref="DA61:DA69" si="5">H61</f>
        <v>2.4</v>
      </c>
    </row>
    <row r="62" spans="1:105" ht="20.25" customHeight="1" x14ac:dyDescent="0.35">
      <c r="A62" s="5"/>
      <c r="B62" s="79" t="s">
        <v>1158</v>
      </c>
      <c r="C62" s="79" t="s">
        <v>1160</v>
      </c>
      <c r="D62" s="88" t="s">
        <v>380</v>
      </c>
      <c r="E62" s="65" t="s">
        <v>35</v>
      </c>
      <c r="F62" s="65" t="s">
        <v>1161</v>
      </c>
      <c r="G62" s="65" t="s">
        <v>130</v>
      </c>
      <c r="H62" s="73">
        <v>2.4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87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>
        <v>3.4</v>
      </c>
      <c r="AK62" s="1"/>
      <c r="AL62" s="1"/>
      <c r="AM62" s="1"/>
      <c r="AN62" s="1"/>
      <c r="AO62" s="1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3"/>
      <c r="BY62" s="72"/>
      <c r="BZ62" s="72"/>
      <c r="CA62" s="72"/>
      <c r="CB62" s="72"/>
      <c r="CC62" s="72"/>
      <c r="CD62" s="72"/>
      <c r="CE62" s="72"/>
      <c r="CF62" s="72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DA62" s="139">
        <f t="shared" si="5"/>
        <v>2.4</v>
      </c>
    </row>
    <row r="63" spans="1:105" ht="20.25" customHeight="1" x14ac:dyDescent="0.35">
      <c r="A63" s="65"/>
      <c r="B63" s="79" t="s">
        <v>552</v>
      </c>
      <c r="C63" s="79" t="s">
        <v>142</v>
      </c>
      <c r="D63" s="88" t="s">
        <v>447</v>
      </c>
      <c r="E63" s="65" t="s">
        <v>35</v>
      </c>
      <c r="F63" s="65" t="s">
        <v>554</v>
      </c>
      <c r="G63" s="65" t="s">
        <v>95</v>
      </c>
      <c r="H63" s="86">
        <v>44</v>
      </c>
      <c r="I63" s="89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>
        <v>52</v>
      </c>
      <c r="AD63" s="3"/>
      <c r="AE63" s="3"/>
      <c r="AF63" s="3"/>
      <c r="AG63" s="3"/>
      <c r="AH63" s="3"/>
      <c r="AI63" s="3"/>
      <c r="AJ63" s="3"/>
      <c r="AK63" s="1"/>
      <c r="AL63" s="1"/>
      <c r="AM63" s="1"/>
      <c r="AN63" s="1"/>
      <c r="AO63" s="1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3"/>
      <c r="BY63" s="72"/>
      <c r="BZ63" s="72"/>
      <c r="CA63" s="72"/>
      <c r="CB63" s="72"/>
      <c r="CC63" s="72"/>
      <c r="CD63" s="72"/>
      <c r="CE63" s="72"/>
      <c r="CF63" s="72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DA63" s="66">
        <f t="shared" si="5"/>
        <v>44</v>
      </c>
    </row>
    <row r="64" spans="1:105" ht="20.25" customHeight="1" x14ac:dyDescent="0.35">
      <c r="A64" s="5"/>
      <c r="B64" s="79" t="s">
        <v>553</v>
      </c>
      <c r="C64" s="79" t="s">
        <v>142</v>
      </c>
      <c r="D64" s="88" t="s">
        <v>447</v>
      </c>
      <c r="E64" s="65" t="s">
        <v>35</v>
      </c>
      <c r="F64" s="65" t="s">
        <v>455</v>
      </c>
      <c r="G64" s="65" t="s">
        <v>95</v>
      </c>
      <c r="H64" s="86">
        <v>11</v>
      </c>
      <c r="I64" s="3">
        <v>16</v>
      </c>
      <c r="J64" s="3"/>
      <c r="K64" s="3"/>
      <c r="L64" s="3"/>
      <c r="M64" s="3"/>
      <c r="N64" s="3"/>
      <c r="O64" s="3"/>
      <c r="P64" s="3"/>
      <c r="Q64" s="3"/>
      <c r="R64" s="3">
        <v>15</v>
      </c>
      <c r="S64" s="3"/>
      <c r="T64" s="3"/>
      <c r="U64" s="3"/>
      <c r="V64" s="87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1"/>
      <c r="AL64" s="1"/>
      <c r="AM64" s="1"/>
      <c r="AN64" s="1"/>
      <c r="AO64" s="1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3"/>
      <c r="BY64" s="72">
        <v>15</v>
      </c>
      <c r="BZ64" s="72"/>
      <c r="CA64" s="72"/>
      <c r="CB64" s="72"/>
      <c r="CC64" s="72"/>
      <c r="CD64" s="72"/>
      <c r="CE64" s="72"/>
      <c r="CF64" s="72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DA64" s="66">
        <f t="shared" si="5"/>
        <v>11</v>
      </c>
    </row>
    <row r="65" spans="1:105" ht="20.25" customHeight="1" x14ac:dyDescent="0.35">
      <c r="A65" s="65" t="s">
        <v>1017</v>
      </c>
      <c r="B65" s="79" t="s">
        <v>555</v>
      </c>
      <c r="C65" s="79" t="s">
        <v>163</v>
      </c>
      <c r="D65" s="88" t="s">
        <v>425</v>
      </c>
      <c r="E65" s="65" t="s">
        <v>967</v>
      </c>
      <c r="F65" s="65" t="s">
        <v>454</v>
      </c>
      <c r="G65" s="65" t="s">
        <v>41</v>
      </c>
      <c r="H65" s="73">
        <f>5.5</f>
        <v>5.5</v>
      </c>
      <c r="I65" s="89">
        <v>6</v>
      </c>
      <c r="J65" s="3">
        <v>6</v>
      </c>
      <c r="K65" s="3"/>
      <c r="L65" s="3">
        <v>6.5</v>
      </c>
      <c r="M65" s="3">
        <v>6.5</v>
      </c>
      <c r="N65" s="89">
        <v>6</v>
      </c>
      <c r="O65" s="3">
        <v>6.5</v>
      </c>
      <c r="P65" s="89">
        <v>6.5</v>
      </c>
      <c r="Q65" s="3">
        <v>6.5</v>
      </c>
      <c r="R65" s="3">
        <v>6</v>
      </c>
      <c r="S65" s="3">
        <v>7</v>
      </c>
      <c r="T65" s="3"/>
      <c r="U65" s="3"/>
      <c r="V65" s="87">
        <v>6</v>
      </c>
      <c r="W65" s="3"/>
      <c r="X65" s="3"/>
      <c r="Y65" s="3"/>
      <c r="Z65" s="3"/>
      <c r="AA65" s="3"/>
      <c r="AB65" s="3">
        <v>6.5</v>
      </c>
      <c r="AC65" s="3">
        <v>6</v>
      </c>
      <c r="AD65" s="3"/>
      <c r="AE65" s="3"/>
      <c r="AF65" s="3"/>
      <c r="AG65" s="3"/>
      <c r="AH65" s="3"/>
      <c r="AI65" s="3"/>
      <c r="AJ65" s="3"/>
      <c r="AK65" s="1"/>
      <c r="AL65" s="1"/>
      <c r="AM65" s="1">
        <v>6.5</v>
      </c>
      <c r="AN65" s="1"/>
      <c r="AO65" s="3">
        <v>6</v>
      </c>
      <c r="AP65" s="3">
        <v>6</v>
      </c>
      <c r="AQ65" s="3">
        <v>6</v>
      </c>
      <c r="AR65" s="3">
        <v>6</v>
      </c>
      <c r="AS65" s="3"/>
      <c r="AT65" s="3">
        <v>6</v>
      </c>
      <c r="AU65" s="3">
        <v>6</v>
      </c>
      <c r="AV65" s="3">
        <v>6</v>
      </c>
      <c r="AW65" s="3">
        <v>6</v>
      </c>
      <c r="AX65" s="3">
        <v>6</v>
      </c>
      <c r="AY65" s="3">
        <v>6</v>
      </c>
      <c r="AZ65" s="3">
        <v>6</v>
      </c>
      <c r="BA65" s="3">
        <v>6</v>
      </c>
      <c r="BB65" s="3"/>
      <c r="BC65" s="3">
        <v>6</v>
      </c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3">
        <f>J65</f>
        <v>6</v>
      </c>
      <c r="BY65" s="72"/>
      <c r="BZ65" s="72"/>
      <c r="CA65" s="72"/>
      <c r="CB65" s="72"/>
      <c r="CC65" s="72"/>
      <c r="CD65" s="72"/>
      <c r="CE65" s="72"/>
      <c r="CF65" s="72">
        <v>6.5</v>
      </c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DA65" s="139">
        <f t="shared" si="5"/>
        <v>5.5</v>
      </c>
    </row>
    <row r="66" spans="1:105" ht="20.25" customHeight="1" x14ac:dyDescent="0.35">
      <c r="A66" s="65" t="s">
        <v>1016</v>
      </c>
      <c r="B66" s="79" t="s">
        <v>556</v>
      </c>
      <c r="C66" s="79" t="s">
        <v>162</v>
      </c>
      <c r="D66" s="88" t="s">
        <v>425</v>
      </c>
      <c r="E66" s="65" t="s">
        <v>967</v>
      </c>
      <c r="F66" s="65" t="s">
        <v>454</v>
      </c>
      <c r="G66" s="65" t="s">
        <v>41</v>
      </c>
      <c r="H66" s="73">
        <v>6</v>
      </c>
      <c r="I66" s="89">
        <v>6</v>
      </c>
      <c r="J66" s="3">
        <v>0</v>
      </c>
      <c r="K66" s="3"/>
      <c r="L66" s="3"/>
      <c r="M66" s="3"/>
      <c r="N66" s="3"/>
      <c r="O66" s="3">
        <v>6</v>
      </c>
      <c r="P66" s="89">
        <v>6</v>
      </c>
      <c r="Q66" s="3">
        <v>6</v>
      </c>
      <c r="R66" s="3">
        <v>6</v>
      </c>
      <c r="S66" s="3"/>
      <c r="T66" s="3"/>
      <c r="U66" s="3">
        <v>6</v>
      </c>
      <c r="V66" s="87">
        <v>6</v>
      </c>
      <c r="W66" s="3"/>
      <c r="X66" s="3"/>
      <c r="Y66" s="3"/>
      <c r="Z66" s="3"/>
      <c r="AA66" s="3"/>
      <c r="AB66" s="3"/>
      <c r="AC66" s="3">
        <v>6</v>
      </c>
      <c r="AD66" s="3"/>
      <c r="AE66" s="3"/>
      <c r="AF66" s="3"/>
      <c r="AG66" s="3"/>
      <c r="AH66" s="3"/>
      <c r="AI66" s="3"/>
      <c r="AJ66" s="3"/>
      <c r="AK66" s="1"/>
      <c r="AL66" s="1"/>
      <c r="AM66" s="1"/>
      <c r="AN66" s="1"/>
      <c r="AO66" s="1"/>
      <c r="AP66" s="3">
        <v>0</v>
      </c>
      <c r="AQ66" s="3">
        <v>0</v>
      </c>
      <c r="AR66" s="3">
        <v>0</v>
      </c>
      <c r="AS66" s="3"/>
      <c r="AT66" s="3">
        <v>0</v>
      </c>
      <c r="AU66" s="3">
        <v>0</v>
      </c>
      <c r="AV66" s="3">
        <v>0</v>
      </c>
      <c r="AW66" s="3">
        <v>0</v>
      </c>
      <c r="AX66" s="3">
        <v>0</v>
      </c>
      <c r="AY66" s="3">
        <v>0</v>
      </c>
      <c r="AZ66" s="3">
        <v>0</v>
      </c>
      <c r="BA66" s="3">
        <v>0</v>
      </c>
      <c r="BB66" s="3"/>
      <c r="BC66" s="3">
        <v>0</v>
      </c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3"/>
      <c r="BY66" s="72"/>
      <c r="BZ66" s="72"/>
      <c r="CA66" s="72"/>
      <c r="CB66" s="72"/>
      <c r="CC66" s="72"/>
      <c r="CD66" s="72"/>
      <c r="CE66" s="72"/>
      <c r="CF66" s="72">
        <v>6</v>
      </c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DA66" s="66">
        <f t="shared" si="5"/>
        <v>6</v>
      </c>
    </row>
    <row r="67" spans="1:105" ht="20.25" customHeight="1" x14ac:dyDescent="0.35">
      <c r="A67" s="65"/>
      <c r="B67" s="79" t="s">
        <v>557</v>
      </c>
      <c r="C67" s="79" t="s">
        <v>164</v>
      </c>
      <c r="D67" s="65" t="s">
        <v>380</v>
      </c>
      <c r="E67" s="65" t="s">
        <v>35</v>
      </c>
      <c r="F67" s="65" t="s">
        <v>454</v>
      </c>
      <c r="G67" s="65" t="s">
        <v>41</v>
      </c>
      <c r="H67" s="73">
        <v>6</v>
      </c>
      <c r="I67" s="3">
        <v>0</v>
      </c>
      <c r="J67" s="3"/>
      <c r="K67" s="3"/>
      <c r="L67" s="3"/>
      <c r="M67" s="3"/>
      <c r="N67" s="3"/>
      <c r="O67" s="3"/>
      <c r="P67" s="89">
        <v>7</v>
      </c>
      <c r="Q67" s="3"/>
      <c r="R67" s="3"/>
      <c r="S67" s="3"/>
      <c r="T67" s="3"/>
      <c r="U67" s="3"/>
      <c r="V67" s="87"/>
      <c r="W67" s="3"/>
      <c r="X67" s="3"/>
      <c r="Y67" s="3"/>
      <c r="Z67" s="3"/>
      <c r="AA67" s="3"/>
      <c r="AB67" s="3">
        <v>7.5</v>
      </c>
      <c r="AC67" s="3">
        <v>7</v>
      </c>
      <c r="AD67" s="3"/>
      <c r="AE67" s="3"/>
      <c r="AF67" s="3">
        <v>7</v>
      </c>
      <c r="AG67" s="3"/>
      <c r="AH67" s="3"/>
      <c r="AI67" s="3"/>
      <c r="AJ67" s="3"/>
      <c r="AK67" s="1"/>
      <c r="AL67" s="1"/>
      <c r="AM67" s="1"/>
      <c r="AN67" s="1"/>
      <c r="AO67" s="1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1"/>
      <c r="BE67" s="1"/>
      <c r="BF67" s="1"/>
      <c r="BG67" s="1"/>
      <c r="BH67" s="1"/>
      <c r="BI67" s="1"/>
      <c r="BJ67" s="1">
        <v>8</v>
      </c>
      <c r="BK67" s="11">
        <v>10</v>
      </c>
      <c r="BL67" s="1"/>
      <c r="BM67" s="1"/>
      <c r="BN67" s="1"/>
      <c r="BO67" s="1"/>
      <c r="BP67" s="1"/>
      <c r="BQ67" s="1"/>
      <c r="BR67" s="1"/>
      <c r="BS67" s="1"/>
      <c r="BT67" s="1"/>
      <c r="BU67" s="1">
        <v>8</v>
      </c>
      <c r="BV67" s="1"/>
      <c r="BW67" s="1"/>
      <c r="BX67" s="3"/>
      <c r="BY67" s="72"/>
      <c r="BZ67" s="72"/>
      <c r="CA67" s="72"/>
      <c r="CB67" s="72"/>
      <c r="CC67" s="72"/>
      <c r="CD67" s="72"/>
      <c r="CE67" s="72"/>
      <c r="CF67" s="72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DA67" s="139">
        <f t="shared" si="5"/>
        <v>6</v>
      </c>
    </row>
    <row r="68" spans="1:105" ht="20.25" customHeight="1" x14ac:dyDescent="0.35">
      <c r="A68" s="65" t="s">
        <v>1015</v>
      </c>
      <c r="B68" s="79" t="s">
        <v>558</v>
      </c>
      <c r="C68" s="79" t="s">
        <v>490</v>
      </c>
      <c r="D68" s="65" t="s">
        <v>380</v>
      </c>
      <c r="E68" s="65" t="s">
        <v>1022</v>
      </c>
      <c r="F68" s="65" t="s">
        <v>454</v>
      </c>
      <c r="G68" s="65" t="s">
        <v>41</v>
      </c>
      <c r="H68" s="86">
        <v>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87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1"/>
      <c r="AL68" s="1"/>
      <c r="AM68" s="1"/>
      <c r="AN68" s="1"/>
      <c r="AO68" s="1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>
        <v>8</v>
      </c>
      <c r="BU68" s="1">
        <v>8</v>
      </c>
      <c r="BV68" s="1"/>
      <c r="BW68" s="1"/>
      <c r="BX68" s="3"/>
      <c r="BY68" s="72"/>
      <c r="BZ68" s="72"/>
      <c r="CA68" s="72"/>
      <c r="CB68" s="72"/>
      <c r="CC68" s="72"/>
      <c r="CD68" s="72"/>
      <c r="CE68" s="72"/>
      <c r="CF68" s="72">
        <v>7</v>
      </c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DA68" s="66">
        <f t="shared" si="5"/>
        <v>5</v>
      </c>
    </row>
    <row r="69" spans="1:105" ht="20.25" customHeight="1" x14ac:dyDescent="0.35">
      <c r="A69" s="65"/>
      <c r="B69" s="79" t="s">
        <v>559</v>
      </c>
      <c r="C69" s="79" t="s">
        <v>445</v>
      </c>
      <c r="D69" s="88" t="s">
        <v>447</v>
      </c>
      <c r="E69" s="65" t="s">
        <v>35</v>
      </c>
      <c r="F69" s="65" t="s">
        <v>562</v>
      </c>
      <c r="G69" s="65" t="s">
        <v>41</v>
      </c>
      <c r="H69" s="86">
        <v>15.8</v>
      </c>
      <c r="I69" s="89"/>
      <c r="J69" s="77">
        <v>23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87"/>
      <c r="W69" s="3"/>
      <c r="X69" s="3"/>
      <c r="Y69" s="3"/>
      <c r="Z69" s="3">
        <v>21</v>
      </c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1"/>
      <c r="AL69" s="1"/>
      <c r="AM69" s="1"/>
      <c r="AN69" s="1"/>
      <c r="AO69" s="1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>
        <v>21</v>
      </c>
      <c r="BV69" s="1"/>
      <c r="BW69" s="1"/>
      <c r="BX69" s="3"/>
      <c r="BY69" s="72"/>
      <c r="BZ69" s="72"/>
      <c r="CA69" s="72"/>
      <c r="CB69" s="72"/>
      <c r="CC69" s="72"/>
      <c r="CD69" s="72"/>
      <c r="CE69" s="72"/>
      <c r="CF69" s="72"/>
      <c r="CG69" s="58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DA69" s="66">
        <f t="shared" si="5"/>
        <v>15.8</v>
      </c>
    </row>
    <row r="70" spans="1:105" ht="20.25" customHeight="1" x14ac:dyDescent="0.35">
      <c r="A70" s="65"/>
      <c r="B70" s="79" t="s">
        <v>564</v>
      </c>
      <c r="C70" s="79" t="s">
        <v>445</v>
      </c>
      <c r="D70" s="88" t="s">
        <v>447</v>
      </c>
      <c r="E70" s="65" t="s">
        <v>35</v>
      </c>
      <c r="F70" s="65" t="s">
        <v>454</v>
      </c>
      <c r="G70" s="65" t="s">
        <v>41</v>
      </c>
      <c r="H70" s="86"/>
      <c r="I70" s="89">
        <v>6.5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>
        <v>7</v>
      </c>
      <c r="V70" s="87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1"/>
      <c r="AL70" s="1"/>
      <c r="AM70" s="1"/>
      <c r="AN70" s="1"/>
      <c r="AO70" s="1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1"/>
      <c r="BE70" s="1"/>
      <c r="BF70" s="1"/>
      <c r="BG70" s="1"/>
      <c r="BH70" s="1"/>
      <c r="BI70" s="1"/>
      <c r="BJ70" s="1">
        <v>7</v>
      </c>
      <c r="BK70" s="1"/>
      <c r="BL70" s="1"/>
      <c r="BM70" s="1"/>
      <c r="BN70" s="1"/>
      <c r="BO70" s="1"/>
      <c r="BP70" s="1"/>
      <c r="BQ70" s="1"/>
      <c r="BR70" s="1"/>
      <c r="BS70" s="1"/>
      <c r="BT70" s="1">
        <v>7</v>
      </c>
      <c r="BU70" s="1"/>
      <c r="BV70" s="1"/>
      <c r="BW70" s="1"/>
      <c r="BX70" s="3"/>
      <c r="BY70" s="72"/>
      <c r="BZ70" s="72"/>
      <c r="CA70" s="72"/>
      <c r="CB70" s="72"/>
      <c r="CC70" s="72"/>
      <c r="CD70" s="72"/>
      <c r="CE70" s="72"/>
      <c r="CF70" s="72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DA70" s="66"/>
    </row>
    <row r="71" spans="1:105" ht="20.25" customHeight="1" x14ac:dyDescent="0.35">
      <c r="A71" s="65"/>
      <c r="B71" s="79" t="s">
        <v>560</v>
      </c>
      <c r="C71" s="79" t="s">
        <v>446</v>
      </c>
      <c r="D71" s="88" t="s">
        <v>447</v>
      </c>
      <c r="E71" s="65" t="s">
        <v>35</v>
      </c>
      <c r="F71" s="65" t="s">
        <v>562</v>
      </c>
      <c r="G71" s="65" t="s">
        <v>41</v>
      </c>
      <c r="H71" s="86"/>
      <c r="I71" s="89"/>
      <c r="J71" s="77">
        <v>23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87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1"/>
      <c r="AL71" s="1"/>
      <c r="AM71" s="1"/>
      <c r="AN71" s="1"/>
      <c r="AO71" s="1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3"/>
      <c r="BY71" s="72"/>
      <c r="BZ71" s="72"/>
      <c r="CA71" s="72"/>
      <c r="CB71" s="72"/>
      <c r="CC71" s="72"/>
      <c r="CD71" s="72"/>
      <c r="CE71" s="72"/>
      <c r="CF71" s="72"/>
      <c r="CG71" s="58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DA71" s="66"/>
    </row>
    <row r="72" spans="1:105" ht="20.25" customHeight="1" x14ac:dyDescent="0.35">
      <c r="A72" s="65"/>
      <c r="B72" s="79" t="s">
        <v>565</v>
      </c>
      <c r="C72" s="79" t="s">
        <v>446</v>
      </c>
      <c r="D72" s="88" t="s">
        <v>447</v>
      </c>
      <c r="E72" s="65" t="s">
        <v>35</v>
      </c>
      <c r="F72" s="65" t="s">
        <v>454</v>
      </c>
      <c r="G72" s="65" t="s">
        <v>41</v>
      </c>
      <c r="H72" s="86"/>
      <c r="I72" s="89">
        <v>6.5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87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1"/>
      <c r="AL72" s="1"/>
      <c r="AM72" s="1"/>
      <c r="AN72" s="1"/>
      <c r="AO72" s="1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1"/>
      <c r="BE72" s="1"/>
      <c r="BF72" s="1"/>
      <c r="BG72" s="1"/>
      <c r="BH72" s="1"/>
      <c r="BI72" s="1"/>
      <c r="BJ72" s="1">
        <v>7</v>
      </c>
      <c r="BK72" s="1"/>
      <c r="BL72" s="1"/>
      <c r="BM72" s="1"/>
      <c r="BN72" s="1"/>
      <c r="BO72" s="1"/>
      <c r="BP72" s="1"/>
      <c r="BQ72" s="1"/>
      <c r="BR72" s="1"/>
      <c r="BS72" s="1"/>
      <c r="BT72" s="1">
        <v>7</v>
      </c>
      <c r="BU72" s="1"/>
      <c r="BV72" s="1"/>
      <c r="BW72" s="1"/>
      <c r="BX72" s="3"/>
      <c r="BY72" s="72"/>
      <c r="BZ72" s="72"/>
      <c r="CA72" s="72"/>
      <c r="CB72" s="72"/>
      <c r="CC72" s="72"/>
      <c r="CD72" s="72"/>
      <c r="CE72" s="72"/>
      <c r="CF72" s="72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DA72" s="66"/>
    </row>
    <row r="73" spans="1:105" ht="20.25" customHeight="1" x14ac:dyDescent="0.35">
      <c r="A73" s="65"/>
      <c r="B73" s="79" t="s">
        <v>561</v>
      </c>
      <c r="C73" s="79" t="s">
        <v>448</v>
      </c>
      <c r="D73" s="88" t="s">
        <v>447</v>
      </c>
      <c r="E73" s="65" t="s">
        <v>35</v>
      </c>
      <c r="F73" s="65" t="s">
        <v>562</v>
      </c>
      <c r="G73" s="65" t="s">
        <v>41</v>
      </c>
      <c r="H73" s="86">
        <v>15.8</v>
      </c>
      <c r="I73" s="89"/>
      <c r="J73" s="77">
        <v>23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87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1"/>
      <c r="AL73" s="1"/>
      <c r="AM73" s="1"/>
      <c r="AN73" s="1"/>
      <c r="AO73" s="1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>
        <v>21</v>
      </c>
      <c r="BV73" s="1"/>
      <c r="BW73" s="1"/>
      <c r="BX73" s="3"/>
      <c r="BY73" s="72"/>
      <c r="BZ73" s="72"/>
      <c r="CA73" s="72"/>
      <c r="CB73" s="72"/>
      <c r="CC73" s="72"/>
      <c r="CD73" s="72"/>
      <c r="CE73" s="72"/>
      <c r="CF73" s="72"/>
      <c r="CG73" s="58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DA73" s="66">
        <f>H73</f>
        <v>15.8</v>
      </c>
    </row>
    <row r="74" spans="1:105" ht="20.25" customHeight="1" x14ac:dyDescent="0.35">
      <c r="A74" s="65"/>
      <c r="B74" s="79" t="s">
        <v>563</v>
      </c>
      <c r="C74" s="79" t="s">
        <v>448</v>
      </c>
      <c r="D74" s="88" t="s">
        <v>447</v>
      </c>
      <c r="E74" s="65" t="s">
        <v>35</v>
      </c>
      <c r="F74" s="65" t="s">
        <v>454</v>
      </c>
      <c r="G74" s="65" t="s">
        <v>41</v>
      </c>
      <c r="H74" s="86"/>
      <c r="I74" s="89">
        <v>6.5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87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1"/>
      <c r="AL74" s="1"/>
      <c r="AM74" s="1"/>
      <c r="AN74" s="1"/>
      <c r="AO74" s="1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>
        <v>7</v>
      </c>
      <c r="BU74" s="1"/>
      <c r="BV74" s="1"/>
      <c r="BW74" s="1"/>
      <c r="BX74" s="3"/>
      <c r="BY74" s="72"/>
      <c r="BZ74" s="72"/>
      <c r="CA74" s="72"/>
      <c r="CB74" s="72"/>
      <c r="CC74" s="72"/>
      <c r="CD74" s="72"/>
      <c r="CE74" s="72"/>
      <c r="CF74" s="72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DA74" s="66"/>
    </row>
    <row r="75" spans="1:105" ht="20.25" customHeight="1" x14ac:dyDescent="0.35">
      <c r="A75" s="65"/>
      <c r="B75" s="101" t="s">
        <v>921</v>
      </c>
      <c r="C75" s="101" t="s">
        <v>1123</v>
      </c>
      <c r="D75" s="65" t="s">
        <v>447</v>
      </c>
      <c r="E75" s="65" t="s">
        <v>35</v>
      </c>
      <c r="F75" s="65" t="s">
        <v>33</v>
      </c>
      <c r="G75" s="65" t="s">
        <v>39</v>
      </c>
      <c r="H75" s="147">
        <v>5</v>
      </c>
      <c r="I75" s="89">
        <v>7</v>
      </c>
      <c r="J75" s="77">
        <v>8</v>
      </c>
      <c r="K75" s="3"/>
      <c r="L75" s="3"/>
      <c r="M75" s="3"/>
      <c r="N75" s="3"/>
      <c r="O75" s="3"/>
      <c r="P75" s="3"/>
      <c r="Q75" s="3"/>
      <c r="R75" s="3"/>
      <c r="S75" s="3"/>
      <c r="T75" s="3">
        <v>7</v>
      </c>
      <c r="U75" s="3"/>
      <c r="V75" s="87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1"/>
      <c r="AL75" s="1"/>
      <c r="AM75" s="1"/>
      <c r="AN75" s="1"/>
      <c r="AO75" s="1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1">
        <v>7.5</v>
      </c>
      <c r="BV75" s="1"/>
      <c r="BW75" s="1"/>
      <c r="BX75" s="3"/>
      <c r="BY75" s="72"/>
      <c r="BZ75" s="72">
        <v>7.5</v>
      </c>
      <c r="CA75" s="72"/>
      <c r="CB75" s="72"/>
      <c r="CC75" s="72"/>
      <c r="CD75" s="72"/>
      <c r="CE75" s="72"/>
      <c r="CF75" s="72"/>
      <c r="CG75" s="58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DA75" s="139">
        <f>H75</f>
        <v>5</v>
      </c>
    </row>
    <row r="76" spans="1:105" ht="20.25" customHeight="1" x14ac:dyDescent="0.35">
      <c r="A76" s="65"/>
      <c r="B76" s="101" t="s">
        <v>922</v>
      </c>
      <c r="C76" s="101" t="s">
        <v>1124</v>
      </c>
      <c r="D76" s="65" t="s">
        <v>447</v>
      </c>
      <c r="E76" s="65" t="s">
        <v>35</v>
      </c>
      <c r="F76" s="65" t="s">
        <v>33</v>
      </c>
      <c r="G76" s="65" t="s">
        <v>39</v>
      </c>
      <c r="H76" s="149">
        <v>5.5</v>
      </c>
      <c r="I76" s="152">
        <v>0</v>
      </c>
      <c r="J76" s="77">
        <v>8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87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1"/>
      <c r="AL76" s="1"/>
      <c r="AM76" s="1"/>
      <c r="AN76" s="1"/>
      <c r="AO76" s="1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3"/>
      <c r="BY76" s="72"/>
      <c r="BZ76" s="72">
        <v>7.5</v>
      </c>
      <c r="CA76" s="72"/>
      <c r="CB76" s="72"/>
      <c r="CC76" s="72"/>
      <c r="CD76" s="72"/>
      <c r="CE76" s="72"/>
      <c r="CF76" s="72"/>
      <c r="CG76" s="58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DA76" s="66">
        <f>H76</f>
        <v>5.5</v>
      </c>
    </row>
    <row r="77" spans="1:105" ht="20.25" customHeight="1" x14ac:dyDescent="0.35">
      <c r="A77" s="65"/>
      <c r="B77" s="79" t="s">
        <v>566</v>
      </c>
      <c r="C77" s="79" t="s">
        <v>471</v>
      </c>
      <c r="D77" s="88" t="s">
        <v>461</v>
      </c>
      <c r="E77" s="65" t="s">
        <v>35</v>
      </c>
      <c r="F77" s="65" t="s">
        <v>569</v>
      </c>
      <c r="G77" s="65" t="s">
        <v>34</v>
      </c>
      <c r="H77" s="73">
        <v>93</v>
      </c>
      <c r="I77" s="89"/>
      <c r="J77" s="3"/>
      <c r="K77" s="3"/>
      <c r="L77" s="3"/>
      <c r="M77" s="3"/>
      <c r="N77" s="89">
        <v>118</v>
      </c>
      <c r="O77" s="3"/>
      <c r="P77" s="3"/>
      <c r="Q77" s="3"/>
      <c r="R77" s="3"/>
      <c r="S77" s="3"/>
      <c r="T77" s="3"/>
      <c r="U77" s="3"/>
      <c r="V77" s="87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1"/>
      <c r="AL77" s="1"/>
      <c r="AM77" s="1"/>
      <c r="AN77" s="1"/>
      <c r="AO77" s="1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3"/>
      <c r="BY77" s="72"/>
      <c r="BZ77" s="72"/>
      <c r="CA77" s="72"/>
      <c r="CB77" s="72"/>
      <c r="CC77" s="72"/>
      <c r="CD77" s="72"/>
      <c r="CE77" s="72"/>
      <c r="CF77" s="72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DA77" s="139">
        <f>H77</f>
        <v>93</v>
      </c>
    </row>
    <row r="78" spans="1:105" ht="20.25" customHeight="1" x14ac:dyDescent="0.35">
      <c r="A78" s="65"/>
      <c r="B78" s="79" t="s">
        <v>567</v>
      </c>
      <c r="C78" s="79" t="s">
        <v>471</v>
      </c>
      <c r="D78" s="88" t="s">
        <v>461</v>
      </c>
      <c r="E78" s="65" t="s">
        <v>35</v>
      </c>
      <c r="F78" s="65" t="s">
        <v>1117</v>
      </c>
      <c r="G78" s="65" t="s">
        <v>145</v>
      </c>
      <c r="H78" s="73">
        <f>H77/10*2</f>
        <v>18.600000000000001</v>
      </c>
      <c r="I78" s="89">
        <v>24</v>
      </c>
      <c r="J78" s="3"/>
      <c r="K78" s="3"/>
      <c r="L78" s="3">
        <v>0</v>
      </c>
      <c r="M78" s="3"/>
      <c r="N78" s="3"/>
      <c r="O78" s="1">
        <v>26</v>
      </c>
      <c r="P78" s="89">
        <v>26</v>
      </c>
      <c r="Q78" s="1">
        <v>26</v>
      </c>
      <c r="R78" s="3"/>
      <c r="S78" s="3"/>
      <c r="T78" s="1"/>
      <c r="U78" s="3"/>
      <c r="V78" s="3"/>
      <c r="W78" s="3"/>
      <c r="X78" s="3"/>
      <c r="Y78" s="3"/>
      <c r="Z78" s="1">
        <v>26</v>
      </c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1"/>
      <c r="AL78" s="1"/>
      <c r="AM78" s="1"/>
      <c r="AN78" s="1"/>
      <c r="AO78" s="1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1"/>
      <c r="BE78" s="1"/>
      <c r="BF78" s="1"/>
      <c r="BG78" s="1"/>
      <c r="BH78" s="1"/>
      <c r="BI78" s="1"/>
      <c r="BJ78" s="1"/>
      <c r="BK78" s="1"/>
      <c r="BL78" s="1"/>
      <c r="BM78" s="1">
        <v>26</v>
      </c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3"/>
      <c r="BY78" s="72"/>
      <c r="BZ78" s="72">
        <v>26</v>
      </c>
      <c r="CA78" s="72"/>
      <c r="CB78" s="72"/>
      <c r="CC78" s="72"/>
      <c r="CD78" s="72"/>
      <c r="CE78" s="72"/>
      <c r="CF78" s="72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DA78" s="139">
        <f t="shared" ref="DA78:DA80" si="6">H78</f>
        <v>18.600000000000001</v>
      </c>
    </row>
    <row r="79" spans="1:105" ht="20.25" customHeight="1" x14ac:dyDescent="0.35">
      <c r="A79" s="65"/>
      <c r="B79" s="79" t="s">
        <v>568</v>
      </c>
      <c r="C79" s="79" t="s">
        <v>471</v>
      </c>
      <c r="D79" s="88" t="s">
        <v>461</v>
      </c>
      <c r="E79" s="65" t="s">
        <v>35</v>
      </c>
      <c r="F79" s="65" t="s">
        <v>1116</v>
      </c>
      <c r="G79" s="65" t="s">
        <v>145</v>
      </c>
      <c r="H79" s="73">
        <f>H78/4</f>
        <v>4.6500000000000004</v>
      </c>
      <c r="I79" s="89">
        <v>6</v>
      </c>
      <c r="J79" s="3"/>
      <c r="K79" s="3"/>
      <c r="L79" s="3"/>
      <c r="M79" s="3"/>
      <c r="N79" s="3"/>
      <c r="O79" s="1"/>
      <c r="P79" s="3"/>
      <c r="Q79" s="1"/>
      <c r="R79" s="3"/>
      <c r="S79" s="3"/>
      <c r="T79" s="1"/>
      <c r="U79" s="3"/>
      <c r="V79" s="3"/>
      <c r="W79" s="3"/>
      <c r="X79" s="3"/>
      <c r="Y79" s="3"/>
      <c r="Z79" s="1"/>
      <c r="AA79" s="3"/>
      <c r="AB79" s="3"/>
      <c r="AC79" s="3">
        <v>6.5</v>
      </c>
      <c r="AD79" s="3"/>
      <c r="AE79" s="3"/>
      <c r="AF79" s="3"/>
      <c r="AG79" s="3"/>
      <c r="AH79" s="3"/>
      <c r="AI79" s="3"/>
      <c r="AJ79" s="3"/>
      <c r="AK79" s="1"/>
      <c r="AL79" s="1"/>
      <c r="AM79" s="1"/>
      <c r="AN79" s="1"/>
      <c r="AO79" s="1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>
        <v>7</v>
      </c>
      <c r="BP79" s="1"/>
      <c r="BQ79" s="1"/>
      <c r="BR79" s="1"/>
      <c r="BS79" s="1"/>
      <c r="BT79" s="1"/>
      <c r="BU79" s="1"/>
      <c r="BV79" s="1"/>
      <c r="BW79" s="1"/>
      <c r="BX79" s="3"/>
      <c r="BY79" s="72"/>
      <c r="BZ79" s="72"/>
      <c r="CA79" s="72"/>
      <c r="CB79" s="72"/>
      <c r="CC79" s="72"/>
      <c r="CD79" s="72"/>
      <c r="CE79" s="72"/>
      <c r="CF79" s="72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DA79" s="139">
        <f t="shared" si="6"/>
        <v>4.6500000000000004</v>
      </c>
    </row>
    <row r="80" spans="1:105" ht="20.25" customHeight="1" x14ac:dyDescent="0.35">
      <c r="A80" s="65"/>
      <c r="B80" s="79" t="s">
        <v>570</v>
      </c>
      <c r="C80" s="79" t="s">
        <v>905</v>
      </c>
      <c r="D80" s="79"/>
      <c r="E80" s="65" t="s">
        <v>265</v>
      </c>
      <c r="F80" s="65" t="s">
        <v>33</v>
      </c>
      <c r="G80" s="65" t="s">
        <v>41</v>
      </c>
      <c r="H80" s="73">
        <v>27.5</v>
      </c>
      <c r="I80" s="3">
        <v>0</v>
      </c>
      <c r="J80" s="3"/>
      <c r="K80" s="3"/>
      <c r="L80" s="3">
        <v>0</v>
      </c>
      <c r="M80" s="3"/>
      <c r="N80" s="89">
        <v>35</v>
      </c>
      <c r="O80" s="3"/>
      <c r="P80" s="3"/>
      <c r="Q80" s="3"/>
      <c r="R80" s="3"/>
      <c r="S80" s="3"/>
      <c r="T80" s="3"/>
      <c r="U80" s="3"/>
      <c r="V80" s="87"/>
      <c r="W80" s="3"/>
      <c r="X80" s="3"/>
      <c r="Y80" s="3"/>
      <c r="Z80" s="3"/>
      <c r="AA80" s="3"/>
      <c r="AB80" s="3">
        <v>35</v>
      </c>
      <c r="AC80" s="3"/>
      <c r="AD80" s="3"/>
      <c r="AE80" s="3"/>
      <c r="AF80" s="3"/>
      <c r="AG80" s="3"/>
      <c r="AH80" s="3"/>
      <c r="AI80" s="3"/>
      <c r="AJ80" s="3"/>
      <c r="AK80" s="1"/>
      <c r="AL80" s="1"/>
      <c r="AM80" s="1"/>
      <c r="AN80" s="1"/>
      <c r="AO80" s="1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1"/>
      <c r="BE80" s="1"/>
      <c r="BF80" s="1"/>
      <c r="BG80" s="1">
        <v>40</v>
      </c>
      <c r="BH80" s="1"/>
      <c r="BI80" s="1"/>
      <c r="BJ80" s="1"/>
      <c r="BK80" s="1"/>
      <c r="BL80" s="1">
        <v>38</v>
      </c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3"/>
      <c r="BY80" s="72"/>
      <c r="BZ80" s="72"/>
      <c r="CA80" s="72"/>
      <c r="CB80" s="72"/>
      <c r="CC80" s="72"/>
      <c r="CD80" s="72"/>
      <c r="CE80" s="72"/>
      <c r="CF80" s="72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DA80" s="139">
        <f t="shared" si="6"/>
        <v>27.5</v>
      </c>
    </row>
    <row r="81" spans="1:105" ht="20.25" customHeight="1" x14ac:dyDescent="0.35">
      <c r="A81" s="65" t="s">
        <v>105</v>
      </c>
      <c r="B81" s="79" t="s">
        <v>571</v>
      </c>
      <c r="C81" s="79" t="s">
        <v>905</v>
      </c>
      <c r="D81" s="65" t="s">
        <v>462</v>
      </c>
      <c r="E81" s="65" t="s">
        <v>265</v>
      </c>
      <c r="F81" s="65" t="s">
        <v>452</v>
      </c>
      <c r="G81" s="65" t="s">
        <v>41</v>
      </c>
      <c r="H81" s="73">
        <f>H80/1000*42*10</f>
        <v>11.55</v>
      </c>
      <c r="I81" s="89">
        <v>30</v>
      </c>
      <c r="J81" s="3">
        <v>28</v>
      </c>
      <c r="K81" s="3"/>
      <c r="L81" s="3">
        <v>0</v>
      </c>
      <c r="M81" s="3"/>
      <c r="N81" s="3"/>
      <c r="O81" s="3">
        <v>25</v>
      </c>
      <c r="P81" s="89">
        <v>25</v>
      </c>
      <c r="Q81" s="3">
        <v>25</v>
      </c>
      <c r="R81" s="3">
        <v>25</v>
      </c>
      <c r="S81" s="3">
        <v>28</v>
      </c>
      <c r="T81" s="3"/>
      <c r="U81" s="3">
        <v>30</v>
      </c>
      <c r="V81" s="87">
        <v>25</v>
      </c>
      <c r="W81" s="3"/>
      <c r="X81" s="3"/>
      <c r="Y81" s="3"/>
      <c r="Z81" s="3">
        <v>25</v>
      </c>
      <c r="AA81" s="3"/>
      <c r="AB81" s="3"/>
      <c r="AC81" s="3">
        <v>25</v>
      </c>
      <c r="AD81" s="3"/>
      <c r="AE81" s="3"/>
      <c r="AF81" s="3"/>
      <c r="AG81" s="3"/>
      <c r="AH81" s="3"/>
      <c r="AI81" s="3"/>
      <c r="AJ81" s="3"/>
      <c r="AK81" s="1"/>
      <c r="AL81" s="1"/>
      <c r="AM81" s="1"/>
      <c r="AN81" s="1"/>
      <c r="AO81" s="3">
        <v>28</v>
      </c>
      <c r="AP81" s="3">
        <v>28</v>
      </c>
      <c r="AQ81" s="3">
        <v>28</v>
      </c>
      <c r="AR81" s="3">
        <v>28</v>
      </c>
      <c r="AS81" s="3"/>
      <c r="AT81" s="3">
        <v>28</v>
      </c>
      <c r="AU81" s="3">
        <v>28</v>
      </c>
      <c r="AV81" s="3">
        <v>28</v>
      </c>
      <c r="AW81" s="3">
        <v>28</v>
      </c>
      <c r="AX81" s="3">
        <v>28</v>
      </c>
      <c r="AY81" s="3">
        <v>28</v>
      </c>
      <c r="AZ81" s="3">
        <v>28</v>
      </c>
      <c r="BA81" s="3">
        <v>28</v>
      </c>
      <c r="BB81" s="3"/>
      <c r="BC81" s="3">
        <v>28</v>
      </c>
      <c r="BD81" s="1"/>
      <c r="BE81" s="1"/>
      <c r="BF81" s="1"/>
      <c r="BG81" s="3">
        <v>28</v>
      </c>
      <c r="BH81" s="1"/>
      <c r="BI81" s="1"/>
      <c r="BJ81" s="1"/>
      <c r="BK81" s="1">
        <v>30</v>
      </c>
      <c r="BL81" s="1"/>
      <c r="BM81" s="1"/>
      <c r="BN81" s="1"/>
      <c r="BO81" s="1"/>
      <c r="BP81" s="1"/>
      <c r="BQ81" s="1"/>
      <c r="BR81" s="1"/>
      <c r="BS81" s="1"/>
      <c r="BT81" s="1"/>
      <c r="BU81" s="1">
        <v>25</v>
      </c>
      <c r="BV81" s="1"/>
      <c r="BW81" s="1"/>
      <c r="BX81" s="3">
        <v>28</v>
      </c>
      <c r="BY81" s="72">
        <v>25</v>
      </c>
      <c r="BZ81" s="72">
        <v>27</v>
      </c>
      <c r="CA81" s="72"/>
      <c r="CB81" s="72"/>
      <c r="CC81" s="72"/>
      <c r="CD81" s="72"/>
      <c r="CE81" s="72"/>
      <c r="CF81" s="72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DA81" s="139">
        <f>H81</f>
        <v>11.55</v>
      </c>
    </row>
    <row r="82" spans="1:105" ht="20.25" customHeight="1" x14ac:dyDescent="0.35">
      <c r="A82" s="65"/>
      <c r="B82" s="79" t="s">
        <v>572</v>
      </c>
      <c r="C82" s="79" t="s">
        <v>573</v>
      </c>
      <c r="D82" s="88" t="s">
        <v>462</v>
      </c>
      <c r="E82" s="65" t="s">
        <v>265</v>
      </c>
      <c r="F82" s="65" t="s">
        <v>284</v>
      </c>
      <c r="G82" s="65" t="s">
        <v>41</v>
      </c>
      <c r="H82" s="73">
        <f>H80/1000*30*10</f>
        <v>8.25</v>
      </c>
      <c r="I82" s="3"/>
      <c r="J82" s="3">
        <v>18</v>
      </c>
      <c r="K82" s="3"/>
      <c r="L82" s="3"/>
      <c r="M82" s="3"/>
      <c r="N82" s="3"/>
      <c r="O82" s="3"/>
      <c r="P82" s="89">
        <v>18</v>
      </c>
      <c r="Q82" s="3"/>
      <c r="R82" s="3"/>
      <c r="S82" s="3"/>
      <c r="T82" s="3"/>
      <c r="U82" s="3"/>
      <c r="V82" s="87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1"/>
      <c r="AL82" s="1"/>
      <c r="AM82" s="1"/>
      <c r="AN82" s="1"/>
      <c r="AO82" s="1"/>
      <c r="AP82" s="3">
        <v>18</v>
      </c>
      <c r="AQ82" s="3">
        <v>18</v>
      </c>
      <c r="AR82" s="3">
        <v>18</v>
      </c>
      <c r="AS82" s="3"/>
      <c r="AT82" s="3">
        <v>18</v>
      </c>
      <c r="AU82" s="3"/>
      <c r="AV82" s="3">
        <v>18</v>
      </c>
      <c r="AW82" s="3">
        <v>18</v>
      </c>
      <c r="AX82" s="3">
        <v>18</v>
      </c>
      <c r="AY82" s="3">
        <v>18</v>
      </c>
      <c r="AZ82" s="3">
        <v>18</v>
      </c>
      <c r="BA82" s="3">
        <v>18</v>
      </c>
      <c r="BB82" s="3"/>
      <c r="BC82" s="3">
        <v>18</v>
      </c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3"/>
      <c r="BY82" s="72"/>
      <c r="BZ82" s="72"/>
      <c r="CA82" s="72"/>
      <c r="CB82" s="72"/>
      <c r="CC82" s="72"/>
      <c r="CD82" s="72"/>
      <c r="CE82" s="72"/>
      <c r="CF82" s="72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DA82" s="139">
        <f>H82</f>
        <v>8.25</v>
      </c>
    </row>
    <row r="83" spans="1:105" ht="20.25" customHeight="1" x14ac:dyDescent="0.35">
      <c r="A83" s="65"/>
      <c r="B83" s="79" t="s">
        <v>1133</v>
      </c>
      <c r="C83" s="79" t="s">
        <v>1135</v>
      </c>
      <c r="D83" s="65" t="s">
        <v>462</v>
      </c>
      <c r="E83" s="65" t="s">
        <v>265</v>
      </c>
      <c r="F83" s="65" t="s">
        <v>1134</v>
      </c>
      <c r="G83" s="65" t="s">
        <v>41</v>
      </c>
      <c r="H83" s="73">
        <f>H80/1000*42</f>
        <v>1.155</v>
      </c>
      <c r="I83" s="3"/>
      <c r="J83" s="3"/>
      <c r="K83" s="3"/>
      <c r="L83" s="3"/>
      <c r="M83" s="3"/>
      <c r="N83" s="3"/>
      <c r="O83" s="3"/>
      <c r="P83" s="89"/>
      <c r="Q83" s="3"/>
      <c r="R83" s="3"/>
      <c r="S83" s="3"/>
      <c r="T83" s="3"/>
      <c r="U83" s="3"/>
      <c r="V83" s="87"/>
      <c r="W83" s="3"/>
      <c r="X83" s="3"/>
      <c r="Y83" s="3"/>
      <c r="Z83" s="3"/>
      <c r="AA83" s="3"/>
      <c r="AB83" s="3"/>
      <c r="AC83" s="3"/>
      <c r="AD83" s="3">
        <v>2.8</v>
      </c>
      <c r="AE83" s="3"/>
      <c r="AF83" s="3"/>
      <c r="AG83" s="3"/>
      <c r="AH83" s="3"/>
      <c r="AI83" s="3"/>
      <c r="AJ83" s="3"/>
      <c r="AK83" s="1"/>
      <c r="AL83" s="1"/>
      <c r="AM83" s="1"/>
      <c r="AN83" s="1"/>
      <c r="AO83" s="1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3"/>
      <c r="BY83" s="72"/>
      <c r="BZ83" s="72"/>
      <c r="CA83" s="72"/>
      <c r="CB83" s="72"/>
      <c r="CC83" s="72"/>
      <c r="CD83" s="72"/>
      <c r="CE83" s="72"/>
      <c r="CF83" s="72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DA83" s="139">
        <f>H83</f>
        <v>1.155</v>
      </c>
    </row>
    <row r="84" spans="1:105" ht="20.25" customHeight="1" x14ac:dyDescent="0.35">
      <c r="A84" s="65"/>
      <c r="B84" s="79" t="s">
        <v>574</v>
      </c>
      <c r="C84" s="79" t="s">
        <v>169</v>
      </c>
      <c r="D84" s="65"/>
      <c r="E84" s="5" t="s">
        <v>263</v>
      </c>
      <c r="F84" s="65" t="s">
        <v>33</v>
      </c>
      <c r="G84" s="65" t="s">
        <v>39</v>
      </c>
      <c r="H84" s="73">
        <v>35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87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1"/>
      <c r="AL84" s="1"/>
      <c r="AM84" s="1"/>
      <c r="AN84" s="1"/>
      <c r="AO84" s="1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1"/>
      <c r="BE84" s="1"/>
      <c r="BF84" s="1"/>
      <c r="BG84" s="1">
        <v>45</v>
      </c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3"/>
      <c r="BY84" s="72"/>
      <c r="BZ84" s="72"/>
      <c r="CA84" s="72"/>
      <c r="CB84" s="72"/>
      <c r="CC84" s="72"/>
      <c r="CD84" s="72"/>
      <c r="CE84" s="72"/>
      <c r="CF84" s="72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DA84" s="139">
        <f>H84</f>
        <v>35</v>
      </c>
    </row>
    <row r="85" spans="1:105" ht="20.25" customHeight="1" x14ac:dyDescent="0.35">
      <c r="A85" s="65" t="s">
        <v>108</v>
      </c>
      <c r="B85" s="79" t="s">
        <v>575</v>
      </c>
      <c r="C85" s="79" t="s">
        <v>169</v>
      </c>
      <c r="D85" s="88" t="s">
        <v>425</v>
      </c>
      <c r="E85" s="65" t="s">
        <v>263</v>
      </c>
      <c r="F85" s="65" t="s">
        <v>491</v>
      </c>
      <c r="G85" s="65" t="s">
        <v>41</v>
      </c>
      <c r="H85" s="73">
        <f>H84/1000*43*10</f>
        <v>15.05</v>
      </c>
      <c r="I85" s="89">
        <v>30</v>
      </c>
      <c r="J85" s="3">
        <v>30</v>
      </c>
      <c r="K85" s="3"/>
      <c r="L85" s="3">
        <v>0</v>
      </c>
      <c r="M85" s="3"/>
      <c r="N85" s="3"/>
      <c r="O85" s="3"/>
      <c r="P85" s="89">
        <v>30</v>
      </c>
      <c r="Q85" s="3">
        <v>30</v>
      </c>
      <c r="R85" s="3">
        <v>30</v>
      </c>
      <c r="S85" s="3">
        <v>30</v>
      </c>
      <c r="T85" s="3"/>
      <c r="U85" s="3"/>
      <c r="V85" s="87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1"/>
      <c r="AL85" s="1"/>
      <c r="AM85" s="1"/>
      <c r="AN85" s="1"/>
      <c r="AO85" s="1"/>
      <c r="AP85" s="3">
        <v>30</v>
      </c>
      <c r="AQ85" s="3">
        <v>30</v>
      </c>
      <c r="AR85" s="3">
        <v>30</v>
      </c>
      <c r="AS85" s="3"/>
      <c r="AT85" s="3">
        <v>30</v>
      </c>
      <c r="AU85" s="3"/>
      <c r="AV85" s="3">
        <v>30</v>
      </c>
      <c r="AW85" s="3">
        <v>30</v>
      </c>
      <c r="AX85" s="3"/>
      <c r="AY85" s="3">
        <v>30</v>
      </c>
      <c r="AZ85" s="3">
        <v>30</v>
      </c>
      <c r="BA85" s="3">
        <v>30</v>
      </c>
      <c r="BB85" s="3"/>
      <c r="BC85" s="3">
        <v>30</v>
      </c>
      <c r="BD85" s="1"/>
      <c r="BE85" s="1"/>
      <c r="BF85" s="1"/>
      <c r="BG85" s="1">
        <v>30</v>
      </c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>
        <v>32</v>
      </c>
      <c r="BV85" s="1"/>
      <c r="BW85" s="1"/>
      <c r="BX85" s="3"/>
      <c r="BY85" s="72"/>
      <c r="BZ85" s="72">
        <v>32</v>
      </c>
      <c r="CA85" s="72"/>
      <c r="CB85" s="72"/>
      <c r="CC85" s="72"/>
      <c r="CD85" s="72"/>
      <c r="CE85" s="72"/>
      <c r="CF85" s="72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DA85" s="139">
        <f>H85</f>
        <v>15.05</v>
      </c>
    </row>
    <row r="86" spans="1:105" ht="20.25" customHeight="1" x14ac:dyDescent="0.35">
      <c r="A86" s="65"/>
      <c r="B86" s="79" t="s">
        <v>576</v>
      </c>
      <c r="C86" s="79" t="s">
        <v>169</v>
      </c>
      <c r="D86" s="88" t="s">
        <v>425</v>
      </c>
      <c r="E86" s="65" t="s">
        <v>124</v>
      </c>
      <c r="F86" s="65" t="s">
        <v>577</v>
      </c>
      <c r="G86" s="65" t="s">
        <v>34</v>
      </c>
      <c r="H86" s="86"/>
      <c r="I86" s="89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87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1"/>
      <c r="AL86" s="1"/>
      <c r="AM86" s="1"/>
      <c r="AN86" s="1"/>
      <c r="AO86" s="1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3"/>
      <c r="BY86" s="72"/>
      <c r="BZ86" s="72"/>
      <c r="CA86" s="72"/>
      <c r="CB86" s="72"/>
      <c r="CC86" s="72"/>
      <c r="CD86" s="72"/>
      <c r="CE86" s="72"/>
      <c r="CF86" s="72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DA86" s="66"/>
    </row>
    <row r="87" spans="1:105" ht="20.25" customHeight="1" x14ac:dyDescent="0.35">
      <c r="A87" s="65"/>
      <c r="B87" s="79" t="s">
        <v>578</v>
      </c>
      <c r="C87" s="79" t="s">
        <v>169</v>
      </c>
      <c r="D87" s="88" t="s">
        <v>425</v>
      </c>
      <c r="E87" s="65" t="s">
        <v>124</v>
      </c>
      <c r="F87" s="65" t="s">
        <v>315</v>
      </c>
      <c r="G87" s="65" t="s">
        <v>32</v>
      </c>
      <c r="H87" s="86">
        <v>9</v>
      </c>
      <c r="I87" s="89">
        <v>11</v>
      </c>
      <c r="J87" s="3">
        <v>11</v>
      </c>
      <c r="K87" s="3"/>
      <c r="L87" s="3">
        <v>0</v>
      </c>
      <c r="M87" s="3"/>
      <c r="N87" s="3"/>
      <c r="O87" s="3"/>
      <c r="P87" s="3"/>
      <c r="Q87" s="3"/>
      <c r="R87" s="3"/>
      <c r="S87" s="3"/>
      <c r="T87" s="3"/>
      <c r="U87" s="3"/>
      <c r="V87" s="87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1"/>
      <c r="AL87" s="1"/>
      <c r="AM87" s="1">
        <v>11</v>
      </c>
      <c r="AN87" s="1"/>
      <c r="AO87" s="1">
        <v>11</v>
      </c>
      <c r="AP87" s="3">
        <v>11</v>
      </c>
      <c r="AQ87" s="3">
        <v>11</v>
      </c>
      <c r="AR87" s="3">
        <v>11</v>
      </c>
      <c r="AS87" s="3"/>
      <c r="AT87" s="3">
        <v>11</v>
      </c>
      <c r="AU87" s="3"/>
      <c r="AV87" s="3"/>
      <c r="AW87" s="3">
        <v>11</v>
      </c>
      <c r="AX87" s="3">
        <v>11</v>
      </c>
      <c r="AY87" s="3">
        <v>11</v>
      </c>
      <c r="AZ87" s="3">
        <v>11</v>
      </c>
      <c r="BA87" s="3">
        <v>11</v>
      </c>
      <c r="BB87" s="3">
        <v>11</v>
      </c>
      <c r="BC87" s="3">
        <v>11</v>
      </c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>
        <v>12</v>
      </c>
      <c r="BP87" s="1"/>
      <c r="BQ87" s="1"/>
      <c r="BR87" s="1"/>
      <c r="BS87" s="1"/>
      <c r="BT87" s="1"/>
      <c r="BU87" s="1"/>
      <c r="BV87" s="1"/>
      <c r="BW87" s="1"/>
      <c r="BX87" s="3"/>
      <c r="BY87" s="72"/>
      <c r="BZ87" s="72"/>
      <c r="CA87" s="72"/>
      <c r="CB87" s="72"/>
      <c r="CC87" s="72"/>
      <c r="CD87" s="72"/>
      <c r="CE87" s="72"/>
      <c r="CF87" s="72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DA87" s="66">
        <f>H87</f>
        <v>9</v>
      </c>
    </row>
    <row r="88" spans="1:105" ht="20.25" customHeight="1" x14ac:dyDescent="0.35">
      <c r="A88" s="65"/>
      <c r="B88" s="79" t="s">
        <v>579</v>
      </c>
      <c r="C88" s="79" t="s">
        <v>228</v>
      </c>
      <c r="D88" s="88" t="s">
        <v>461</v>
      </c>
      <c r="E88" s="65" t="s">
        <v>35</v>
      </c>
      <c r="F88" s="65" t="s">
        <v>33</v>
      </c>
      <c r="G88" s="65" t="s">
        <v>36</v>
      </c>
      <c r="H88" s="73">
        <f>230/10</f>
        <v>23</v>
      </c>
      <c r="I88" s="89">
        <v>30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>
        <v>30</v>
      </c>
      <c r="AD88" s="3"/>
      <c r="AE88" s="3"/>
      <c r="AF88" s="3"/>
      <c r="AG88" s="3"/>
      <c r="AH88" s="3"/>
      <c r="AI88" s="3"/>
      <c r="AJ88" s="3"/>
      <c r="AK88" s="1"/>
      <c r="AL88" s="1"/>
      <c r="AM88" s="1"/>
      <c r="AN88" s="1"/>
      <c r="AO88" s="1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3"/>
      <c r="BY88" s="72"/>
      <c r="BZ88" s="72">
        <v>31</v>
      </c>
      <c r="CA88" s="72"/>
      <c r="CB88" s="72"/>
      <c r="CC88" s="72"/>
      <c r="CD88" s="72"/>
      <c r="CE88" s="72"/>
      <c r="CF88" s="72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DA88" s="139">
        <f>H88</f>
        <v>23</v>
      </c>
    </row>
    <row r="89" spans="1:105" ht="21.5" customHeight="1" x14ac:dyDescent="0.35">
      <c r="A89" s="65"/>
      <c r="B89" s="79" t="s">
        <v>580</v>
      </c>
      <c r="C89" s="79" t="s">
        <v>283</v>
      </c>
      <c r="D89" s="88" t="s">
        <v>425</v>
      </c>
      <c r="E89" s="65" t="s">
        <v>35</v>
      </c>
      <c r="F89" s="65" t="s">
        <v>582</v>
      </c>
      <c r="G89" s="65" t="s">
        <v>41</v>
      </c>
      <c r="H89" s="86"/>
      <c r="I89" s="89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87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1"/>
      <c r="AL89" s="1"/>
      <c r="AM89" s="1"/>
      <c r="AN89" s="1"/>
      <c r="AO89" s="1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3"/>
      <c r="BY89" s="72"/>
      <c r="BZ89" s="72"/>
      <c r="CA89" s="72"/>
      <c r="CB89" s="72"/>
      <c r="CC89" s="72"/>
      <c r="CD89" s="72"/>
      <c r="CE89" s="72"/>
      <c r="CF89" s="72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DA89" s="66"/>
    </row>
    <row r="90" spans="1:105" ht="20.25" customHeight="1" x14ac:dyDescent="0.35">
      <c r="A90" s="65" t="s">
        <v>581</v>
      </c>
      <c r="B90" s="79" t="s">
        <v>583</v>
      </c>
      <c r="C90" s="79" t="s">
        <v>283</v>
      </c>
      <c r="D90" s="88" t="s">
        <v>425</v>
      </c>
      <c r="E90" s="65" t="s">
        <v>35</v>
      </c>
      <c r="F90" s="65" t="s">
        <v>584</v>
      </c>
      <c r="G90" s="65" t="s">
        <v>41</v>
      </c>
      <c r="H90" s="86"/>
      <c r="I90" s="89"/>
      <c r="J90" s="3"/>
      <c r="K90" s="3"/>
      <c r="L90" s="3"/>
      <c r="M90" s="3"/>
      <c r="N90" s="3"/>
      <c r="O90" s="3"/>
      <c r="P90" s="89"/>
      <c r="Q90" s="3"/>
      <c r="R90" s="3"/>
      <c r="S90" s="3"/>
      <c r="T90" s="3"/>
      <c r="U90" s="3"/>
      <c r="V90" s="87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1"/>
      <c r="AL90" s="1"/>
      <c r="AM90" s="1"/>
      <c r="AN90" s="1"/>
      <c r="AO90" s="1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3"/>
      <c r="BY90" s="72"/>
      <c r="BZ90" s="72"/>
      <c r="CA90" s="72"/>
      <c r="CB90" s="72"/>
      <c r="CC90" s="72"/>
      <c r="CD90" s="72"/>
      <c r="CE90" s="72"/>
      <c r="CF90" s="72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DA90" s="66"/>
    </row>
    <row r="91" spans="1:105" ht="20.25" customHeight="1" x14ac:dyDescent="0.35">
      <c r="A91" s="65"/>
      <c r="B91" s="79" t="s">
        <v>585</v>
      </c>
      <c r="C91" s="79" t="s">
        <v>283</v>
      </c>
      <c r="D91" s="88" t="s">
        <v>425</v>
      </c>
      <c r="E91" s="65" t="s">
        <v>35</v>
      </c>
      <c r="F91" s="65" t="s">
        <v>586</v>
      </c>
      <c r="G91" s="65" t="s">
        <v>50</v>
      </c>
      <c r="H91" s="86"/>
      <c r="I91" s="8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87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1"/>
      <c r="AL91" s="1"/>
      <c r="AM91" s="1"/>
      <c r="AN91" s="1"/>
      <c r="AO91" s="1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3"/>
      <c r="BY91" s="72"/>
      <c r="BZ91" s="72"/>
      <c r="CA91" s="72"/>
      <c r="CB91" s="72"/>
      <c r="CC91" s="72"/>
      <c r="CD91" s="72"/>
      <c r="CE91" s="72"/>
      <c r="CF91" s="72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DA91" s="66"/>
    </row>
    <row r="92" spans="1:105" ht="20.25" customHeight="1" x14ac:dyDescent="0.35">
      <c r="A92" s="5"/>
      <c r="B92" s="79" t="s">
        <v>587</v>
      </c>
      <c r="C92" s="79" t="s">
        <v>285</v>
      </c>
      <c r="D92" s="65"/>
      <c r="E92" s="65" t="s">
        <v>266</v>
      </c>
      <c r="F92" s="65" t="s">
        <v>33</v>
      </c>
      <c r="G92" s="65" t="s">
        <v>41</v>
      </c>
      <c r="H92" s="86">
        <v>15</v>
      </c>
      <c r="I92" s="3">
        <v>0</v>
      </c>
      <c r="J92" s="3"/>
      <c r="K92" s="3"/>
      <c r="L92" s="3"/>
      <c r="M92" s="3"/>
      <c r="N92" s="89">
        <v>40</v>
      </c>
      <c r="O92" s="3">
        <v>40</v>
      </c>
      <c r="P92" s="3"/>
      <c r="Q92" s="3"/>
      <c r="R92" s="3"/>
      <c r="S92" s="3"/>
      <c r="T92" s="3"/>
      <c r="U92" s="3"/>
      <c r="V92" s="87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1"/>
      <c r="AL92" s="1"/>
      <c r="AM92" s="1"/>
      <c r="AN92" s="1"/>
      <c r="AO92" s="1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1"/>
      <c r="BE92" s="1"/>
      <c r="BF92" s="1"/>
      <c r="BG92" s="1">
        <v>40</v>
      </c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3"/>
      <c r="BY92" s="72"/>
      <c r="BZ92" s="72"/>
      <c r="CA92" s="72"/>
      <c r="CB92" s="72"/>
      <c r="CC92" s="72"/>
      <c r="CD92" s="72"/>
      <c r="CE92" s="72"/>
      <c r="CF92" s="72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DA92" s="66">
        <f>H92</f>
        <v>15</v>
      </c>
    </row>
    <row r="93" spans="1:105" ht="20.25" customHeight="1" x14ac:dyDescent="0.35">
      <c r="A93" s="5"/>
      <c r="B93" s="79" t="s">
        <v>588</v>
      </c>
      <c r="C93" s="79" t="s">
        <v>285</v>
      </c>
      <c r="D93" s="65"/>
      <c r="E93" s="5" t="s">
        <v>266</v>
      </c>
      <c r="F93" s="65" t="s">
        <v>492</v>
      </c>
      <c r="G93" s="65" t="s">
        <v>41</v>
      </c>
      <c r="H93" s="86">
        <f>H92/1000*80*10</f>
        <v>12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87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1"/>
      <c r="AL93" s="1"/>
      <c r="AM93" s="1"/>
      <c r="AN93" s="1"/>
      <c r="AO93" s="1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3"/>
      <c r="BY93" s="72"/>
      <c r="BZ93" s="72">
        <v>25</v>
      </c>
      <c r="CA93" s="72"/>
      <c r="CB93" s="72"/>
      <c r="CC93" s="72"/>
      <c r="CD93" s="72"/>
      <c r="CE93" s="72"/>
      <c r="CF93" s="72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DA93" s="66">
        <f t="shared" ref="DA93:DA99" si="7">H93</f>
        <v>12</v>
      </c>
    </row>
    <row r="94" spans="1:105" ht="20.25" customHeight="1" x14ac:dyDescent="0.35">
      <c r="A94" s="5"/>
      <c r="B94" s="79" t="s">
        <v>589</v>
      </c>
      <c r="C94" s="79" t="s">
        <v>285</v>
      </c>
      <c r="D94" s="65"/>
      <c r="E94" s="5" t="s">
        <v>266</v>
      </c>
      <c r="F94" s="65" t="s">
        <v>493</v>
      </c>
      <c r="G94" s="65" t="s">
        <v>41</v>
      </c>
      <c r="H94" s="86">
        <f>H92/1000*140*10</f>
        <v>21</v>
      </c>
      <c r="I94" s="3"/>
      <c r="J94" s="3"/>
      <c r="K94" s="3"/>
      <c r="L94" s="3"/>
      <c r="M94" s="3"/>
      <c r="N94" s="3"/>
      <c r="O94" s="3"/>
      <c r="P94" s="3">
        <v>40</v>
      </c>
      <c r="Q94" s="3"/>
      <c r="R94" s="3"/>
      <c r="S94" s="3"/>
      <c r="T94" s="3"/>
      <c r="U94" s="3"/>
      <c r="V94" s="87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1"/>
      <c r="AL94" s="1"/>
      <c r="AM94" s="1"/>
      <c r="AN94" s="1"/>
      <c r="AO94" s="1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>
        <v>30</v>
      </c>
      <c r="BV94" s="1"/>
      <c r="BW94" s="1"/>
      <c r="BX94" s="3"/>
      <c r="BY94" s="72"/>
      <c r="BZ94" s="72"/>
      <c r="CA94" s="72"/>
      <c r="CB94" s="72"/>
      <c r="CC94" s="72"/>
      <c r="CD94" s="72"/>
      <c r="CE94" s="72"/>
      <c r="CF94" s="72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DA94" s="66">
        <f t="shared" si="7"/>
        <v>21</v>
      </c>
    </row>
    <row r="95" spans="1:105" ht="20.25" customHeight="1" x14ac:dyDescent="0.35">
      <c r="A95" s="5"/>
      <c r="B95" s="79" t="s">
        <v>1047</v>
      </c>
      <c r="C95" s="79" t="s">
        <v>285</v>
      </c>
      <c r="D95" s="65"/>
      <c r="E95" s="5" t="s">
        <v>266</v>
      </c>
      <c r="F95" s="55" t="s">
        <v>1048</v>
      </c>
      <c r="G95" s="65"/>
      <c r="H95" s="86">
        <f>H92/1000*35*10</f>
        <v>5.25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87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1"/>
      <c r="AL95" s="1"/>
      <c r="AM95" s="1"/>
      <c r="AN95" s="1"/>
      <c r="AO95" s="1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3"/>
      <c r="BY95" s="72"/>
      <c r="BZ95" s="72"/>
      <c r="CA95" s="72"/>
      <c r="CB95" s="72"/>
      <c r="CC95" s="72"/>
      <c r="CD95" s="72"/>
      <c r="CE95" s="72"/>
      <c r="CF95" s="72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DA95" s="66">
        <f t="shared" si="7"/>
        <v>5.25</v>
      </c>
    </row>
    <row r="96" spans="1:105" ht="20.25" customHeight="1" x14ac:dyDescent="0.35">
      <c r="A96" s="5"/>
      <c r="B96" s="79" t="s">
        <v>590</v>
      </c>
      <c r="C96" s="79" t="s">
        <v>312</v>
      </c>
      <c r="D96" s="65"/>
      <c r="E96" s="58" t="s">
        <v>313</v>
      </c>
      <c r="F96" s="65" t="s">
        <v>73</v>
      </c>
      <c r="G96" s="65" t="s">
        <v>594</v>
      </c>
      <c r="H96" s="73">
        <v>31.5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87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1"/>
      <c r="AL96" s="1"/>
      <c r="AM96" s="1"/>
      <c r="AN96" s="1"/>
      <c r="AO96" s="1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3"/>
      <c r="BY96" s="72"/>
      <c r="BZ96" s="72"/>
      <c r="CA96" s="72"/>
      <c r="CB96" s="72"/>
      <c r="CC96" s="72"/>
      <c r="CD96" s="72"/>
      <c r="CE96" s="72"/>
      <c r="CF96" s="72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DA96" s="66">
        <f t="shared" si="7"/>
        <v>31.5</v>
      </c>
    </row>
    <row r="97" spans="1:105" ht="20.25" customHeight="1" x14ac:dyDescent="0.35">
      <c r="A97" s="5"/>
      <c r="B97" s="79" t="s">
        <v>591</v>
      </c>
      <c r="C97" s="79" t="s">
        <v>312</v>
      </c>
      <c r="D97" s="65"/>
      <c r="E97" s="58" t="s">
        <v>313</v>
      </c>
      <c r="F97" s="65" t="s">
        <v>314</v>
      </c>
      <c r="G97" s="65" t="s">
        <v>41</v>
      </c>
      <c r="H97" s="73">
        <f>H96/1000*110*10</f>
        <v>34.65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1"/>
      <c r="AL97" s="1"/>
      <c r="AM97" s="1"/>
      <c r="AN97" s="1"/>
      <c r="AO97" s="1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3"/>
      <c r="BY97" s="72"/>
      <c r="BZ97" s="72"/>
      <c r="CA97" s="72"/>
      <c r="CB97" s="72"/>
      <c r="CC97" s="72"/>
      <c r="CD97" s="72"/>
      <c r="CE97" s="72"/>
      <c r="CF97" s="72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DA97" s="66">
        <f t="shared" si="7"/>
        <v>34.65</v>
      </c>
    </row>
    <row r="98" spans="1:105" ht="20.25" customHeight="1" x14ac:dyDescent="0.35">
      <c r="A98" s="5"/>
      <c r="B98" s="79" t="s">
        <v>592</v>
      </c>
      <c r="C98" s="79" t="s">
        <v>312</v>
      </c>
      <c r="D98" s="65" t="s">
        <v>425</v>
      </c>
      <c r="E98" s="58" t="s">
        <v>313</v>
      </c>
      <c r="F98" s="65" t="s">
        <v>383</v>
      </c>
      <c r="G98" s="65" t="s">
        <v>41</v>
      </c>
      <c r="H98" s="73">
        <f>H97/1000*110*4</f>
        <v>15.246</v>
      </c>
      <c r="I98" s="3"/>
      <c r="J98" s="3">
        <v>18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87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1"/>
      <c r="AL98" s="1"/>
      <c r="AM98" s="1"/>
      <c r="AN98" s="1"/>
      <c r="AO98" s="1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3"/>
      <c r="BY98" s="72"/>
      <c r="BZ98" s="72"/>
      <c r="CA98" s="72"/>
      <c r="CB98" s="72"/>
      <c r="CC98" s="72"/>
      <c r="CD98" s="72"/>
      <c r="CE98" s="72"/>
      <c r="CF98" s="72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DA98" s="66">
        <f t="shared" si="7"/>
        <v>15.246</v>
      </c>
    </row>
    <row r="99" spans="1:105" ht="20.25" customHeight="1" x14ac:dyDescent="0.35">
      <c r="A99" s="5"/>
      <c r="B99" s="79" t="s">
        <v>951</v>
      </c>
      <c r="C99" s="79" t="s">
        <v>312</v>
      </c>
      <c r="D99" s="65" t="s">
        <v>425</v>
      </c>
      <c r="E99" s="58" t="s">
        <v>313</v>
      </c>
      <c r="F99" s="65" t="s">
        <v>952</v>
      </c>
      <c r="G99" s="65" t="s">
        <v>50</v>
      </c>
      <c r="H99" s="73">
        <f>H98/1000*110</f>
        <v>1.67706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87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1"/>
      <c r="AL99" s="1"/>
      <c r="AM99" s="1"/>
      <c r="AN99" s="1"/>
      <c r="AO99" s="1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3"/>
      <c r="BY99" s="72"/>
      <c r="BZ99" s="72"/>
      <c r="CA99" s="72"/>
      <c r="CB99" s="72"/>
      <c r="CC99" s="72"/>
      <c r="CD99" s="72"/>
      <c r="CE99" s="72"/>
      <c r="CF99" s="72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DA99" s="66">
        <f t="shared" si="7"/>
        <v>1.67706</v>
      </c>
    </row>
    <row r="100" spans="1:105" ht="20.25" customHeight="1" x14ac:dyDescent="0.35">
      <c r="A100" s="5"/>
      <c r="B100" s="1" t="s">
        <v>595</v>
      </c>
      <c r="C100" s="101" t="s">
        <v>392</v>
      </c>
      <c r="D100" s="5"/>
      <c r="E100" s="5"/>
      <c r="F100" s="65" t="s">
        <v>393</v>
      </c>
      <c r="G100" s="5" t="s">
        <v>387</v>
      </c>
      <c r="H100" s="92">
        <f>78/20</f>
        <v>3.9</v>
      </c>
      <c r="I100" s="3"/>
      <c r="J100" s="3"/>
      <c r="K100" s="3"/>
      <c r="L100" s="3"/>
      <c r="M100" s="3"/>
      <c r="N100" s="3"/>
      <c r="O100" s="77">
        <v>6</v>
      </c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1"/>
      <c r="AL100" s="1"/>
      <c r="AM100" s="1"/>
      <c r="AN100" s="1"/>
      <c r="AO100" s="1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1"/>
      <c r="BE100" s="1"/>
      <c r="BF100" s="1"/>
      <c r="BG100" s="1"/>
      <c r="BH100" s="1"/>
      <c r="BI100" s="1"/>
      <c r="BJ100" s="1"/>
      <c r="BK100" s="11">
        <v>10</v>
      </c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3"/>
      <c r="BY100" s="72"/>
      <c r="BZ100" s="72">
        <v>8</v>
      </c>
      <c r="CA100" s="72"/>
      <c r="CB100" s="72"/>
      <c r="CC100" s="72"/>
      <c r="CD100" s="72"/>
      <c r="CE100" s="72"/>
      <c r="CF100" s="72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DA100" s="66">
        <f>H100</f>
        <v>3.9</v>
      </c>
    </row>
    <row r="101" spans="1:105" ht="20.25" customHeight="1" x14ac:dyDescent="0.35">
      <c r="A101" s="5"/>
      <c r="B101" s="1" t="s">
        <v>596</v>
      </c>
      <c r="C101" s="101" t="s">
        <v>598</v>
      </c>
      <c r="D101" s="5"/>
      <c r="E101" s="65" t="s">
        <v>599</v>
      </c>
      <c r="F101" s="65" t="s">
        <v>600</v>
      </c>
      <c r="G101" s="5"/>
      <c r="H101" s="92">
        <v>54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1"/>
      <c r="AL101" s="1"/>
      <c r="AM101" s="1"/>
      <c r="AN101" s="1"/>
      <c r="AO101" s="1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3"/>
      <c r="BY101" s="72"/>
      <c r="BZ101" s="72"/>
      <c r="CA101" s="72"/>
      <c r="CB101" s="72"/>
      <c r="CC101" s="72"/>
      <c r="CD101" s="72"/>
      <c r="CE101" s="72"/>
      <c r="CF101" s="72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DA101" s="66">
        <f>H101</f>
        <v>54</v>
      </c>
    </row>
    <row r="102" spans="1:105" ht="20.25" customHeight="1" x14ac:dyDescent="0.35">
      <c r="A102" s="5"/>
      <c r="B102" s="1" t="s">
        <v>597</v>
      </c>
      <c r="C102" s="101" t="s">
        <v>598</v>
      </c>
      <c r="D102" s="5"/>
      <c r="E102" s="65" t="s">
        <v>599</v>
      </c>
      <c r="F102" s="65" t="s">
        <v>601</v>
      </c>
      <c r="G102" s="5"/>
      <c r="H102" s="92">
        <v>4.5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1"/>
      <c r="AL102" s="1"/>
      <c r="AM102" s="1"/>
      <c r="AN102" s="1"/>
      <c r="AO102" s="1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3"/>
      <c r="BY102" s="72"/>
      <c r="BZ102" s="72"/>
      <c r="CA102" s="72"/>
      <c r="CB102" s="72"/>
      <c r="CC102" s="72"/>
      <c r="CD102" s="72"/>
      <c r="CE102" s="72"/>
      <c r="CF102" s="72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DA102" s="66">
        <f>H102</f>
        <v>4.5</v>
      </c>
    </row>
    <row r="103" spans="1:105" ht="20.25" customHeight="1" x14ac:dyDescent="0.35">
      <c r="A103" s="5"/>
      <c r="B103" s="1" t="s">
        <v>602</v>
      </c>
      <c r="C103" s="79" t="s">
        <v>180</v>
      </c>
      <c r="D103" s="65" t="s">
        <v>427</v>
      </c>
      <c r="E103" s="65" t="s">
        <v>35</v>
      </c>
      <c r="F103" s="65" t="s">
        <v>327</v>
      </c>
      <c r="G103" s="5" t="s">
        <v>387</v>
      </c>
      <c r="H103" s="144">
        <v>62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1"/>
      <c r="AL103" s="1"/>
      <c r="AM103" s="1"/>
      <c r="AN103" s="1"/>
      <c r="AO103" s="1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3"/>
      <c r="BY103" s="72"/>
      <c r="BZ103" s="72"/>
      <c r="CA103" s="72"/>
      <c r="CB103" s="72"/>
      <c r="CC103" s="72"/>
      <c r="CD103" s="72"/>
      <c r="CE103" s="72"/>
      <c r="CF103" s="72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DA103" s="139">
        <f t="shared" ref="DA103:DA108" si="8">H103</f>
        <v>62</v>
      </c>
    </row>
    <row r="104" spans="1:105" ht="20.25" customHeight="1" x14ac:dyDescent="0.35">
      <c r="A104" s="5"/>
      <c r="B104" s="79" t="s">
        <v>603</v>
      </c>
      <c r="C104" s="79" t="s">
        <v>180</v>
      </c>
      <c r="D104" s="65" t="s">
        <v>427</v>
      </c>
      <c r="E104" s="65" t="s">
        <v>604</v>
      </c>
      <c r="F104" s="65" t="s">
        <v>259</v>
      </c>
      <c r="G104" s="65" t="s">
        <v>41</v>
      </c>
      <c r="H104" s="73">
        <f>H103/25*3</f>
        <v>7.4399999999999995</v>
      </c>
      <c r="I104" s="3">
        <v>0</v>
      </c>
      <c r="J104" s="3">
        <v>9.5</v>
      </c>
      <c r="K104" s="3"/>
      <c r="L104" s="3"/>
      <c r="M104" s="3"/>
      <c r="N104" s="3"/>
      <c r="O104" s="3"/>
      <c r="P104" s="89">
        <v>9</v>
      </c>
      <c r="Q104" s="3">
        <v>9.8000000000000007</v>
      </c>
      <c r="R104" s="3"/>
      <c r="S104" s="3">
        <v>10</v>
      </c>
      <c r="T104" s="3"/>
      <c r="U104" s="3"/>
      <c r="V104" s="87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>
        <v>10</v>
      </c>
      <c r="AK104" s="1">
        <v>9</v>
      </c>
      <c r="AL104" s="1"/>
      <c r="AM104" s="1"/>
      <c r="AN104" s="1"/>
      <c r="AO104" s="1"/>
      <c r="AP104" s="3"/>
      <c r="AQ104" s="3">
        <v>9.5</v>
      </c>
      <c r="AR104" s="3"/>
      <c r="AS104" s="3"/>
      <c r="AT104" s="3"/>
      <c r="AU104" s="3"/>
      <c r="AV104" s="3"/>
      <c r="AW104" s="3"/>
      <c r="AX104" s="3">
        <v>9.5</v>
      </c>
      <c r="AY104" s="3">
        <v>9.5</v>
      </c>
      <c r="AZ104" s="3">
        <v>9.5</v>
      </c>
      <c r="BA104" s="3">
        <v>9.5</v>
      </c>
      <c r="BB104" s="3"/>
      <c r="BC104" s="3">
        <v>9.5</v>
      </c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3">
        <f>J104</f>
        <v>9.5</v>
      </c>
      <c r="BY104" s="72"/>
      <c r="BZ104" s="72"/>
      <c r="CA104" s="72"/>
      <c r="CB104" s="72"/>
      <c r="CC104" s="72"/>
      <c r="CD104" s="72"/>
      <c r="CE104" s="72"/>
      <c r="CF104" s="72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DA104" s="139">
        <f t="shared" si="8"/>
        <v>7.4399999999999995</v>
      </c>
    </row>
    <row r="105" spans="1:105" ht="20.25" customHeight="1" x14ac:dyDescent="0.35">
      <c r="A105" s="65" t="s">
        <v>293</v>
      </c>
      <c r="B105" s="79" t="s">
        <v>605</v>
      </c>
      <c r="C105" s="79" t="s">
        <v>180</v>
      </c>
      <c r="D105" s="88" t="s">
        <v>461</v>
      </c>
      <c r="E105" s="65" t="s">
        <v>604</v>
      </c>
      <c r="F105" s="65" t="s">
        <v>354</v>
      </c>
      <c r="G105" s="65" t="s">
        <v>41</v>
      </c>
      <c r="H105" s="73">
        <f>H103/25/1000*500*20</f>
        <v>24.8</v>
      </c>
      <c r="I105" s="89">
        <v>32</v>
      </c>
      <c r="J105" s="3">
        <v>32</v>
      </c>
      <c r="K105" s="3"/>
      <c r="L105" s="3"/>
      <c r="M105" s="3"/>
      <c r="N105" s="3"/>
      <c r="O105" s="77">
        <v>32</v>
      </c>
      <c r="P105" s="3"/>
      <c r="Q105" s="3"/>
      <c r="R105" s="3">
        <v>32</v>
      </c>
      <c r="S105" s="3"/>
      <c r="T105" s="3"/>
      <c r="U105" s="3"/>
      <c r="V105" s="87"/>
      <c r="W105" s="3"/>
      <c r="X105" s="3"/>
      <c r="Y105" s="3"/>
      <c r="Z105" s="3"/>
      <c r="AA105" s="3"/>
      <c r="AB105" s="3"/>
      <c r="AC105" s="3"/>
      <c r="AD105" s="3"/>
      <c r="AE105" s="77"/>
      <c r="AF105" s="3"/>
      <c r="AG105" s="3"/>
      <c r="AH105" s="3"/>
      <c r="AI105" s="3"/>
      <c r="AJ105" s="3"/>
      <c r="AK105" s="1"/>
      <c r="AL105" s="1"/>
      <c r="AM105" s="1"/>
      <c r="AN105" s="1"/>
      <c r="AO105" s="3">
        <v>32</v>
      </c>
      <c r="AP105" s="3">
        <v>32</v>
      </c>
      <c r="AQ105" s="3"/>
      <c r="AR105" s="3">
        <v>32</v>
      </c>
      <c r="AS105" s="3"/>
      <c r="AT105" s="3">
        <v>32</v>
      </c>
      <c r="AU105" s="3">
        <v>32</v>
      </c>
      <c r="AV105" s="3">
        <v>32</v>
      </c>
      <c r="AW105" s="3">
        <v>32</v>
      </c>
      <c r="AX105" s="3"/>
      <c r="AY105" s="3"/>
      <c r="AZ105" s="3"/>
      <c r="BA105" s="3"/>
      <c r="BB105" s="3"/>
      <c r="BC105" s="3">
        <v>32</v>
      </c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3"/>
      <c r="BY105" s="72"/>
      <c r="BZ105" s="72"/>
      <c r="CA105" s="72"/>
      <c r="CB105" s="72"/>
      <c r="CC105" s="72"/>
      <c r="CD105" s="72"/>
      <c r="CE105" s="72"/>
      <c r="CF105" s="72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DA105" s="139">
        <f t="shared" si="8"/>
        <v>24.8</v>
      </c>
    </row>
    <row r="106" spans="1:105" ht="20.25" customHeight="1" x14ac:dyDescent="0.35">
      <c r="A106" s="65"/>
      <c r="B106" s="79" t="s">
        <v>606</v>
      </c>
      <c r="C106" s="79" t="s">
        <v>180</v>
      </c>
      <c r="D106" s="88" t="s">
        <v>461</v>
      </c>
      <c r="E106" s="65" t="s">
        <v>604</v>
      </c>
      <c r="F106" s="65" t="s">
        <v>434</v>
      </c>
      <c r="G106" s="65" t="s">
        <v>41</v>
      </c>
      <c r="H106" s="73">
        <f>H103/25*4</f>
        <v>9.92</v>
      </c>
      <c r="I106" s="8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87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1"/>
      <c r="AL106" s="1"/>
      <c r="AM106" s="1"/>
      <c r="AN106" s="1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3"/>
      <c r="BY106" s="72"/>
      <c r="BZ106" s="72"/>
      <c r="CA106" s="72"/>
      <c r="CB106" s="72"/>
      <c r="CC106" s="72"/>
      <c r="CD106" s="72"/>
      <c r="CE106" s="72"/>
      <c r="CF106" s="72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DA106" s="139">
        <f t="shared" si="8"/>
        <v>9.92</v>
      </c>
    </row>
    <row r="107" spans="1:105" ht="20.25" customHeight="1" x14ac:dyDescent="0.35">
      <c r="A107" s="65"/>
      <c r="B107" s="79" t="s">
        <v>1049</v>
      </c>
      <c r="C107" s="79" t="s">
        <v>180</v>
      </c>
      <c r="D107" s="88" t="s">
        <v>461</v>
      </c>
      <c r="E107" s="65" t="s">
        <v>604</v>
      </c>
      <c r="F107" s="65" t="s">
        <v>73</v>
      </c>
      <c r="G107" s="65"/>
      <c r="H107" s="73">
        <f>H103/25</f>
        <v>2.48</v>
      </c>
      <c r="I107" s="89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87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1"/>
      <c r="AL107" s="1"/>
      <c r="AM107" s="1"/>
      <c r="AN107" s="1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3"/>
      <c r="BY107" s="72"/>
      <c r="BZ107" s="72"/>
      <c r="CA107" s="72"/>
      <c r="CB107" s="72"/>
      <c r="CC107" s="72"/>
      <c r="CD107" s="72"/>
      <c r="CE107" s="72"/>
      <c r="CF107" s="72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DA107" s="139">
        <f t="shared" si="8"/>
        <v>2.48</v>
      </c>
    </row>
    <row r="108" spans="1:105" ht="20.25" customHeight="1" x14ac:dyDescent="0.35">
      <c r="A108" s="5"/>
      <c r="B108" s="79" t="s">
        <v>607</v>
      </c>
      <c r="C108" s="79" t="s">
        <v>180</v>
      </c>
      <c r="D108" s="65" t="s">
        <v>463</v>
      </c>
      <c r="E108" s="65" t="s">
        <v>364</v>
      </c>
      <c r="F108" s="65" t="s">
        <v>318</v>
      </c>
      <c r="G108" s="65" t="s">
        <v>34</v>
      </c>
      <c r="H108" s="145">
        <f>26*1.07+30*0.01</f>
        <v>28.12</v>
      </c>
      <c r="I108" s="3"/>
      <c r="J108" s="77">
        <v>32</v>
      </c>
      <c r="K108" s="3"/>
      <c r="L108" s="3"/>
      <c r="M108" s="3"/>
      <c r="N108" s="3"/>
      <c r="O108" s="3"/>
      <c r="P108" s="89">
        <v>30</v>
      </c>
      <c r="Q108" s="3"/>
      <c r="R108" s="3"/>
      <c r="S108" s="3"/>
      <c r="T108" s="3"/>
      <c r="U108" s="3"/>
      <c r="V108" s="3">
        <v>30</v>
      </c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1"/>
      <c r="AL108" s="1"/>
      <c r="AM108" s="1"/>
      <c r="AN108" s="1"/>
      <c r="AO108" s="1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>
        <v>32</v>
      </c>
      <c r="BP108" s="1"/>
      <c r="BQ108" s="1"/>
      <c r="BR108" s="1"/>
      <c r="BS108" s="1"/>
      <c r="BT108" s="1"/>
      <c r="BU108" s="1"/>
      <c r="BV108" s="1"/>
      <c r="BW108" s="1"/>
      <c r="BX108" s="3"/>
      <c r="BY108" s="72"/>
      <c r="BZ108" s="72"/>
      <c r="CA108" s="72"/>
      <c r="CB108" s="72"/>
      <c r="CC108" s="72"/>
      <c r="CD108" s="72"/>
      <c r="CE108" s="72"/>
      <c r="CF108" s="72"/>
      <c r="CG108" s="58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DA108" s="100">
        <f t="shared" si="8"/>
        <v>28.12</v>
      </c>
    </row>
    <row r="109" spans="1:105" ht="20.25" customHeight="1" x14ac:dyDescent="0.35">
      <c r="A109" s="5"/>
      <c r="B109" s="79" t="s">
        <v>608</v>
      </c>
      <c r="C109" s="79"/>
      <c r="D109" s="65"/>
      <c r="E109" s="65"/>
      <c r="F109" s="65"/>
      <c r="G109" s="65"/>
      <c r="H109" s="145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1"/>
      <c r="AL109" s="1"/>
      <c r="AM109" s="1"/>
      <c r="AN109" s="1"/>
      <c r="AO109" s="1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3"/>
      <c r="BY109" s="72"/>
      <c r="BZ109" s="72"/>
      <c r="CA109" s="72"/>
      <c r="CB109" s="72"/>
      <c r="CC109" s="72"/>
      <c r="CD109" s="72"/>
      <c r="CE109" s="72"/>
      <c r="CF109" s="72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</row>
    <row r="110" spans="1:105" ht="20.25" customHeight="1" x14ac:dyDescent="0.35">
      <c r="A110" s="65"/>
      <c r="B110" s="79" t="s">
        <v>609</v>
      </c>
      <c r="C110" s="79" t="s">
        <v>180</v>
      </c>
      <c r="D110" s="88" t="s">
        <v>271</v>
      </c>
      <c r="E110" s="65" t="s">
        <v>429</v>
      </c>
      <c r="F110" s="65" t="s">
        <v>318</v>
      </c>
      <c r="G110" s="65" t="s">
        <v>34</v>
      </c>
      <c r="H110" s="73">
        <v>29</v>
      </c>
      <c r="I110" s="89">
        <v>30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87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1"/>
      <c r="AL110" s="1"/>
      <c r="AM110" s="1"/>
      <c r="AN110" s="1"/>
      <c r="AO110" s="1"/>
      <c r="AP110" s="3"/>
      <c r="AQ110" s="3"/>
      <c r="AR110" s="3"/>
      <c r="AS110" s="3"/>
      <c r="AT110" s="3"/>
      <c r="AU110" s="3"/>
      <c r="AV110" s="3"/>
      <c r="AW110" s="3">
        <v>30</v>
      </c>
      <c r="AX110" s="3"/>
      <c r="AY110" s="3"/>
      <c r="AZ110" s="3"/>
      <c r="BA110" s="3"/>
      <c r="BB110" s="3"/>
      <c r="BC110" s="3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3"/>
      <c r="BY110" s="72"/>
      <c r="BZ110" s="72"/>
      <c r="CA110" s="72"/>
      <c r="CB110" s="72"/>
      <c r="CC110" s="72"/>
      <c r="CD110" s="72"/>
      <c r="CE110" s="72"/>
      <c r="CF110" s="72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DA110" s="139">
        <f>H110</f>
        <v>29</v>
      </c>
    </row>
    <row r="111" spans="1:105" ht="20.25" customHeight="1" x14ac:dyDescent="0.35">
      <c r="A111" s="65"/>
      <c r="B111" s="79" t="s">
        <v>610</v>
      </c>
      <c r="C111" s="79" t="s">
        <v>1125</v>
      </c>
      <c r="D111" s="88" t="s">
        <v>427</v>
      </c>
      <c r="E111" s="65" t="s">
        <v>35</v>
      </c>
      <c r="F111" s="65" t="s">
        <v>327</v>
      </c>
      <c r="G111" s="65" t="s">
        <v>50</v>
      </c>
      <c r="H111" s="73">
        <v>105</v>
      </c>
      <c r="I111" s="89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87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1"/>
      <c r="AL111" s="1"/>
      <c r="AM111" s="1"/>
      <c r="AN111" s="1"/>
      <c r="AO111" s="1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3"/>
      <c r="BY111" s="72"/>
      <c r="BZ111" s="72"/>
      <c r="CA111" s="72"/>
      <c r="CB111" s="72"/>
      <c r="CC111" s="72"/>
      <c r="CD111" s="72"/>
      <c r="CE111" s="72"/>
      <c r="CF111" s="72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DA111" s="66">
        <f>H111</f>
        <v>105</v>
      </c>
    </row>
    <row r="112" spans="1:105" ht="20.25" customHeight="1" x14ac:dyDescent="0.35">
      <c r="A112" s="65"/>
      <c r="B112" s="79" t="s">
        <v>612</v>
      </c>
      <c r="C112" s="79" t="s">
        <v>1125</v>
      </c>
      <c r="D112" s="88" t="s">
        <v>427</v>
      </c>
      <c r="E112" s="65" t="s">
        <v>35</v>
      </c>
      <c r="F112" s="65" t="s">
        <v>73</v>
      </c>
      <c r="G112" s="65" t="s">
        <v>50</v>
      </c>
      <c r="H112" s="73">
        <f>H111/25</f>
        <v>4.2</v>
      </c>
      <c r="I112" s="89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87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1"/>
      <c r="AL112" s="1"/>
      <c r="AM112" s="1"/>
      <c r="AN112" s="1"/>
      <c r="AO112" s="1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3"/>
      <c r="BY112" s="72"/>
      <c r="BZ112" s="72"/>
      <c r="CA112" s="72"/>
      <c r="CB112" s="72"/>
      <c r="CC112" s="72"/>
      <c r="CD112" s="72"/>
      <c r="CE112" s="72"/>
      <c r="CF112" s="72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DA112" s="66">
        <f t="shared" ref="DA112:DA113" si="9">H112</f>
        <v>4.2</v>
      </c>
    </row>
    <row r="113" spans="1:105" ht="20.25" customHeight="1" x14ac:dyDescent="0.35">
      <c r="A113" s="65"/>
      <c r="B113" s="79" t="s">
        <v>613</v>
      </c>
      <c r="C113" s="79" t="s">
        <v>182</v>
      </c>
      <c r="D113" s="88" t="s">
        <v>463</v>
      </c>
      <c r="E113" s="65" t="s">
        <v>364</v>
      </c>
      <c r="F113" s="65" t="s">
        <v>327</v>
      </c>
      <c r="G113" s="65" t="s">
        <v>41</v>
      </c>
      <c r="H113" s="73">
        <v>25.5</v>
      </c>
      <c r="I113" s="89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87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1"/>
      <c r="AL113" s="1"/>
      <c r="AM113" s="1"/>
      <c r="AN113" s="1"/>
      <c r="AO113" s="1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3"/>
      <c r="BY113" s="72"/>
      <c r="BZ113" s="72"/>
      <c r="CA113" s="72"/>
      <c r="CB113" s="72"/>
      <c r="CC113" s="72"/>
      <c r="CD113" s="72"/>
      <c r="CE113" s="72"/>
      <c r="CF113" s="72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DA113" s="66">
        <f t="shared" si="9"/>
        <v>25.5</v>
      </c>
    </row>
    <row r="114" spans="1:105" ht="20.25" customHeight="1" x14ac:dyDescent="0.35">
      <c r="A114" s="65"/>
      <c r="B114" s="79" t="s">
        <v>614</v>
      </c>
      <c r="C114" s="79" t="s">
        <v>182</v>
      </c>
      <c r="D114" s="88" t="s">
        <v>463</v>
      </c>
      <c r="E114" s="65" t="s">
        <v>364</v>
      </c>
      <c r="F114" s="65" t="s">
        <v>494</v>
      </c>
      <c r="G114" s="65" t="s">
        <v>41</v>
      </c>
      <c r="H114" s="73">
        <v>31</v>
      </c>
      <c r="I114" s="89"/>
      <c r="J114" s="3"/>
      <c r="K114" s="3"/>
      <c r="L114" s="3"/>
      <c r="M114" s="3"/>
      <c r="N114" s="3"/>
      <c r="O114" s="3">
        <v>39</v>
      </c>
      <c r="P114" s="3"/>
      <c r="Q114" s="3"/>
      <c r="R114" s="3"/>
      <c r="S114" s="3"/>
      <c r="T114" s="3"/>
      <c r="U114" s="3"/>
      <c r="V114" s="87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1"/>
      <c r="AL114" s="1"/>
      <c r="AM114" s="1"/>
      <c r="AN114" s="1"/>
      <c r="AO114" s="1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3"/>
      <c r="BY114" s="72"/>
      <c r="BZ114" s="72"/>
      <c r="CA114" s="72"/>
      <c r="CB114" s="72"/>
      <c r="CC114" s="72"/>
      <c r="CD114" s="72"/>
      <c r="CE114" s="72"/>
      <c r="CF114" s="72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DA114" s="138">
        <f t="shared" ref="DA114:DA119" si="10">H114</f>
        <v>31</v>
      </c>
    </row>
    <row r="115" spans="1:105" ht="20.25" customHeight="1" x14ac:dyDescent="0.35">
      <c r="A115" s="65"/>
      <c r="B115" s="79" t="s">
        <v>615</v>
      </c>
      <c r="C115" s="79" t="s">
        <v>182</v>
      </c>
      <c r="D115" s="88" t="s">
        <v>463</v>
      </c>
      <c r="E115" s="65" t="s">
        <v>364</v>
      </c>
      <c r="F115" s="65" t="s">
        <v>310</v>
      </c>
      <c r="G115" s="65" t="s">
        <v>41</v>
      </c>
      <c r="H115" s="73">
        <f>H114/50</f>
        <v>0.62</v>
      </c>
      <c r="I115" s="89">
        <v>0.9</v>
      </c>
      <c r="J115" s="3">
        <v>0.8</v>
      </c>
      <c r="K115" s="3"/>
      <c r="L115" s="3"/>
      <c r="M115" s="3"/>
      <c r="N115" s="89">
        <v>0.9</v>
      </c>
      <c r="O115" s="3">
        <v>0.9</v>
      </c>
      <c r="P115" s="89">
        <v>0.8</v>
      </c>
      <c r="Q115" s="3"/>
      <c r="R115" s="3">
        <v>0.9</v>
      </c>
      <c r="S115" s="3"/>
      <c r="T115" s="3"/>
      <c r="U115" s="3"/>
      <c r="V115" s="87"/>
      <c r="W115" s="3"/>
      <c r="X115" s="3"/>
      <c r="Y115" s="3"/>
      <c r="Z115" s="3"/>
      <c r="AA115" s="3"/>
      <c r="AB115" s="3"/>
      <c r="AC115" s="3"/>
      <c r="AD115" s="3">
        <v>0.8</v>
      </c>
      <c r="AE115" s="3"/>
      <c r="AF115" s="3"/>
      <c r="AG115" s="3"/>
      <c r="AH115" s="3"/>
      <c r="AI115" s="3"/>
      <c r="AJ115" s="3"/>
      <c r="AK115" s="1"/>
      <c r="AL115" s="1"/>
      <c r="AM115" s="1"/>
      <c r="AN115" s="1"/>
      <c r="AO115" s="3">
        <v>0.8</v>
      </c>
      <c r="AP115" s="3">
        <v>0.8</v>
      </c>
      <c r="AQ115" s="3">
        <v>0.8</v>
      </c>
      <c r="AR115" s="3">
        <v>0.8</v>
      </c>
      <c r="AS115" s="3"/>
      <c r="AT115" s="3">
        <v>0.8</v>
      </c>
      <c r="AU115" s="3">
        <v>0.8</v>
      </c>
      <c r="AV115" s="3">
        <v>0.8</v>
      </c>
      <c r="AW115" s="3"/>
      <c r="AX115" s="3">
        <v>0.8</v>
      </c>
      <c r="AY115" s="3">
        <v>0.8</v>
      </c>
      <c r="AZ115" s="3">
        <v>0.8</v>
      </c>
      <c r="BA115" s="3">
        <v>0.8</v>
      </c>
      <c r="BB115" s="3"/>
      <c r="BC115" s="3">
        <v>0.8</v>
      </c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>
        <v>0.8</v>
      </c>
      <c r="BP115" s="1"/>
      <c r="BQ115" s="1"/>
      <c r="BR115" s="1"/>
      <c r="BS115" s="1"/>
      <c r="BT115" s="1"/>
      <c r="BU115" s="1"/>
      <c r="BV115" s="1"/>
      <c r="BW115" s="1"/>
      <c r="BX115" s="3"/>
      <c r="BY115" s="72"/>
      <c r="BZ115" s="72">
        <v>0.8</v>
      </c>
      <c r="CA115" s="72"/>
      <c r="CB115" s="72"/>
      <c r="CC115" s="72"/>
      <c r="CD115" s="72"/>
      <c r="CE115" s="72"/>
      <c r="CF115" s="72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DA115" s="138">
        <f t="shared" si="10"/>
        <v>0.62</v>
      </c>
    </row>
    <row r="116" spans="1:105" ht="20.25" customHeight="1" x14ac:dyDescent="0.35">
      <c r="A116" s="65"/>
      <c r="B116" s="79" t="s">
        <v>616</v>
      </c>
      <c r="C116" s="79" t="s">
        <v>203</v>
      </c>
      <c r="D116" s="88" t="s">
        <v>461</v>
      </c>
      <c r="E116" s="65" t="s">
        <v>275</v>
      </c>
      <c r="F116" s="65" t="s">
        <v>276</v>
      </c>
      <c r="G116" s="65" t="s">
        <v>34</v>
      </c>
      <c r="H116" s="73">
        <v>33.6</v>
      </c>
      <c r="I116" s="89">
        <v>38</v>
      </c>
      <c r="J116" s="3">
        <v>38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87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1"/>
      <c r="AL116" s="1"/>
      <c r="AM116" s="1"/>
      <c r="AN116" s="1"/>
      <c r="AO116" s="1">
        <v>38</v>
      </c>
      <c r="AP116" s="3">
        <v>38</v>
      </c>
      <c r="AQ116" s="3"/>
      <c r="AR116" s="3">
        <v>38</v>
      </c>
      <c r="AS116" s="3"/>
      <c r="AT116" s="3">
        <v>38</v>
      </c>
      <c r="AU116" s="3">
        <v>38</v>
      </c>
      <c r="AV116" s="3">
        <v>38</v>
      </c>
      <c r="AW116" s="3"/>
      <c r="AX116" s="3">
        <v>38</v>
      </c>
      <c r="AY116" s="3"/>
      <c r="AZ116" s="3"/>
      <c r="BA116" s="3"/>
      <c r="BB116" s="3"/>
      <c r="BC116" s="3">
        <v>38</v>
      </c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>
        <v>40</v>
      </c>
      <c r="BP116" s="1"/>
      <c r="BQ116" s="1"/>
      <c r="BR116" s="1"/>
      <c r="BS116" s="1"/>
      <c r="BT116" s="1"/>
      <c r="BU116" s="1"/>
      <c r="BV116" s="1"/>
      <c r="BW116" s="1"/>
      <c r="BX116" s="3"/>
      <c r="BY116" s="72"/>
      <c r="BZ116" s="72">
        <v>0</v>
      </c>
      <c r="CA116" s="72"/>
      <c r="CB116" s="72"/>
      <c r="CC116" s="72"/>
      <c r="CD116" s="72"/>
      <c r="CE116" s="72"/>
      <c r="CF116" s="72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DA116" s="139">
        <f t="shared" si="10"/>
        <v>33.6</v>
      </c>
    </row>
    <row r="117" spans="1:105" ht="20.25" customHeight="1" x14ac:dyDescent="0.35">
      <c r="A117" s="65"/>
      <c r="B117" s="79" t="s">
        <v>617</v>
      </c>
      <c r="C117" s="79" t="s">
        <v>203</v>
      </c>
      <c r="D117" s="88" t="s">
        <v>463</v>
      </c>
      <c r="E117" s="65" t="s">
        <v>275</v>
      </c>
      <c r="F117" s="65" t="s">
        <v>97</v>
      </c>
      <c r="G117" s="65" t="s">
        <v>41</v>
      </c>
      <c r="H117" s="73">
        <v>11.7</v>
      </c>
      <c r="I117" s="89">
        <v>13</v>
      </c>
      <c r="J117" s="3"/>
      <c r="K117" s="3"/>
      <c r="L117" s="3"/>
      <c r="M117" s="3"/>
      <c r="N117" s="3"/>
      <c r="O117" s="3"/>
      <c r="P117" s="89">
        <v>13</v>
      </c>
      <c r="Q117" s="3"/>
      <c r="R117" s="3"/>
      <c r="S117" s="3"/>
      <c r="T117" s="3"/>
      <c r="U117" s="3"/>
      <c r="V117" s="87">
        <v>12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1"/>
      <c r="AL117" s="1"/>
      <c r="AM117" s="1"/>
      <c r="AN117" s="1"/>
      <c r="AO117" s="1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3"/>
      <c r="BY117" s="72"/>
      <c r="BZ117" s="72"/>
      <c r="CA117" s="72"/>
      <c r="CB117" s="72"/>
      <c r="CC117" s="72"/>
      <c r="CD117" s="72"/>
      <c r="CE117" s="72"/>
      <c r="CF117" s="72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DA117" s="139">
        <f t="shared" si="10"/>
        <v>11.7</v>
      </c>
    </row>
    <row r="118" spans="1:105" ht="20.25" customHeight="1" x14ac:dyDescent="0.35">
      <c r="A118" s="65"/>
      <c r="B118" s="79" t="s">
        <v>619</v>
      </c>
      <c r="C118" s="79" t="s">
        <v>203</v>
      </c>
      <c r="D118" s="88" t="s">
        <v>463</v>
      </c>
      <c r="E118" s="65" t="s">
        <v>618</v>
      </c>
      <c r="F118" s="65" t="s">
        <v>327</v>
      </c>
      <c r="G118" s="65" t="s">
        <v>41</v>
      </c>
      <c r="H118" s="73">
        <v>40</v>
      </c>
      <c r="I118" s="89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87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1"/>
      <c r="AL118" s="1"/>
      <c r="AM118" s="1"/>
      <c r="AN118" s="1"/>
      <c r="AO118" s="1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3"/>
      <c r="BY118" s="72"/>
      <c r="BZ118" s="72"/>
      <c r="CA118" s="72"/>
      <c r="CB118" s="72"/>
      <c r="CC118" s="72"/>
      <c r="CD118" s="72"/>
      <c r="CE118" s="72"/>
      <c r="CF118" s="72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DA118" s="139">
        <f t="shared" si="10"/>
        <v>40</v>
      </c>
    </row>
    <row r="119" spans="1:105" ht="20.25" customHeight="1" x14ac:dyDescent="0.35">
      <c r="A119" s="65"/>
      <c r="B119" s="79" t="s">
        <v>620</v>
      </c>
      <c r="C119" s="79" t="s">
        <v>203</v>
      </c>
      <c r="D119" s="88" t="s">
        <v>463</v>
      </c>
      <c r="E119" s="65" t="s">
        <v>604</v>
      </c>
      <c r="F119" s="65" t="s">
        <v>97</v>
      </c>
      <c r="G119" s="65" t="s">
        <v>41</v>
      </c>
      <c r="H119" s="73">
        <f>H118/25*5</f>
        <v>8</v>
      </c>
      <c r="I119" s="89">
        <v>12</v>
      </c>
      <c r="J119" s="3">
        <v>12</v>
      </c>
      <c r="K119" s="3"/>
      <c r="L119" s="3"/>
      <c r="M119" s="3"/>
      <c r="N119" s="3"/>
      <c r="O119" s="3"/>
      <c r="P119" s="3"/>
      <c r="Q119" s="3">
        <v>12</v>
      </c>
      <c r="R119" s="3"/>
      <c r="S119" s="3">
        <v>13</v>
      </c>
      <c r="T119" s="3"/>
      <c r="U119" s="3"/>
      <c r="V119" s="87"/>
      <c r="W119" s="3"/>
      <c r="X119" s="3"/>
      <c r="Y119" s="3"/>
      <c r="Z119" s="3"/>
      <c r="AA119" s="3"/>
      <c r="AB119" s="3"/>
      <c r="AC119" s="3">
        <v>12.5</v>
      </c>
      <c r="AD119" s="3"/>
      <c r="AE119" s="3"/>
      <c r="AF119" s="3">
        <v>12.5</v>
      </c>
      <c r="AG119" s="3"/>
      <c r="AH119" s="3"/>
      <c r="AI119" s="3"/>
      <c r="AJ119" s="3">
        <v>12</v>
      </c>
      <c r="AK119" s="1"/>
      <c r="AL119" s="1"/>
      <c r="AM119" s="1"/>
      <c r="AN119" s="1"/>
      <c r="AO119" s="1"/>
      <c r="AP119" s="3"/>
      <c r="AQ119" s="3">
        <v>12</v>
      </c>
      <c r="AR119" s="3"/>
      <c r="AS119" s="3"/>
      <c r="AT119" s="3"/>
      <c r="AU119" s="3"/>
      <c r="AV119" s="3"/>
      <c r="AW119" s="3">
        <v>12</v>
      </c>
      <c r="AX119" s="3"/>
      <c r="AY119" s="3">
        <v>12</v>
      </c>
      <c r="AZ119" s="3">
        <v>12</v>
      </c>
      <c r="BA119" s="3">
        <v>12</v>
      </c>
      <c r="BB119" s="3"/>
      <c r="BC119" s="3">
        <v>12</v>
      </c>
      <c r="BD119" s="1"/>
      <c r="BE119" s="1"/>
      <c r="BF119" s="1"/>
      <c r="BG119" s="1"/>
      <c r="BH119" s="1"/>
      <c r="BI119" s="1"/>
      <c r="BJ119" s="1"/>
      <c r="BK119" s="1">
        <v>14</v>
      </c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3">
        <f>J119</f>
        <v>12</v>
      </c>
      <c r="BY119" s="72"/>
      <c r="BZ119" s="72"/>
      <c r="CA119" s="72"/>
      <c r="CB119" s="72"/>
      <c r="CC119" s="72"/>
      <c r="CD119" s="72"/>
      <c r="CE119" s="72"/>
      <c r="CF119" s="72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DA119" s="139">
        <f t="shared" si="10"/>
        <v>8</v>
      </c>
    </row>
    <row r="120" spans="1:105" ht="20.25" customHeight="1" x14ac:dyDescent="0.35">
      <c r="A120" s="65"/>
      <c r="B120" s="79" t="s">
        <v>1053</v>
      </c>
      <c r="C120" s="79" t="s">
        <v>203</v>
      </c>
      <c r="D120" s="88" t="s">
        <v>463</v>
      </c>
      <c r="E120" s="65" t="s">
        <v>604</v>
      </c>
      <c r="F120" s="65" t="s">
        <v>434</v>
      </c>
      <c r="G120" s="65"/>
      <c r="H120" s="73">
        <f>H118/25*4</f>
        <v>6.4</v>
      </c>
      <c r="I120" s="89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87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1"/>
      <c r="AL120" s="1"/>
      <c r="AM120" s="1"/>
      <c r="AN120" s="1"/>
      <c r="AO120" s="1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3"/>
      <c r="BY120" s="72"/>
      <c r="BZ120" s="72"/>
      <c r="CA120" s="72"/>
      <c r="CB120" s="72"/>
      <c r="CC120" s="72"/>
      <c r="CD120" s="72"/>
      <c r="CE120" s="72"/>
      <c r="CF120" s="72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DA120" s="66">
        <f>H120</f>
        <v>6.4</v>
      </c>
    </row>
    <row r="121" spans="1:105" ht="20.25" customHeight="1" x14ac:dyDescent="0.35">
      <c r="A121" s="65"/>
      <c r="B121" s="79" t="s">
        <v>1054</v>
      </c>
      <c r="C121" s="79" t="s">
        <v>203</v>
      </c>
      <c r="D121" s="88" t="s">
        <v>463</v>
      </c>
      <c r="E121" s="65" t="s">
        <v>604</v>
      </c>
      <c r="F121" s="65" t="s">
        <v>73</v>
      </c>
      <c r="G121" s="65"/>
      <c r="H121" s="73">
        <f>H118/25</f>
        <v>1.6</v>
      </c>
      <c r="I121" s="89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87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1"/>
      <c r="AL121" s="1"/>
      <c r="AM121" s="1"/>
      <c r="AN121" s="1"/>
      <c r="AO121" s="1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3"/>
      <c r="BY121" s="72"/>
      <c r="BZ121" s="72"/>
      <c r="CA121" s="72"/>
      <c r="CB121" s="72"/>
      <c r="CC121" s="72"/>
      <c r="CD121" s="72"/>
      <c r="CE121" s="72"/>
      <c r="CF121" s="72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DA121" s="66">
        <f>H121</f>
        <v>1.6</v>
      </c>
    </row>
    <row r="122" spans="1:105" ht="20.25" customHeight="1" x14ac:dyDescent="0.35">
      <c r="A122" s="65"/>
      <c r="B122" s="79" t="s">
        <v>621</v>
      </c>
      <c r="C122" s="79" t="s">
        <v>622</v>
      </c>
      <c r="D122" s="55"/>
      <c r="E122" s="65"/>
      <c r="F122" s="55" t="s">
        <v>403</v>
      </c>
      <c r="G122" s="55" t="s">
        <v>41</v>
      </c>
      <c r="H122" s="86"/>
      <c r="I122" s="89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87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1"/>
      <c r="AL122" s="1"/>
      <c r="AM122" s="1"/>
      <c r="AN122" s="1"/>
      <c r="AO122" s="1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3"/>
      <c r="BY122" s="72"/>
      <c r="BZ122" s="72"/>
      <c r="CA122" s="72"/>
      <c r="CB122" s="72"/>
      <c r="CC122" s="72"/>
      <c r="CD122" s="72"/>
      <c r="CE122" s="72"/>
      <c r="CF122" s="72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DA122" s="66"/>
    </row>
    <row r="123" spans="1:105" ht="20.25" customHeight="1" x14ac:dyDescent="0.35">
      <c r="A123" s="65"/>
      <c r="B123" s="79" t="s">
        <v>623</v>
      </c>
      <c r="C123" s="79" t="s">
        <v>622</v>
      </c>
      <c r="D123" s="55"/>
      <c r="E123" s="65"/>
      <c r="F123" s="55" t="s">
        <v>624</v>
      </c>
      <c r="G123" s="55" t="s">
        <v>41</v>
      </c>
      <c r="H123" s="86"/>
      <c r="I123" s="89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87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1"/>
      <c r="AL123" s="1"/>
      <c r="AM123" s="1"/>
      <c r="AN123" s="1"/>
      <c r="AO123" s="1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3"/>
      <c r="BY123" s="72"/>
      <c r="BZ123" s="72"/>
      <c r="CA123" s="72"/>
      <c r="CB123" s="72"/>
      <c r="CC123" s="72"/>
      <c r="CD123" s="72"/>
      <c r="CE123" s="72"/>
      <c r="CF123" s="72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DA123" s="66"/>
    </row>
    <row r="124" spans="1:105" ht="20.25" customHeight="1" x14ac:dyDescent="0.35">
      <c r="A124" s="5"/>
      <c r="B124" s="94" t="s">
        <v>625</v>
      </c>
      <c r="C124" s="79" t="s">
        <v>442</v>
      </c>
      <c r="D124" s="65"/>
      <c r="E124" s="65"/>
      <c r="F124" s="65" t="s">
        <v>73</v>
      </c>
      <c r="G124" s="65"/>
      <c r="H124" s="86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87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>
        <v>3</v>
      </c>
      <c r="AH124" s="3"/>
      <c r="AI124" s="3"/>
      <c r="AJ124" s="3"/>
      <c r="AK124" s="1"/>
      <c r="AL124" s="1"/>
      <c r="AM124" s="1"/>
      <c r="AN124" s="1"/>
      <c r="AO124" s="1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3"/>
      <c r="BY124" s="72"/>
      <c r="BZ124" s="72"/>
      <c r="CA124" s="72"/>
      <c r="CB124" s="72"/>
      <c r="CC124" s="72"/>
      <c r="CD124" s="72"/>
      <c r="CE124" s="72"/>
      <c r="CF124" s="72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DA124" s="66"/>
    </row>
    <row r="125" spans="1:105" ht="20.25" customHeight="1" x14ac:dyDescent="0.35">
      <c r="A125" s="65"/>
      <c r="B125" s="79" t="s">
        <v>626</v>
      </c>
      <c r="C125" s="79" t="s">
        <v>220</v>
      </c>
      <c r="D125" s="88" t="s">
        <v>461</v>
      </c>
      <c r="E125" s="65" t="s">
        <v>140</v>
      </c>
      <c r="F125" s="65" t="s">
        <v>376</v>
      </c>
      <c r="G125" s="65" t="s">
        <v>34</v>
      </c>
      <c r="H125" s="146">
        <v>18.600000000000001</v>
      </c>
      <c r="I125" s="89">
        <v>22</v>
      </c>
      <c r="J125" s="77"/>
      <c r="K125" s="3"/>
      <c r="L125" s="3"/>
      <c r="M125" s="3">
        <v>24</v>
      </c>
      <c r="N125" s="3"/>
      <c r="O125" s="77"/>
      <c r="P125" s="3"/>
      <c r="Q125" s="3"/>
      <c r="R125" s="3">
        <v>24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1"/>
      <c r="AL125" s="1"/>
      <c r="AM125" s="1"/>
      <c r="AN125" s="1"/>
      <c r="AO125" s="1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>
        <v>25</v>
      </c>
      <c r="BP125" s="1"/>
      <c r="BQ125" s="1"/>
      <c r="BR125" s="1"/>
      <c r="BS125" s="1"/>
      <c r="BT125" s="1"/>
      <c r="BU125" s="1"/>
      <c r="BV125" s="1"/>
      <c r="BW125" s="1"/>
      <c r="BX125" s="3"/>
      <c r="BY125" s="72"/>
      <c r="BZ125" s="72"/>
      <c r="CA125" s="72"/>
      <c r="CB125" s="72"/>
      <c r="CC125" s="72"/>
      <c r="CD125" s="72"/>
      <c r="CE125" s="72"/>
      <c r="CF125" s="72"/>
      <c r="CG125" s="58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DA125" s="138">
        <f>H125</f>
        <v>18.600000000000001</v>
      </c>
    </row>
    <row r="126" spans="1:105" ht="20.25" customHeight="1" x14ac:dyDescent="0.35">
      <c r="A126" s="65" t="s">
        <v>1119</v>
      </c>
      <c r="B126" s="79" t="s">
        <v>627</v>
      </c>
      <c r="C126" s="79" t="s">
        <v>1108</v>
      </c>
      <c r="D126" s="88" t="s">
        <v>463</v>
      </c>
      <c r="E126" s="65" t="s">
        <v>35</v>
      </c>
      <c r="F126" s="65" t="s">
        <v>499</v>
      </c>
      <c r="G126" s="65" t="s">
        <v>488</v>
      </c>
      <c r="H126" s="86">
        <v>24</v>
      </c>
      <c r="I126" s="3">
        <v>32</v>
      </c>
      <c r="J126" s="3"/>
      <c r="K126" s="3"/>
      <c r="L126" s="3"/>
      <c r="M126" s="3">
        <v>32</v>
      </c>
      <c r="N126" s="3"/>
      <c r="O126" s="3"/>
      <c r="P126" s="3"/>
      <c r="Q126" s="3"/>
      <c r="R126" s="3"/>
      <c r="S126" s="3"/>
      <c r="T126" s="3"/>
      <c r="U126" s="3"/>
      <c r="V126" s="87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1"/>
      <c r="AL126" s="1"/>
      <c r="AM126" s="1"/>
      <c r="AN126" s="1"/>
      <c r="AO126" s="1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3"/>
      <c r="BY126" s="72"/>
      <c r="BZ126" s="72"/>
      <c r="CA126" s="72"/>
      <c r="CB126" s="72"/>
      <c r="CC126" s="72"/>
      <c r="CD126" s="72"/>
      <c r="CE126" s="72"/>
      <c r="CF126" s="72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DA126" s="66">
        <f>H126</f>
        <v>24</v>
      </c>
    </row>
    <row r="127" spans="1:105" ht="20.25" customHeight="1" x14ac:dyDescent="0.35">
      <c r="A127" s="5"/>
      <c r="B127" s="79" t="s">
        <v>628</v>
      </c>
      <c r="C127" s="79" t="s">
        <v>1055</v>
      </c>
      <c r="D127" s="65" t="s">
        <v>447</v>
      </c>
      <c r="E127" s="65" t="s">
        <v>633</v>
      </c>
      <c r="F127" s="55" t="s">
        <v>33</v>
      </c>
      <c r="G127" s="55" t="s">
        <v>39</v>
      </c>
      <c r="H127" s="86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1"/>
      <c r="AL127" s="1"/>
      <c r="AM127" s="1"/>
      <c r="AN127" s="1"/>
      <c r="AO127" s="1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3"/>
      <c r="BY127" s="72"/>
      <c r="BZ127" s="72"/>
      <c r="CA127" s="72"/>
      <c r="CB127" s="72"/>
      <c r="CC127" s="72"/>
      <c r="CD127" s="72"/>
      <c r="CE127" s="72"/>
      <c r="CF127" s="72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DA127" s="66"/>
    </row>
    <row r="128" spans="1:105" ht="20.25" customHeight="1" x14ac:dyDescent="0.35">
      <c r="A128" s="5"/>
      <c r="B128" s="79" t="s">
        <v>629</v>
      </c>
      <c r="C128" s="79" t="s">
        <v>1168</v>
      </c>
      <c r="D128" s="65" t="s">
        <v>427</v>
      </c>
      <c r="E128" s="5" t="s">
        <v>426</v>
      </c>
      <c r="F128" s="5" t="s">
        <v>428</v>
      </c>
      <c r="G128" s="5"/>
      <c r="H128" s="73">
        <v>19</v>
      </c>
      <c r="I128" s="3"/>
      <c r="J128" s="3"/>
      <c r="K128" s="3"/>
      <c r="L128" s="3"/>
      <c r="M128" s="3"/>
      <c r="N128" s="3"/>
      <c r="O128" s="3">
        <v>24</v>
      </c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1"/>
      <c r="AL128" s="1"/>
      <c r="AM128" s="1"/>
      <c r="AN128" s="1"/>
      <c r="AO128" s="1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3"/>
      <c r="BY128" s="72"/>
      <c r="BZ128" s="72"/>
      <c r="CA128" s="72"/>
      <c r="CB128" s="72"/>
      <c r="CC128" s="72"/>
      <c r="CD128" s="72"/>
      <c r="CE128" s="72"/>
      <c r="CF128" s="72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DA128" s="139">
        <f>H128</f>
        <v>19</v>
      </c>
    </row>
    <row r="129" spans="1:105" ht="20.25" customHeight="1" x14ac:dyDescent="0.35">
      <c r="A129" s="5"/>
      <c r="B129" s="79" t="s">
        <v>630</v>
      </c>
      <c r="C129" s="79" t="s">
        <v>1126</v>
      </c>
      <c r="D129" s="65"/>
      <c r="E129" s="5"/>
      <c r="F129" s="5" t="s">
        <v>430</v>
      </c>
      <c r="G129" s="5"/>
      <c r="H129" s="86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1"/>
      <c r="AL129" s="1"/>
      <c r="AM129" s="1"/>
      <c r="AN129" s="1"/>
      <c r="AO129" s="1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>
        <f>12*1.2</f>
        <v>14.399999999999999</v>
      </c>
      <c r="BP129" s="1"/>
      <c r="BQ129" s="1"/>
      <c r="BR129" s="1"/>
      <c r="BS129" s="72"/>
      <c r="BT129" s="72"/>
      <c r="BU129" s="72"/>
      <c r="BV129" s="72"/>
      <c r="BW129" s="72"/>
      <c r="BX129" s="3"/>
      <c r="BY129" s="72"/>
      <c r="BZ129" s="72"/>
      <c r="CA129" s="72"/>
      <c r="CB129" s="72"/>
      <c r="CC129" s="72"/>
      <c r="CD129" s="72"/>
      <c r="CE129" s="72"/>
      <c r="CF129" s="72"/>
      <c r="CG129" s="72"/>
      <c r="CH129" s="72"/>
      <c r="CI129" s="72"/>
      <c r="CJ129" s="72"/>
      <c r="CK129" s="72"/>
      <c r="CL129" s="72"/>
      <c r="CM129" s="72"/>
      <c r="CN129" s="72"/>
      <c r="CO129" s="1"/>
      <c r="CP129" s="1"/>
      <c r="CQ129" s="1"/>
      <c r="CR129" s="1"/>
      <c r="DA129" s="66"/>
    </row>
    <row r="130" spans="1:105" ht="20.25" customHeight="1" x14ac:dyDescent="0.35">
      <c r="A130" s="5" t="s">
        <v>1106</v>
      </c>
      <c r="B130" s="79" t="s">
        <v>1105</v>
      </c>
      <c r="C130" s="79" t="s">
        <v>1126</v>
      </c>
      <c r="D130" s="65"/>
      <c r="E130" s="5"/>
      <c r="F130" s="5" t="s">
        <v>1104</v>
      </c>
      <c r="G130" s="5"/>
      <c r="H130" s="73">
        <v>0.8</v>
      </c>
      <c r="I130" s="72">
        <v>0.95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1"/>
      <c r="AL130" s="1"/>
      <c r="AM130" s="1"/>
      <c r="AN130" s="1"/>
      <c r="AO130" s="1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72"/>
      <c r="BT130" s="72"/>
      <c r="BU130" s="72"/>
      <c r="BV130" s="72"/>
      <c r="BW130" s="72"/>
      <c r="BX130" s="3"/>
      <c r="BY130" s="72"/>
      <c r="BZ130" s="72"/>
      <c r="CA130" s="72"/>
      <c r="CB130" s="72"/>
      <c r="CC130" s="72"/>
      <c r="CD130" s="72"/>
      <c r="CE130" s="72"/>
      <c r="CF130" s="72"/>
      <c r="CG130" s="72"/>
      <c r="CH130" s="72"/>
      <c r="CI130" s="72"/>
      <c r="CJ130" s="72"/>
      <c r="CK130" s="72"/>
      <c r="CL130" s="72"/>
      <c r="CM130" s="72"/>
      <c r="CN130" s="72"/>
      <c r="CO130" s="1"/>
      <c r="CP130" s="1"/>
      <c r="CQ130" s="1"/>
      <c r="CR130" s="1"/>
      <c r="DA130" s="139">
        <f>H130</f>
        <v>0.8</v>
      </c>
    </row>
    <row r="131" spans="1:105" ht="20.25" customHeight="1" x14ac:dyDescent="0.35">
      <c r="A131" s="5"/>
      <c r="B131" s="79" t="s">
        <v>631</v>
      </c>
      <c r="C131" s="79" t="s">
        <v>1127</v>
      </c>
      <c r="D131" s="65"/>
      <c r="E131" s="5" t="s">
        <v>429</v>
      </c>
      <c r="F131" s="5" t="s">
        <v>431</v>
      </c>
      <c r="G131" s="5"/>
      <c r="H131" s="86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1"/>
      <c r="AL131" s="1"/>
      <c r="AM131" s="1"/>
      <c r="AN131" s="1"/>
      <c r="AO131" s="1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>
        <f>10*1.2</f>
        <v>12</v>
      </c>
      <c r="BP131" s="1"/>
      <c r="BQ131" s="1"/>
      <c r="BR131" s="1"/>
      <c r="BS131" s="72"/>
      <c r="BT131" s="72"/>
      <c r="BU131" s="72"/>
      <c r="BV131" s="72"/>
      <c r="BW131" s="72"/>
      <c r="BX131" s="3"/>
      <c r="BY131" s="72"/>
      <c r="BZ131" s="72"/>
      <c r="CA131" s="72"/>
      <c r="CB131" s="72"/>
      <c r="CC131" s="72"/>
      <c r="CD131" s="72"/>
      <c r="CE131" s="72"/>
      <c r="CF131" s="72"/>
      <c r="CG131" s="72"/>
      <c r="CH131" s="72"/>
      <c r="CI131" s="72"/>
      <c r="CJ131" s="72"/>
      <c r="CK131" s="72"/>
      <c r="CL131" s="72"/>
      <c r="CM131" s="72"/>
      <c r="CN131" s="72"/>
      <c r="CO131" s="1"/>
      <c r="CP131" s="1"/>
      <c r="CQ131" s="1"/>
      <c r="CR131" s="1"/>
      <c r="DA131" s="66"/>
    </row>
    <row r="132" spans="1:105" ht="20.25" customHeight="1" x14ac:dyDescent="0.35">
      <c r="A132" s="5"/>
      <c r="B132" s="79" t="s">
        <v>632</v>
      </c>
      <c r="C132" s="101" t="s">
        <v>1057</v>
      </c>
      <c r="D132" s="65" t="s">
        <v>447</v>
      </c>
      <c r="E132" s="65" t="s">
        <v>1058</v>
      </c>
      <c r="F132" s="65" t="s">
        <v>73</v>
      </c>
      <c r="G132" s="65"/>
      <c r="H132" s="86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1"/>
      <c r="AL132" s="1"/>
      <c r="AM132" s="1"/>
      <c r="AN132" s="1"/>
      <c r="AO132" s="1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72"/>
      <c r="BT132" s="72"/>
      <c r="BU132" s="72"/>
      <c r="BV132" s="72"/>
      <c r="BW132" s="72"/>
      <c r="BX132" s="3"/>
      <c r="BY132" s="72"/>
      <c r="BZ132" s="72"/>
      <c r="CA132" s="72"/>
      <c r="CB132" s="72"/>
      <c r="CC132" s="72"/>
      <c r="CD132" s="72"/>
      <c r="CE132" s="72"/>
      <c r="CF132" s="72"/>
      <c r="CG132" s="72"/>
      <c r="CH132" s="72"/>
      <c r="CI132" s="72"/>
      <c r="CJ132" s="72"/>
      <c r="CK132" s="72"/>
      <c r="CL132" s="72"/>
      <c r="CM132" s="72"/>
      <c r="CN132" s="72"/>
      <c r="CO132" s="1"/>
      <c r="CP132" s="1"/>
      <c r="CQ132" s="1"/>
      <c r="CR132" s="1"/>
      <c r="DA132" s="66"/>
    </row>
    <row r="133" spans="1:105" ht="20.25" customHeight="1" x14ac:dyDescent="0.35">
      <c r="A133" s="5"/>
      <c r="B133" s="79" t="s">
        <v>925</v>
      </c>
      <c r="C133" s="101" t="s">
        <v>1059</v>
      </c>
      <c r="D133" s="65" t="s">
        <v>447</v>
      </c>
      <c r="E133" s="65" t="s">
        <v>1068</v>
      </c>
      <c r="F133" s="65" t="s">
        <v>73</v>
      </c>
      <c r="G133" s="65" t="s">
        <v>39</v>
      </c>
      <c r="H133" s="86"/>
      <c r="I133" s="3"/>
      <c r="J133" s="3"/>
      <c r="K133" s="3"/>
      <c r="L133" s="3"/>
      <c r="M133" s="3"/>
      <c r="N133" s="3"/>
      <c r="O133" s="3"/>
      <c r="P133" s="3"/>
      <c r="Q133" s="3"/>
      <c r="R133" s="3">
        <v>38</v>
      </c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1"/>
      <c r="AL133" s="1"/>
      <c r="AM133" s="1"/>
      <c r="AN133" s="1"/>
      <c r="AO133" s="1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72"/>
      <c r="BT133" s="72"/>
      <c r="BU133" s="72"/>
      <c r="BV133" s="72"/>
      <c r="BW133" s="72"/>
      <c r="BX133" s="3"/>
      <c r="BY133" s="72"/>
      <c r="BZ133" s="72"/>
      <c r="CA133" s="72"/>
      <c r="CB133" s="72"/>
      <c r="CC133" s="72"/>
      <c r="CD133" s="72"/>
      <c r="CE133" s="72"/>
      <c r="CF133" s="72"/>
      <c r="CG133" s="72"/>
      <c r="CH133" s="72"/>
      <c r="CI133" s="72"/>
      <c r="CJ133" s="72"/>
      <c r="CK133" s="72"/>
      <c r="CL133" s="72"/>
      <c r="CM133" s="72"/>
      <c r="CN133" s="72"/>
      <c r="CO133" s="1"/>
      <c r="CP133" s="1"/>
      <c r="CQ133" s="1"/>
      <c r="CR133" s="1"/>
      <c r="DA133" s="66"/>
    </row>
    <row r="134" spans="1:105" ht="20.25" customHeight="1" x14ac:dyDescent="0.35">
      <c r="A134" s="5"/>
      <c r="B134" s="79" t="s">
        <v>946</v>
      </c>
      <c r="C134" s="101" t="s">
        <v>1060</v>
      </c>
      <c r="D134" s="65" t="s">
        <v>35</v>
      </c>
      <c r="E134" s="65" t="s">
        <v>947</v>
      </c>
      <c r="F134" s="65" t="s">
        <v>327</v>
      </c>
      <c r="G134" s="65" t="s">
        <v>50</v>
      </c>
      <c r="H134" s="86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1"/>
      <c r="AL134" s="1"/>
      <c r="AM134" s="1"/>
      <c r="AN134" s="1"/>
      <c r="AO134" s="1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72"/>
      <c r="BT134" s="72">
        <v>36</v>
      </c>
      <c r="BU134" s="72"/>
      <c r="BV134" s="72"/>
      <c r="BW134" s="72"/>
      <c r="BX134" s="3"/>
      <c r="BY134" s="72"/>
      <c r="BZ134" s="72"/>
      <c r="CA134" s="72"/>
      <c r="CB134" s="72"/>
      <c r="CC134" s="72"/>
      <c r="CD134" s="72"/>
      <c r="CE134" s="72"/>
      <c r="CF134" s="72"/>
      <c r="CG134" s="72"/>
      <c r="CH134" s="72"/>
      <c r="CI134" s="72"/>
      <c r="CJ134" s="72"/>
      <c r="CK134" s="72"/>
      <c r="CL134" s="72"/>
      <c r="CM134" s="72"/>
      <c r="CN134" s="72"/>
      <c r="CO134" s="1"/>
      <c r="CP134" s="1"/>
      <c r="CQ134" s="1"/>
      <c r="CR134" s="1"/>
      <c r="DA134" s="66"/>
    </row>
    <row r="135" spans="1:105" ht="20.25" customHeight="1" x14ac:dyDescent="0.35">
      <c r="A135" s="5"/>
      <c r="B135" s="79" t="s">
        <v>950</v>
      </c>
      <c r="C135" s="101" t="s">
        <v>1061</v>
      </c>
      <c r="D135" s="65" t="s">
        <v>447</v>
      </c>
      <c r="E135" s="65" t="s">
        <v>1058</v>
      </c>
      <c r="F135" s="65" t="s">
        <v>73</v>
      </c>
      <c r="G135" s="65" t="s">
        <v>50</v>
      </c>
      <c r="H135" s="73">
        <v>12</v>
      </c>
      <c r="I135" s="3">
        <v>15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1"/>
      <c r="AL135" s="1"/>
      <c r="AM135" s="1"/>
      <c r="AN135" s="1"/>
      <c r="AO135" s="1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72"/>
      <c r="BT135" s="72"/>
      <c r="BU135" s="72"/>
      <c r="BV135" s="72"/>
      <c r="BW135" s="72"/>
      <c r="BX135" s="3"/>
      <c r="BY135" s="72"/>
      <c r="BZ135" s="72"/>
      <c r="CA135" s="72"/>
      <c r="CB135" s="72"/>
      <c r="CC135" s="72"/>
      <c r="CD135" s="72"/>
      <c r="CE135" s="72"/>
      <c r="CF135" s="72"/>
      <c r="CG135" s="72"/>
      <c r="CH135" s="72"/>
      <c r="CI135" s="72"/>
      <c r="CJ135" s="72"/>
      <c r="CK135" s="72"/>
      <c r="CL135" s="72"/>
      <c r="CM135" s="72"/>
      <c r="CN135" s="72"/>
      <c r="CO135" s="1"/>
      <c r="CP135" s="1"/>
      <c r="CQ135" s="1"/>
      <c r="CR135" s="1"/>
      <c r="DA135" s="139">
        <f>H135</f>
        <v>12</v>
      </c>
    </row>
    <row r="136" spans="1:105" ht="20.25" customHeight="1" x14ac:dyDescent="0.35">
      <c r="A136" s="5"/>
      <c r="B136" s="79" t="s">
        <v>953</v>
      </c>
      <c r="C136" s="101" t="s">
        <v>1062</v>
      </c>
      <c r="D136" s="65" t="s">
        <v>447</v>
      </c>
      <c r="E136" s="65" t="s">
        <v>633</v>
      </c>
      <c r="F136" s="65" t="s">
        <v>1063</v>
      </c>
      <c r="G136" s="65" t="s">
        <v>50</v>
      </c>
      <c r="H136" s="86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1"/>
      <c r="AL136" s="1"/>
      <c r="AM136" s="1"/>
      <c r="AN136" s="1"/>
      <c r="AO136" s="1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72"/>
      <c r="BT136" s="72"/>
      <c r="BU136" s="72"/>
      <c r="BV136" s="72"/>
      <c r="BW136" s="72"/>
      <c r="BX136" s="3"/>
      <c r="BY136" s="72"/>
      <c r="BZ136" s="72"/>
      <c r="CA136" s="72"/>
      <c r="CB136" s="72"/>
      <c r="CC136" s="72"/>
      <c r="CD136" s="72"/>
      <c r="CE136" s="72"/>
      <c r="CF136" s="72"/>
      <c r="CG136" s="72"/>
      <c r="CH136" s="72"/>
      <c r="CI136" s="72"/>
      <c r="CJ136" s="72"/>
      <c r="CK136" s="72"/>
      <c r="CL136" s="72"/>
      <c r="CM136" s="72"/>
      <c r="CN136" s="72"/>
      <c r="CO136" s="1"/>
      <c r="CP136" s="1"/>
      <c r="CQ136" s="1"/>
      <c r="CR136" s="1"/>
      <c r="DA136" s="66"/>
    </row>
    <row r="137" spans="1:105" ht="20.25" customHeight="1" x14ac:dyDescent="0.35">
      <c r="A137" s="5"/>
      <c r="B137" s="79" t="s">
        <v>954</v>
      </c>
      <c r="C137" s="101" t="s">
        <v>1064</v>
      </c>
      <c r="D137" s="65" t="s">
        <v>447</v>
      </c>
      <c r="E137" s="65" t="s">
        <v>633</v>
      </c>
      <c r="F137" s="65" t="s">
        <v>1065</v>
      </c>
      <c r="G137" s="65" t="s">
        <v>50</v>
      </c>
      <c r="H137" s="86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1"/>
      <c r="AL137" s="1"/>
      <c r="AM137" s="1"/>
      <c r="AN137" s="1"/>
      <c r="AO137" s="1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72"/>
      <c r="BT137" s="72"/>
      <c r="BU137" s="72"/>
      <c r="BV137" s="72"/>
      <c r="BW137" s="72"/>
      <c r="BX137" s="3"/>
      <c r="BY137" s="72"/>
      <c r="BZ137" s="72"/>
      <c r="CA137" s="72"/>
      <c r="CB137" s="72"/>
      <c r="CC137" s="72"/>
      <c r="CD137" s="72"/>
      <c r="CE137" s="72"/>
      <c r="CF137" s="72"/>
      <c r="CG137" s="72"/>
      <c r="CH137" s="72"/>
      <c r="CI137" s="72"/>
      <c r="CJ137" s="72"/>
      <c r="CK137" s="72"/>
      <c r="CL137" s="72"/>
      <c r="CM137" s="72"/>
      <c r="CN137" s="72"/>
      <c r="CO137" s="1"/>
      <c r="CP137" s="1"/>
      <c r="CQ137" s="1"/>
      <c r="CR137" s="1"/>
      <c r="DA137" s="66"/>
    </row>
    <row r="138" spans="1:105" ht="20.25" customHeight="1" x14ac:dyDescent="0.35">
      <c r="A138" s="5"/>
      <c r="B138" s="79" t="s">
        <v>1056</v>
      </c>
      <c r="C138" s="101" t="s">
        <v>1066</v>
      </c>
      <c r="D138" s="65" t="s">
        <v>447</v>
      </c>
      <c r="E138" s="65" t="s">
        <v>1058</v>
      </c>
      <c r="F138" s="65" t="s">
        <v>1063</v>
      </c>
      <c r="G138" s="65" t="s">
        <v>1067</v>
      </c>
      <c r="H138" s="86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1"/>
      <c r="AL138" s="1"/>
      <c r="AM138" s="1"/>
      <c r="AN138" s="1"/>
      <c r="AO138" s="1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72"/>
      <c r="BT138" s="72"/>
      <c r="BU138" s="72"/>
      <c r="BV138" s="72"/>
      <c r="BW138" s="72"/>
      <c r="BX138" s="3"/>
      <c r="BY138" s="72"/>
      <c r="BZ138" s="72"/>
      <c r="CA138" s="72"/>
      <c r="CB138" s="72"/>
      <c r="CC138" s="72"/>
      <c r="CD138" s="72"/>
      <c r="CE138" s="72"/>
      <c r="CF138" s="72"/>
      <c r="CG138" s="72"/>
      <c r="CH138" s="72"/>
      <c r="CI138" s="72"/>
      <c r="CJ138" s="72"/>
      <c r="CK138" s="72"/>
      <c r="CL138" s="72"/>
      <c r="CM138" s="72"/>
      <c r="CN138" s="72"/>
      <c r="CO138" s="1"/>
      <c r="CP138" s="1"/>
      <c r="CQ138" s="1"/>
      <c r="CR138" s="1"/>
      <c r="DA138" s="66"/>
    </row>
    <row r="139" spans="1:105" ht="20.25" customHeight="1" x14ac:dyDescent="0.35">
      <c r="A139" s="5"/>
      <c r="B139" s="79" t="s">
        <v>1113</v>
      </c>
      <c r="C139" s="101" t="s">
        <v>1114</v>
      </c>
      <c r="D139" s="65" t="s">
        <v>447</v>
      </c>
      <c r="E139" s="65" t="s">
        <v>35</v>
      </c>
      <c r="F139" s="65" t="s">
        <v>73</v>
      </c>
      <c r="G139" s="65" t="s">
        <v>50</v>
      </c>
      <c r="H139" s="86">
        <v>15.5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1"/>
      <c r="AL139" s="1"/>
      <c r="AM139" s="1"/>
      <c r="AN139" s="1"/>
      <c r="AO139" s="1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72"/>
      <c r="BT139" s="72"/>
      <c r="BU139" s="72">
        <v>21</v>
      </c>
      <c r="BV139" s="72"/>
      <c r="BW139" s="72"/>
      <c r="BX139" s="3"/>
      <c r="BY139" s="72"/>
      <c r="BZ139" s="72"/>
      <c r="CA139" s="72"/>
      <c r="CB139" s="72"/>
      <c r="CC139" s="72"/>
      <c r="CD139" s="72"/>
      <c r="CE139" s="72"/>
      <c r="CF139" s="72"/>
      <c r="CG139" s="72"/>
      <c r="CH139" s="72"/>
      <c r="CI139" s="72"/>
      <c r="CJ139" s="72"/>
      <c r="CK139" s="72"/>
      <c r="CL139" s="72"/>
      <c r="CM139" s="72"/>
      <c r="CN139" s="72"/>
      <c r="CO139" s="1"/>
      <c r="CP139" s="1"/>
      <c r="CQ139" s="1"/>
      <c r="CR139" s="1"/>
      <c r="DA139" s="66">
        <f>H139</f>
        <v>15.5</v>
      </c>
    </row>
    <row r="140" spans="1:105" ht="20.25" customHeight="1" x14ac:dyDescent="0.35">
      <c r="A140" s="65"/>
      <c r="B140" s="79" t="s">
        <v>634</v>
      </c>
      <c r="C140" s="79" t="s">
        <v>177</v>
      </c>
      <c r="D140" s="65" t="s">
        <v>250</v>
      </c>
      <c r="E140" s="65" t="s">
        <v>152</v>
      </c>
      <c r="F140" s="65" t="s">
        <v>151</v>
      </c>
      <c r="G140" s="65" t="s">
        <v>95</v>
      </c>
      <c r="H140" s="73">
        <v>55</v>
      </c>
      <c r="I140" s="3">
        <v>0</v>
      </c>
      <c r="J140" s="3">
        <v>0</v>
      </c>
      <c r="K140" s="3"/>
      <c r="L140" s="3"/>
      <c r="M140" s="3"/>
      <c r="N140" s="3"/>
      <c r="O140" s="3">
        <v>59</v>
      </c>
      <c r="P140" s="3"/>
      <c r="Q140" s="3"/>
      <c r="R140" s="3">
        <v>59</v>
      </c>
      <c r="S140" s="3"/>
      <c r="T140" s="3"/>
      <c r="U140" s="3"/>
      <c r="V140" s="87"/>
      <c r="W140" s="3">
        <v>60</v>
      </c>
      <c r="X140" s="3"/>
      <c r="Y140" s="3"/>
      <c r="Z140" s="3"/>
      <c r="AA140" s="3"/>
      <c r="AB140" s="3"/>
      <c r="AC140" s="77">
        <v>61</v>
      </c>
      <c r="AD140" s="3"/>
      <c r="AE140" s="3"/>
      <c r="AF140" s="3"/>
      <c r="AG140" s="3"/>
      <c r="AH140" s="3"/>
      <c r="AI140" s="3"/>
      <c r="AJ140" s="3"/>
      <c r="AK140" s="1"/>
      <c r="AL140" s="1"/>
      <c r="AM140" s="1"/>
      <c r="AN140" s="1"/>
      <c r="AO140" s="1"/>
      <c r="AP140" s="3">
        <v>0</v>
      </c>
      <c r="AQ140" s="3">
        <v>0</v>
      </c>
      <c r="AR140" s="3">
        <v>0</v>
      </c>
      <c r="AS140" s="3"/>
      <c r="AT140" s="3">
        <v>0</v>
      </c>
      <c r="AU140" s="3">
        <v>0</v>
      </c>
      <c r="AV140" s="3">
        <v>0</v>
      </c>
      <c r="AW140" s="3">
        <v>0</v>
      </c>
      <c r="AX140" s="3">
        <v>0</v>
      </c>
      <c r="AY140" s="3">
        <v>0</v>
      </c>
      <c r="AZ140" s="3">
        <v>0</v>
      </c>
      <c r="BA140" s="3">
        <v>0</v>
      </c>
      <c r="BB140" s="3"/>
      <c r="BC140" s="3">
        <v>0</v>
      </c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3"/>
      <c r="BY140" s="72"/>
      <c r="BZ140" s="72"/>
      <c r="CA140" s="72"/>
      <c r="CB140" s="72"/>
      <c r="CC140" s="72"/>
      <c r="CD140" s="72"/>
      <c r="CE140" s="72"/>
      <c r="CF140" s="72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DA140" s="139">
        <f>H140</f>
        <v>55</v>
      </c>
    </row>
    <row r="141" spans="1:105" ht="20.25" customHeight="1" x14ac:dyDescent="0.35">
      <c r="A141" s="65"/>
      <c r="B141" s="79" t="s">
        <v>635</v>
      </c>
      <c r="C141" s="79" t="s">
        <v>177</v>
      </c>
      <c r="D141" s="65" t="s">
        <v>250</v>
      </c>
      <c r="E141" s="65" t="s">
        <v>59</v>
      </c>
      <c r="F141" s="83" t="s">
        <v>486</v>
      </c>
      <c r="G141" s="65" t="s">
        <v>41</v>
      </c>
      <c r="H141" s="73">
        <v>8.44</v>
      </c>
      <c r="I141" s="3"/>
      <c r="J141" s="3"/>
      <c r="K141" s="3"/>
      <c r="L141" s="3">
        <v>11.5</v>
      </c>
      <c r="M141" s="3">
        <v>11.5</v>
      </c>
      <c r="N141" s="89">
        <v>11.5</v>
      </c>
      <c r="O141" s="3">
        <v>11.5</v>
      </c>
      <c r="P141" s="89">
        <v>11.5</v>
      </c>
      <c r="Q141" s="3">
        <v>10.5</v>
      </c>
      <c r="R141" s="3">
        <v>10.5</v>
      </c>
      <c r="S141" s="3">
        <v>10.5</v>
      </c>
      <c r="T141" s="3"/>
      <c r="U141" s="3">
        <v>11.5</v>
      </c>
      <c r="V141" s="90">
        <v>10.5</v>
      </c>
      <c r="W141" s="3"/>
      <c r="X141" s="3"/>
      <c r="Y141" s="3"/>
      <c r="Z141" s="3">
        <v>10.5</v>
      </c>
      <c r="AA141" s="3"/>
      <c r="AB141" s="3">
        <v>10.5</v>
      </c>
      <c r="AC141" s="3"/>
      <c r="AD141" s="3"/>
      <c r="AE141" s="3">
        <v>12</v>
      </c>
      <c r="AF141" s="3"/>
      <c r="AG141" s="3"/>
      <c r="AH141" s="3"/>
      <c r="AI141" s="3"/>
      <c r="AJ141" s="3">
        <v>12</v>
      </c>
      <c r="AK141" s="1"/>
      <c r="AL141" s="1"/>
      <c r="AM141" s="1"/>
      <c r="AN141" s="1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1"/>
      <c r="BE141" s="1"/>
      <c r="BF141" s="1"/>
      <c r="BG141" s="1"/>
      <c r="BH141" s="1"/>
      <c r="BI141" s="1"/>
      <c r="BJ141" s="1"/>
      <c r="BK141" s="11">
        <v>11</v>
      </c>
      <c r="BL141" s="1"/>
      <c r="BM141" s="1"/>
      <c r="BN141" s="1"/>
      <c r="BO141" s="1"/>
      <c r="BP141" s="1"/>
      <c r="BQ141" s="1"/>
      <c r="BR141" s="1"/>
      <c r="BS141" s="1"/>
      <c r="BT141" s="1"/>
      <c r="BU141" s="1">
        <v>10.8</v>
      </c>
      <c r="BV141" s="1"/>
      <c r="BW141" s="1"/>
      <c r="BX141" s="3"/>
      <c r="BY141" s="72"/>
      <c r="BZ141" s="72">
        <v>11.5</v>
      </c>
      <c r="CA141" s="72"/>
      <c r="CB141" s="72"/>
      <c r="CC141" s="72">
        <v>10.8</v>
      </c>
      <c r="CD141" s="72"/>
      <c r="CE141" s="72"/>
      <c r="CF141" s="72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DA141" s="139">
        <f t="shared" ref="DA141:DA142" si="11">H141</f>
        <v>8.44</v>
      </c>
    </row>
    <row r="142" spans="1:105" ht="20.25" customHeight="1" x14ac:dyDescent="0.35">
      <c r="A142" s="65" t="s">
        <v>77</v>
      </c>
      <c r="B142" s="79" t="s">
        <v>636</v>
      </c>
      <c r="C142" s="79" t="s">
        <v>177</v>
      </c>
      <c r="D142" s="88" t="s">
        <v>250</v>
      </c>
      <c r="E142" s="65" t="s">
        <v>59</v>
      </c>
      <c r="F142" s="83" t="s">
        <v>1122</v>
      </c>
      <c r="G142" s="65" t="s">
        <v>41</v>
      </c>
      <c r="H142" s="73">
        <v>6.43</v>
      </c>
      <c r="I142" s="89">
        <v>10</v>
      </c>
      <c r="J142" s="3">
        <v>9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90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1"/>
      <c r="AL142" s="1"/>
      <c r="AM142" s="1"/>
      <c r="AN142" s="1"/>
      <c r="AO142" s="3">
        <v>9</v>
      </c>
      <c r="AP142" s="3">
        <v>9</v>
      </c>
      <c r="AQ142" s="3">
        <v>9</v>
      </c>
      <c r="AR142" s="3">
        <v>9</v>
      </c>
      <c r="AS142" s="3"/>
      <c r="AT142" s="3">
        <v>9</v>
      </c>
      <c r="AU142" s="3">
        <v>9</v>
      </c>
      <c r="AV142" s="3">
        <v>9</v>
      </c>
      <c r="AW142" s="3">
        <v>9</v>
      </c>
      <c r="AX142" s="3">
        <v>9</v>
      </c>
      <c r="AY142" s="3">
        <v>9</v>
      </c>
      <c r="AZ142" s="3">
        <v>9</v>
      </c>
      <c r="BA142" s="3">
        <v>9</v>
      </c>
      <c r="BB142" s="3"/>
      <c r="BC142" s="3">
        <v>9</v>
      </c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3">
        <f>J142</f>
        <v>9</v>
      </c>
      <c r="BY142" s="72"/>
      <c r="BZ142" s="72"/>
      <c r="CA142" s="72"/>
      <c r="CB142" s="72"/>
      <c r="CC142" s="72"/>
      <c r="CD142" s="72"/>
      <c r="CE142" s="72"/>
      <c r="CF142" s="72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DA142" s="139">
        <f t="shared" si="11"/>
        <v>6.43</v>
      </c>
    </row>
    <row r="143" spans="1:105" ht="20.25" customHeight="1" x14ac:dyDescent="0.35">
      <c r="A143" s="65"/>
      <c r="B143" s="79" t="s">
        <v>637</v>
      </c>
      <c r="C143" s="79" t="s">
        <v>177</v>
      </c>
      <c r="D143" s="79"/>
      <c r="E143" s="5" t="s">
        <v>59</v>
      </c>
      <c r="F143" s="65" t="s">
        <v>444</v>
      </c>
      <c r="G143" s="65" t="s">
        <v>41</v>
      </c>
      <c r="H143" s="86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90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1"/>
      <c r="AL143" s="1"/>
      <c r="AM143" s="1"/>
      <c r="AN143" s="1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>
        <v>1.2</v>
      </c>
      <c r="BP143" s="1"/>
      <c r="BQ143" s="1"/>
      <c r="BR143" s="1"/>
      <c r="BS143" s="1"/>
      <c r="BT143" s="1"/>
      <c r="BU143" s="1"/>
      <c r="BV143" s="1"/>
      <c r="BW143" s="1"/>
      <c r="BX143" s="3"/>
      <c r="BY143" s="72"/>
      <c r="BZ143" s="72"/>
      <c r="CA143" s="72"/>
      <c r="CB143" s="72"/>
      <c r="CC143" s="72"/>
      <c r="CD143" s="72"/>
      <c r="CE143" s="72"/>
      <c r="CF143" s="72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DA143" s="66"/>
    </row>
    <row r="144" spans="1:105" ht="20.25" customHeight="1" x14ac:dyDescent="0.35">
      <c r="A144" s="65" t="s">
        <v>67</v>
      </c>
      <c r="B144" s="79" t="s">
        <v>638</v>
      </c>
      <c r="C144" s="79" t="s">
        <v>470</v>
      </c>
      <c r="D144" s="88" t="s">
        <v>380</v>
      </c>
      <c r="E144" s="65" t="s">
        <v>416</v>
      </c>
      <c r="F144" s="65" t="s">
        <v>66</v>
      </c>
      <c r="G144" s="65" t="s">
        <v>39</v>
      </c>
      <c r="H144" s="73">
        <v>4</v>
      </c>
      <c r="I144" s="89">
        <v>4.5</v>
      </c>
      <c r="J144" s="3">
        <f>18/4</f>
        <v>4.5</v>
      </c>
      <c r="K144" s="3"/>
      <c r="L144" s="3">
        <v>5</v>
      </c>
      <c r="M144" s="3">
        <v>4.5</v>
      </c>
      <c r="N144" s="89">
        <v>5</v>
      </c>
      <c r="O144" s="3">
        <v>4.5</v>
      </c>
      <c r="P144" s="89">
        <v>5</v>
      </c>
      <c r="Q144" s="3">
        <v>5</v>
      </c>
      <c r="R144" s="3">
        <v>4.5</v>
      </c>
      <c r="S144" s="3">
        <v>6</v>
      </c>
      <c r="T144" s="3"/>
      <c r="U144" s="3"/>
      <c r="V144" s="87">
        <v>4.5</v>
      </c>
      <c r="W144" s="3"/>
      <c r="X144" s="3"/>
      <c r="Y144" s="3"/>
      <c r="Z144" s="3"/>
      <c r="AA144" s="3"/>
      <c r="AB144" s="3">
        <v>5</v>
      </c>
      <c r="AC144" s="3">
        <v>5</v>
      </c>
      <c r="AD144" s="3"/>
      <c r="AE144" s="3"/>
      <c r="AF144" s="3">
        <v>5</v>
      </c>
      <c r="AG144" s="3"/>
      <c r="AH144" s="3"/>
      <c r="AI144" s="3"/>
      <c r="AJ144" s="3">
        <v>5</v>
      </c>
      <c r="AK144" s="1"/>
      <c r="AL144" s="1"/>
      <c r="AM144" s="1">
        <v>5</v>
      </c>
      <c r="AN144" s="1"/>
      <c r="AO144" s="1"/>
      <c r="AP144" s="3">
        <f>18/4</f>
        <v>4.5</v>
      </c>
      <c r="AQ144" s="3">
        <f>18/4</f>
        <v>4.5</v>
      </c>
      <c r="AR144" s="3">
        <f>18/4</f>
        <v>4.5</v>
      </c>
      <c r="AS144" s="3"/>
      <c r="AT144" s="3">
        <f t="shared" ref="AT144:BA144" si="12">18/4</f>
        <v>4.5</v>
      </c>
      <c r="AU144" s="3">
        <f t="shared" si="12"/>
        <v>4.5</v>
      </c>
      <c r="AV144" s="3">
        <f t="shared" si="12"/>
        <v>4.5</v>
      </c>
      <c r="AW144" s="3">
        <f t="shared" si="12"/>
        <v>4.5</v>
      </c>
      <c r="AX144" s="3">
        <f t="shared" si="12"/>
        <v>4.5</v>
      </c>
      <c r="AY144" s="3">
        <f t="shared" si="12"/>
        <v>4.5</v>
      </c>
      <c r="AZ144" s="3">
        <f t="shared" si="12"/>
        <v>4.5</v>
      </c>
      <c r="BA144" s="3">
        <f t="shared" si="12"/>
        <v>4.5</v>
      </c>
      <c r="BB144" s="3"/>
      <c r="BC144" s="3">
        <f>18/4</f>
        <v>4.5</v>
      </c>
      <c r="BD144" s="1"/>
      <c r="BE144" s="1"/>
      <c r="BF144" s="1"/>
      <c r="BG144" s="1"/>
      <c r="BH144" s="1"/>
      <c r="BI144" s="1"/>
      <c r="BJ144" s="1"/>
      <c r="BK144" s="11">
        <v>5.5</v>
      </c>
      <c r="BL144" s="1">
        <v>5</v>
      </c>
      <c r="BM144" s="1"/>
      <c r="BN144" s="1"/>
      <c r="BO144" s="1"/>
      <c r="BP144" s="1"/>
      <c r="BQ144" s="1"/>
      <c r="BR144" s="1"/>
      <c r="BS144" s="1"/>
      <c r="BT144" s="1"/>
      <c r="BU144" s="1">
        <v>5</v>
      </c>
      <c r="BV144" s="1"/>
      <c r="BW144" s="1"/>
      <c r="BX144" s="3">
        <f>J144</f>
        <v>4.5</v>
      </c>
      <c r="BY144" s="72">
        <v>5</v>
      </c>
      <c r="BZ144" s="72"/>
      <c r="CA144" s="72"/>
      <c r="CB144" s="72"/>
      <c r="CC144" s="72"/>
      <c r="CD144" s="72"/>
      <c r="CE144" s="72"/>
      <c r="CF144" s="72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DA144" s="139">
        <f t="shared" ref="DA144:DA149" si="13">H144</f>
        <v>4</v>
      </c>
    </row>
    <row r="145" spans="1:105" ht="20.25" customHeight="1" x14ac:dyDescent="0.35">
      <c r="A145" s="65" t="s">
        <v>294</v>
      </c>
      <c r="B145" s="79" t="s">
        <v>639</v>
      </c>
      <c r="C145" s="79" t="s">
        <v>183</v>
      </c>
      <c r="D145" s="88" t="s">
        <v>52</v>
      </c>
      <c r="E145" s="65" t="s">
        <v>54</v>
      </c>
      <c r="F145" s="65" t="s">
        <v>49</v>
      </c>
      <c r="G145" s="65" t="s">
        <v>41</v>
      </c>
      <c r="H145" s="86">
        <f>6.5/2</f>
        <v>3.25</v>
      </c>
      <c r="I145" s="89">
        <v>6</v>
      </c>
      <c r="J145" s="3">
        <v>6</v>
      </c>
      <c r="K145" s="3"/>
      <c r="L145" s="3"/>
      <c r="M145" s="3"/>
      <c r="N145" s="3"/>
      <c r="O145" s="3">
        <v>6</v>
      </c>
      <c r="P145" s="89">
        <v>6</v>
      </c>
      <c r="Q145" s="3">
        <v>6</v>
      </c>
      <c r="R145" s="3">
        <v>6</v>
      </c>
      <c r="S145" s="3"/>
      <c r="T145" s="3"/>
      <c r="U145" s="3"/>
      <c r="V145" s="87"/>
      <c r="W145" s="3"/>
      <c r="X145" s="3"/>
      <c r="Y145" s="3"/>
      <c r="Z145" s="3"/>
      <c r="AA145" s="3">
        <v>7</v>
      </c>
      <c r="AB145" s="3"/>
      <c r="AC145" s="3">
        <v>6</v>
      </c>
      <c r="AD145" s="3"/>
      <c r="AE145" s="3"/>
      <c r="AF145" s="3"/>
      <c r="AG145" s="3"/>
      <c r="AH145" s="3"/>
      <c r="AI145" s="3"/>
      <c r="AJ145" s="3"/>
      <c r="AK145" s="1"/>
      <c r="AL145" s="1"/>
      <c r="AM145" s="1"/>
      <c r="AN145" s="1"/>
      <c r="AO145" s="1"/>
      <c r="AP145" s="3">
        <v>6</v>
      </c>
      <c r="AQ145" s="3">
        <v>6</v>
      </c>
      <c r="AR145" s="3">
        <v>6</v>
      </c>
      <c r="AS145" s="3"/>
      <c r="AT145" s="3">
        <v>6</v>
      </c>
      <c r="AU145" s="3">
        <v>6</v>
      </c>
      <c r="AV145" s="3">
        <v>6</v>
      </c>
      <c r="AW145" s="3">
        <v>6</v>
      </c>
      <c r="AX145" s="3">
        <v>6</v>
      </c>
      <c r="AY145" s="3">
        <v>6</v>
      </c>
      <c r="AZ145" s="3">
        <v>6</v>
      </c>
      <c r="BA145" s="3">
        <v>6</v>
      </c>
      <c r="BB145" s="3"/>
      <c r="BC145" s="3">
        <v>6</v>
      </c>
      <c r="BD145" s="1"/>
      <c r="BE145" s="1"/>
      <c r="BF145" s="1"/>
      <c r="BG145" s="1"/>
      <c r="BH145" s="1"/>
      <c r="BI145" s="1"/>
      <c r="BJ145" s="1"/>
      <c r="BK145" s="11">
        <v>7</v>
      </c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3"/>
      <c r="BY145" s="72"/>
      <c r="BZ145" s="72">
        <v>6</v>
      </c>
      <c r="CA145" s="72"/>
      <c r="CB145" s="72"/>
      <c r="CC145" s="72"/>
      <c r="CD145" s="72"/>
      <c r="CE145" s="72"/>
      <c r="CF145" s="72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DA145" s="66">
        <f t="shared" si="13"/>
        <v>3.25</v>
      </c>
    </row>
    <row r="146" spans="1:105" ht="20.25" customHeight="1" x14ac:dyDescent="0.35">
      <c r="A146" s="65">
        <v>4000002756</v>
      </c>
      <c r="B146" s="79" t="s">
        <v>1086</v>
      </c>
      <c r="C146" s="79" t="s">
        <v>183</v>
      </c>
      <c r="D146" s="88" t="s">
        <v>52</v>
      </c>
      <c r="E146" s="65" t="s">
        <v>54</v>
      </c>
      <c r="F146" s="65" t="s">
        <v>33</v>
      </c>
      <c r="G146" s="65" t="s">
        <v>41</v>
      </c>
      <c r="H146" s="86">
        <f>H145*2</f>
        <v>6.5</v>
      </c>
      <c r="I146" s="89"/>
      <c r="J146" s="3"/>
      <c r="K146" s="3">
        <v>13</v>
      </c>
      <c r="L146" s="3"/>
      <c r="M146" s="3"/>
      <c r="N146" s="3"/>
      <c r="O146" s="3"/>
      <c r="P146" s="89"/>
      <c r="Q146" s="3"/>
      <c r="R146" s="3"/>
      <c r="S146" s="3"/>
      <c r="T146" s="3"/>
      <c r="U146" s="3"/>
      <c r="V146" s="87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1"/>
      <c r="AL146" s="1"/>
      <c r="AM146" s="1"/>
      <c r="AN146" s="1"/>
      <c r="AO146" s="1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3"/>
      <c r="BY146" s="72"/>
      <c r="BZ146" s="72"/>
      <c r="CA146" s="72"/>
      <c r="CB146" s="72"/>
      <c r="CC146" s="72"/>
      <c r="CD146" s="72"/>
      <c r="CE146" s="72"/>
      <c r="CF146" s="72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DA146" s="66">
        <f t="shared" si="13"/>
        <v>6.5</v>
      </c>
    </row>
    <row r="147" spans="1:105" ht="20.25" customHeight="1" x14ac:dyDescent="0.35">
      <c r="A147" s="65"/>
      <c r="B147" s="79" t="s">
        <v>640</v>
      </c>
      <c r="C147" s="79" t="s">
        <v>238</v>
      </c>
      <c r="D147" s="88" t="s">
        <v>461</v>
      </c>
      <c r="E147" s="65" t="s">
        <v>35</v>
      </c>
      <c r="F147" s="65" t="s">
        <v>1141</v>
      </c>
      <c r="G147" s="65" t="s">
        <v>488</v>
      </c>
      <c r="H147" s="73">
        <f>(38+33)/2</f>
        <v>35.5</v>
      </c>
      <c r="I147" s="89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87"/>
      <c r="W147" s="3"/>
      <c r="X147" s="3"/>
      <c r="Y147" s="3"/>
      <c r="Z147" s="3"/>
      <c r="AA147" s="3"/>
      <c r="AB147" s="3"/>
      <c r="AC147" s="3"/>
      <c r="AD147" s="3"/>
      <c r="AE147" s="3">
        <v>50</v>
      </c>
      <c r="AF147" s="3"/>
      <c r="AG147" s="3"/>
      <c r="AH147" s="3"/>
      <c r="AI147" s="3"/>
      <c r="AJ147" s="3"/>
      <c r="AK147" s="1"/>
      <c r="AL147" s="1"/>
      <c r="AM147" s="1"/>
      <c r="AN147" s="1"/>
      <c r="AO147" s="1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3"/>
      <c r="BY147" s="72"/>
      <c r="BZ147" s="72"/>
      <c r="CA147" s="72"/>
      <c r="CB147" s="72"/>
      <c r="CC147" s="72"/>
      <c r="CD147" s="72"/>
      <c r="CE147" s="72"/>
      <c r="CF147" s="72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DA147" s="139">
        <f t="shared" si="13"/>
        <v>35.5</v>
      </c>
    </row>
    <row r="148" spans="1:105" ht="20.25" customHeight="1" x14ac:dyDescent="0.35">
      <c r="A148" s="65" t="s">
        <v>104</v>
      </c>
      <c r="B148" s="79" t="s">
        <v>641</v>
      </c>
      <c r="C148" s="79" t="s">
        <v>238</v>
      </c>
      <c r="D148" s="88" t="s">
        <v>461</v>
      </c>
      <c r="E148" s="65" t="s">
        <v>35</v>
      </c>
      <c r="F148" s="65" t="s">
        <v>642</v>
      </c>
      <c r="G148" s="65" t="s">
        <v>39</v>
      </c>
      <c r="H148" s="73">
        <f>H147/12</f>
        <v>2.9583333333333335</v>
      </c>
      <c r="I148" s="89">
        <v>5</v>
      </c>
      <c r="J148" s="3">
        <v>5</v>
      </c>
      <c r="K148" s="3"/>
      <c r="L148" s="3"/>
      <c r="M148" s="3"/>
      <c r="N148" s="89">
        <f>15/3</f>
        <v>5</v>
      </c>
      <c r="O148" s="3"/>
      <c r="P148" s="3"/>
      <c r="Q148" s="3"/>
      <c r="R148" s="3"/>
      <c r="S148" s="3"/>
      <c r="T148" s="3"/>
      <c r="U148" s="3"/>
      <c r="V148" s="87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>
        <v>5</v>
      </c>
      <c r="AK148" s="1"/>
      <c r="AL148" s="1"/>
      <c r="AM148" s="1"/>
      <c r="AN148" s="1"/>
      <c r="AO148" s="1"/>
      <c r="AP148" s="3"/>
      <c r="AQ148" s="3">
        <v>5</v>
      </c>
      <c r="AR148" s="3">
        <v>5</v>
      </c>
      <c r="AS148" s="3"/>
      <c r="AT148" s="3">
        <v>5</v>
      </c>
      <c r="AU148" s="3"/>
      <c r="AV148" s="3"/>
      <c r="AW148" s="3">
        <v>5</v>
      </c>
      <c r="AX148" s="3">
        <v>5</v>
      </c>
      <c r="AY148" s="3">
        <v>5</v>
      </c>
      <c r="AZ148" s="3"/>
      <c r="BA148" s="3">
        <v>5</v>
      </c>
      <c r="BB148" s="3"/>
      <c r="BC148" s="3">
        <v>5</v>
      </c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>
        <v>5</v>
      </c>
      <c r="BP148" s="1"/>
      <c r="BQ148" s="1"/>
      <c r="BR148" s="1"/>
      <c r="BS148" s="1"/>
      <c r="BT148" s="1"/>
      <c r="BU148" s="1">
        <v>5</v>
      </c>
      <c r="BV148" s="1"/>
      <c r="BW148" s="1"/>
      <c r="BX148" s="3"/>
      <c r="BY148" s="72"/>
      <c r="BZ148" s="72"/>
      <c r="CA148" s="72"/>
      <c r="CB148" s="72"/>
      <c r="CC148" s="72"/>
      <c r="CD148" s="72"/>
      <c r="CE148" s="72"/>
      <c r="CF148" s="72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DA148" s="139">
        <f t="shared" si="13"/>
        <v>2.9583333333333335</v>
      </c>
    </row>
    <row r="149" spans="1:105" ht="20.25" customHeight="1" x14ac:dyDescent="0.35">
      <c r="A149" s="5">
        <v>4000005589</v>
      </c>
      <c r="B149" s="79" t="s">
        <v>643</v>
      </c>
      <c r="C149" s="79" t="s">
        <v>184</v>
      </c>
      <c r="D149" s="65" t="s">
        <v>461</v>
      </c>
      <c r="E149" s="65" t="s">
        <v>35</v>
      </c>
      <c r="F149" s="5" t="s">
        <v>121</v>
      </c>
      <c r="G149" s="65" t="s">
        <v>41</v>
      </c>
      <c r="H149" s="140">
        <f>2.8*25</f>
        <v>70</v>
      </c>
      <c r="I149" s="3"/>
      <c r="J149" s="3"/>
      <c r="K149" s="3">
        <v>90</v>
      </c>
      <c r="L149" s="3"/>
      <c r="M149" s="3"/>
      <c r="N149" s="3"/>
      <c r="O149" s="3">
        <v>87.5</v>
      </c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1"/>
      <c r="AL149" s="1"/>
      <c r="AM149" s="1"/>
      <c r="AN149" s="1"/>
      <c r="AO149" s="1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1"/>
      <c r="BE149" s="1">
        <v>92</v>
      </c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3"/>
      <c r="BY149" s="72"/>
      <c r="BZ149" s="72"/>
      <c r="CA149" s="72"/>
      <c r="CB149" s="72"/>
      <c r="CC149" s="72"/>
      <c r="CD149" s="72"/>
      <c r="CE149" s="72"/>
      <c r="CF149" s="72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DA149" s="138">
        <f t="shared" si="13"/>
        <v>70</v>
      </c>
    </row>
    <row r="150" spans="1:105" ht="20.25" customHeight="1" x14ac:dyDescent="0.35">
      <c r="A150" s="65" t="s">
        <v>85</v>
      </c>
      <c r="B150" s="79" t="s">
        <v>644</v>
      </c>
      <c r="C150" s="79" t="s">
        <v>298</v>
      </c>
      <c r="D150" s="88" t="s">
        <v>461</v>
      </c>
      <c r="E150" s="65" t="s">
        <v>35</v>
      </c>
      <c r="F150" s="65" t="s">
        <v>53</v>
      </c>
      <c r="G150" s="65" t="s">
        <v>41</v>
      </c>
      <c r="H150" s="140">
        <f>H149/25*5</f>
        <v>14</v>
      </c>
      <c r="I150" s="89">
        <v>20</v>
      </c>
      <c r="J150" s="3">
        <v>20.5</v>
      </c>
      <c r="K150" s="3"/>
      <c r="L150" s="3"/>
      <c r="M150" s="3"/>
      <c r="N150" s="89">
        <v>20.5</v>
      </c>
      <c r="O150" s="3">
        <v>20.5</v>
      </c>
      <c r="P150" s="89">
        <v>20</v>
      </c>
      <c r="Q150" s="3">
        <v>20.8</v>
      </c>
      <c r="R150" s="3">
        <v>19</v>
      </c>
      <c r="S150" s="3">
        <v>21</v>
      </c>
      <c r="T150" s="3">
        <v>22</v>
      </c>
      <c r="U150" s="3"/>
      <c r="V150" s="87">
        <v>20</v>
      </c>
      <c r="W150" s="3"/>
      <c r="X150" s="3"/>
      <c r="Y150" s="3"/>
      <c r="Z150" s="3"/>
      <c r="AA150" s="3"/>
      <c r="AB150" s="77">
        <v>20</v>
      </c>
      <c r="AC150" s="3"/>
      <c r="AD150" s="3"/>
      <c r="AE150" s="77"/>
      <c r="AF150" s="77">
        <v>21</v>
      </c>
      <c r="AG150" s="77">
        <v>21</v>
      </c>
      <c r="AH150" s="3"/>
      <c r="AI150" s="3"/>
      <c r="AJ150" s="3"/>
      <c r="AK150" s="1"/>
      <c r="AL150" s="1"/>
      <c r="AM150" s="1">
        <v>19</v>
      </c>
      <c r="AN150" s="1"/>
      <c r="AO150" s="1"/>
      <c r="AP150" s="3">
        <v>20.5</v>
      </c>
      <c r="AQ150" s="3">
        <v>20.5</v>
      </c>
      <c r="AR150" s="3"/>
      <c r="AS150" s="3"/>
      <c r="AT150" s="3">
        <v>20.5</v>
      </c>
      <c r="AU150" s="3">
        <v>20.5</v>
      </c>
      <c r="AV150" s="3">
        <v>20.5</v>
      </c>
      <c r="AW150" s="3">
        <v>20.5</v>
      </c>
      <c r="AX150" s="3">
        <v>20.5</v>
      </c>
      <c r="AY150" s="3">
        <v>20.5</v>
      </c>
      <c r="AZ150" s="3">
        <v>20.5</v>
      </c>
      <c r="BA150" s="3">
        <v>20.5</v>
      </c>
      <c r="BB150" s="3"/>
      <c r="BC150" s="3">
        <v>20.5</v>
      </c>
      <c r="BD150" s="72">
        <v>21</v>
      </c>
      <c r="BE150" s="1">
        <v>20</v>
      </c>
      <c r="BF150" s="1"/>
      <c r="BG150" s="1">
        <v>21</v>
      </c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3"/>
      <c r="BY150" s="72"/>
      <c r="BZ150" s="72">
        <v>20.5</v>
      </c>
      <c r="CA150" s="72"/>
      <c r="CB150" s="72"/>
      <c r="CC150" s="72"/>
      <c r="CD150" s="72"/>
      <c r="CE150" s="72"/>
      <c r="CF150" s="72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DA150" s="138">
        <f t="shared" ref="DA150:DA154" si="14">H150</f>
        <v>14</v>
      </c>
    </row>
    <row r="151" spans="1:105" ht="20.25" customHeight="1" x14ac:dyDescent="0.35">
      <c r="A151" s="5"/>
      <c r="B151" s="79" t="s">
        <v>645</v>
      </c>
      <c r="C151" s="79" t="s">
        <v>184</v>
      </c>
      <c r="D151" s="79"/>
      <c r="E151" s="5" t="s">
        <v>35</v>
      </c>
      <c r="F151" s="65" t="s">
        <v>256</v>
      </c>
      <c r="G151" s="65" t="s">
        <v>41</v>
      </c>
      <c r="H151" s="140">
        <f>H149/25*2</f>
        <v>5.6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87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1"/>
      <c r="AL151" s="1"/>
      <c r="AM151" s="1"/>
      <c r="AN151" s="1"/>
      <c r="AO151" s="1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3"/>
      <c r="BY151" s="72"/>
      <c r="BZ151" s="72"/>
      <c r="CA151" s="72"/>
      <c r="CB151" s="72"/>
      <c r="CC151" s="72"/>
      <c r="CD151" s="72"/>
      <c r="CE151" s="72"/>
      <c r="CF151" s="72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DA151" s="138">
        <f t="shared" si="14"/>
        <v>5.6</v>
      </c>
    </row>
    <row r="152" spans="1:105" ht="20.25" customHeight="1" x14ac:dyDescent="0.35">
      <c r="A152" s="5"/>
      <c r="B152" s="79" t="s">
        <v>646</v>
      </c>
      <c r="C152" s="79" t="s">
        <v>184</v>
      </c>
      <c r="D152" s="79"/>
      <c r="E152" s="5" t="s">
        <v>35</v>
      </c>
      <c r="F152" s="65" t="s">
        <v>259</v>
      </c>
      <c r="G152" s="65" t="s">
        <v>41</v>
      </c>
      <c r="H152" s="140">
        <f>H149/25*3</f>
        <v>8.3999999999999986</v>
      </c>
      <c r="I152" s="3">
        <v>12.5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87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1"/>
      <c r="AL152" s="1"/>
      <c r="AM152" s="1"/>
      <c r="AN152" s="1"/>
      <c r="AO152" s="1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3"/>
      <c r="BY152" s="72"/>
      <c r="BZ152" s="72"/>
      <c r="CA152" s="72"/>
      <c r="CB152" s="72"/>
      <c r="CC152" s="72"/>
      <c r="CD152" s="72"/>
      <c r="CE152" s="72"/>
      <c r="CF152" s="72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DA152" s="138">
        <f t="shared" si="14"/>
        <v>8.3999999999999986</v>
      </c>
    </row>
    <row r="153" spans="1:105" ht="20.25" customHeight="1" x14ac:dyDescent="0.35">
      <c r="A153" s="5"/>
      <c r="B153" s="79" t="s">
        <v>647</v>
      </c>
      <c r="C153" s="79" t="s">
        <v>184</v>
      </c>
      <c r="D153" s="79"/>
      <c r="E153" s="5" t="s">
        <v>35</v>
      </c>
      <c r="F153" s="65" t="s">
        <v>73</v>
      </c>
      <c r="G153" s="65" t="s">
        <v>41</v>
      </c>
      <c r="H153" s="140">
        <f>H149/25</f>
        <v>2.8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87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1"/>
      <c r="AL153" s="1"/>
      <c r="AM153" s="1"/>
      <c r="AN153" s="1"/>
      <c r="AO153" s="1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3"/>
      <c r="BY153" s="72"/>
      <c r="BZ153" s="72"/>
      <c r="CA153" s="72"/>
      <c r="CB153" s="72"/>
      <c r="CC153" s="72"/>
      <c r="CD153" s="72"/>
      <c r="CE153" s="72"/>
      <c r="CF153" s="72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DA153" s="138">
        <f t="shared" si="14"/>
        <v>2.8</v>
      </c>
    </row>
    <row r="154" spans="1:105" ht="20.25" customHeight="1" x14ac:dyDescent="0.35">
      <c r="A154" s="5"/>
      <c r="B154" s="101" t="s">
        <v>1069</v>
      </c>
      <c r="C154" s="79" t="s">
        <v>184</v>
      </c>
      <c r="D154" s="65" t="s">
        <v>461</v>
      </c>
      <c r="E154" s="65" t="s">
        <v>35</v>
      </c>
      <c r="F154" s="55" t="s">
        <v>1070</v>
      </c>
      <c r="G154" s="55" t="s">
        <v>41</v>
      </c>
      <c r="H154" s="140">
        <f>H153*2.5</f>
        <v>7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87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1"/>
      <c r="AL154" s="1"/>
      <c r="AM154" s="1"/>
      <c r="AN154" s="1"/>
      <c r="AO154" s="1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3"/>
      <c r="BY154" s="72"/>
      <c r="BZ154" s="72"/>
      <c r="CA154" s="72"/>
      <c r="CB154" s="72"/>
      <c r="CC154" s="72"/>
      <c r="CD154" s="72"/>
      <c r="CE154" s="72"/>
      <c r="CF154" s="72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DA154" s="138">
        <f t="shared" si="14"/>
        <v>7</v>
      </c>
    </row>
    <row r="155" spans="1:105" ht="20.25" customHeight="1" x14ac:dyDescent="0.35">
      <c r="A155" s="5"/>
      <c r="B155" s="79" t="s">
        <v>648</v>
      </c>
      <c r="C155" s="79" t="s">
        <v>254</v>
      </c>
      <c r="D155" s="88" t="s">
        <v>461</v>
      </c>
      <c r="E155" s="65" t="s">
        <v>35</v>
      </c>
      <c r="F155" s="65" t="s">
        <v>327</v>
      </c>
      <c r="G155" s="65" t="s">
        <v>41</v>
      </c>
      <c r="H155" s="140">
        <f>2.8*25</f>
        <v>70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87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1"/>
      <c r="AL155" s="1"/>
      <c r="AM155" s="1"/>
      <c r="AN155" s="1"/>
      <c r="AO155" s="1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3"/>
      <c r="BY155" s="72"/>
      <c r="BZ155" s="72"/>
      <c r="CA155" s="72"/>
      <c r="CB155" s="72"/>
      <c r="CC155" s="72"/>
      <c r="CD155" s="72"/>
      <c r="CE155" s="72"/>
      <c r="CF155" s="72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DA155" s="138">
        <f>H155</f>
        <v>70</v>
      </c>
    </row>
    <row r="156" spans="1:105" ht="20.25" customHeight="1" x14ac:dyDescent="0.35">
      <c r="A156" s="65"/>
      <c r="B156" s="79" t="s">
        <v>649</v>
      </c>
      <c r="C156" s="79" t="s">
        <v>254</v>
      </c>
      <c r="D156" s="88" t="s">
        <v>461</v>
      </c>
      <c r="E156" s="65" t="s">
        <v>35</v>
      </c>
      <c r="F156" s="65" t="s">
        <v>53</v>
      </c>
      <c r="G156" s="65" t="s">
        <v>41</v>
      </c>
      <c r="H156" s="140">
        <f>H155/25*5</f>
        <v>14</v>
      </c>
      <c r="I156" s="89"/>
      <c r="J156" s="3">
        <v>20.5</v>
      </c>
      <c r="K156" s="3"/>
      <c r="L156" s="3">
        <v>20</v>
      </c>
      <c r="M156" s="3"/>
      <c r="N156" s="3"/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/>
      <c r="U156" s="3"/>
      <c r="V156" s="87">
        <v>20</v>
      </c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1"/>
      <c r="AL156" s="1"/>
      <c r="AM156" s="1"/>
      <c r="AN156" s="1"/>
      <c r="AO156" s="3">
        <v>20.5</v>
      </c>
      <c r="AP156" s="3">
        <v>20.5</v>
      </c>
      <c r="AQ156" s="3"/>
      <c r="AR156" s="3">
        <v>20.5</v>
      </c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>
        <v>20</v>
      </c>
      <c r="BV156" s="1"/>
      <c r="BW156" s="1"/>
      <c r="BX156" s="3">
        <v>20.5</v>
      </c>
      <c r="BY156" s="72"/>
      <c r="BZ156" s="72"/>
      <c r="CA156" s="72"/>
      <c r="CB156" s="72">
        <v>20</v>
      </c>
      <c r="CC156" s="72"/>
      <c r="CD156" s="72"/>
      <c r="CE156" s="72"/>
      <c r="CF156" s="72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DA156" s="138">
        <f t="shared" ref="DA156:DA158" si="15">H156</f>
        <v>14</v>
      </c>
    </row>
    <row r="157" spans="1:105" ht="20.25" customHeight="1" x14ac:dyDescent="0.35">
      <c r="A157" s="5"/>
      <c r="B157" s="79" t="s">
        <v>650</v>
      </c>
      <c r="C157" s="79" t="s">
        <v>254</v>
      </c>
      <c r="D157" s="65"/>
      <c r="E157" s="5" t="s">
        <v>35</v>
      </c>
      <c r="F157" s="65" t="s">
        <v>433</v>
      </c>
      <c r="G157" s="65" t="s">
        <v>41</v>
      </c>
      <c r="H157" s="140">
        <f>H155/25*2.5</f>
        <v>7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7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1"/>
      <c r="AL157" s="1"/>
      <c r="AM157" s="1"/>
      <c r="AN157" s="1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3"/>
      <c r="BY157" s="72"/>
      <c r="BZ157" s="72"/>
      <c r="CA157" s="72"/>
      <c r="CB157" s="72"/>
      <c r="CC157" s="72"/>
      <c r="CD157" s="72"/>
      <c r="CE157" s="72"/>
      <c r="CF157" s="72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DA157" s="138">
        <f t="shared" si="15"/>
        <v>7</v>
      </c>
    </row>
    <row r="158" spans="1:105" ht="20.25" customHeight="1" x14ac:dyDescent="0.35">
      <c r="A158" s="5"/>
      <c r="B158" s="79" t="s">
        <v>992</v>
      </c>
      <c r="C158" s="79" t="s">
        <v>254</v>
      </c>
      <c r="D158" s="65"/>
      <c r="E158" s="5" t="s">
        <v>35</v>
      </c>
      <c r="F158" s="65" t="s">
        <v>73</v>
      </c>
      <c r="G158" s="65" t="s">
        <v>41</v>
      </c>
      <c r="H158" s="140">
        <f>H155/25</f>
        <v>2.8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87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1"/>
      <c r="AL158" s="1"/>
      <c r="AM158" s="1"/>
      <c r="AN158" s="1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3"/>
      <c r="BY158" s="72"/>
      <c r="BZ158" s="72"/>
      <c r="CA158" s="72"/>
      <c r="CB158" s="72"/>
      <c r="CC158" s="72"/>
      <c r="CD158" s="72"/>
      <c r="CE158" s="72"/>
      <c r="CF158" s="72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DA158" s="138">
        <f t="shared" si="15"/>
        <v>2.8</v>
      </c>
    </row>
    <row r="159" spans="1:105" ht="20.25" customHeight="1" x14ac:dyDescent="0.35">
      <c r="A159" s="5"/>
      <c r="B159" s="79" t="s">
        <v>651</v>
      </c>
      <c r="C159" s="79" t="s">
        <v>286</v>
      </c>
      <c r="D159" s="91"/>
      <c r="E159" s="5" t="s">
        <v>35</v>
      </c>
      <c r="F159" s="65" t="s">
        <v>327</v>
      </c>
      <c r="G159" s="65" t="s">
        <v>41</v>
      </c>
      <c r="H159" s="86">
        <v>65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87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1"/>
      <c r="AL159" s="1"/>
      <c r="AM159" s="1"/>
      <c r="AN159" s="1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3"/>
      <c r="BY159" s="72"/>
      <c r="BZ159" s="72"/>
      <c r="CA159" s="72"/>
      <c r="CB159" s="72"/>
      <c r="CC159" s="72"/>
      <c r="CD159" s="72"/>
      <c r="CE159" s="72"/>
      <c r="CF159" s="72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DA159" s="66">
        <f>H159</f>
        <v>65</v>
      </c>
    </row>
    <row r="160" spans="1:105" ht="20.25" customHeight="1" x14ac:dyDescent="0.35">
      <c r="A160" s="5"/>
      <c r="B160" s="79" t="s">
        <v>652</v>
      </c>
      <c r="C160" s="79" t="s">
        <v>286</v>
      </c>
      <c r="D160" s="91"/>
      <c r="E160" s="5" t="s">
        <v>35</v>
      </c>
      <c r="F160" s="65" t="s">
        <v>53</v>
      </c>
      <c r="G160" s="65" t="s">
        <v>41</v>
      </c>
      <c r="H160" s="86">
        <f>H159/25*5</f>
        <v>13</v>
      </c>
      <c r="I160" s="3">
        <v>0</v>
      </c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1"/>
      <c r="AL160" s="1"/>
      <c r="AM160" s="1"/>
      <c r="AN160" s="1"/>
      <c r="AO160" s="1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3"/>
      <c r="BY160" s="72"/>
      <c r="BZ160" s="72"/>
      <c r="CA160" s="72"/>
      <c r="CB160" s="72"/>
      <c r="CC160" s="72"/>
      <c r="CD160" s="72"/>
      <c r="CE160" s="72"/>
      <c r="CF160" s="72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DA160" s="66">
        <f>H160</f>
        <v>13</v>
      </c>
    </row>
    <row r="161" spans="1:105" ht="20.25" customHeight="1" x14ac:dyDescent="0.35">
      <c r="A161" s="5"/>
      <c r="B161" s="79" t="s">
        <v>1071</v>
      </c>
      <c r="C161" s="79"/>
      <c r="D161" s="91"/>
      <c r="E161" s="5"/>
      <c r="F161" s="65"/>
      <c r="G161" s="65"/>
      <c r="H161" s="145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1"/>
      <c r="AL161" s="1"/>
      <c r="AM161" s="1"/>
      <c r="AN161" s="1"/>
      <c r="AO161" s="1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3"/>
      <c r="BY161" s="72"/>
      <c r="BZ161" s="72"/>
      <c r="CA161" s="72"/>
      <c r="CB161" s="72"/>
      <c r="CC161" s="72"/>
      <c r="CD161" s="72"/>
      <c r="CE161" s="72"/>
      <c r="CF161" s="72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</row>
    <row r="162" spans="1:105" ht="20.25" customHeight="1" x14ac:dyDescent="0.35">
      <c r="A162" s="5"/>
      <c r="B162" s="79" t="s">
        <v>653</v>
      </c>
      <c r="C162" s="79" t="s">
        <v>185</v>
      </c>
      <c r="D162" s="91" t="s">
        <v>461</v>
      </c>
      <c r="E162" s="5" t="s">
        <v>35</v>
      </c>
      <c r="F162" s="65" t="s">
        <v>403</v>
      </c>
      <c r="G162" s="65" t="s">
        <v>41</v>
      </c>
      <c r="H162" s="73">
        <f>2.4*25</f>
        <v>60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87"/>
      <c r="W162" s="3"/>
      <c r="X162" s="3"/>
      <c r="Y162" s="3"/>
      <c r="Z162" s="3"/>
      <c r="AA162" s="3"/>
      <c r="AB162" s="3"/>
      <c r="AC162" s="3">
        <v>78</v>
      </c>
      <c r="AD162" s="3"/>
      <c r="AE162" s="3"/>
      <c r="AF162" s="3"/>
      <c r="AG162" s="3"/>
      <c r="AH162" s="3"/>
      <c r="AI162" s="3"/>
      <c r="AJ162" s="3"/>
      <c r="AK162" s="1"/>
      <c r="AL162" s="1"/>
      <c r="AM162" s="1"/>
      <c r="AN162" s="1"/>
      <c r="AO162" s="1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3"/>
      <c r="BY162" s="72"/>
      <c r="BZ162" s="72"/>
      <c r="CA162" s="72"/>
      <c r="CB162" s="72"/>
      <c r="CC162" s="72"/>
      <c r="CD162" s="72"/>
      <c r="CE162" s="72"/>
      <c r="CF162" s="72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DA162" s="139">
        <f>H162</f>
        <v>60</v>
      </c>
    </row>
    <row r="163" spans="1:105" ht="20.25" customHeight="1" x14ac:dyDescent="0.35">
      <c r="A163" s="5"/>
      <c r="B163" s="79" t="s">
        <v>654</v>
      </c>
      <c r="C163" s="79" t="s">
        <v>185</v>
      </c>
      <c r="D163" s="65"/>
      <c r="E163" s="65" t="s">
        <v>35</v>
      </c>
      <c r="F163" s="65" t="s">
        <v>53</v>
      </c>
      <c r="G163" s="65" t="s">
        <v>41</v>
      </c>
      <c r="H163" s="73">
        <f>H162/25*5</f>
        <v>12</v>
      </c>
      <c r="I163" s="3">
        <v>0</v>
      </c>
      <c r="J163" s="3"/>
      <c r="K163" s="3"/>
      <c r="L163" s="3"/>
      <c r="M163" s="3"/>
      <c r="N163" s="89">
        <v>18</v>
      </c>
      <c r="O163" s="3">
        <v>18</v>
      </c>
      <c r="P163" s="89">
        <v>18</v>
      </c>
      <c r="Q163" s="3">
        <v>18</v>
      </c>
      <c r="R163" s="3">
        <v>18</v>
      </c>
      <c r="S163" s="3"/>
      <c r="T163" s="3"/>
      <c r="U163" s="3"/>
      <c r="V163" s="87">
        <v>18</v>
      </c>
      <c r="W163" s="3"/>
      <c r="X163" s="3"/>
      <c r="Y163" s="3"/>
      <c r="Z163" s="3"/>
      <c r="AA163" s="3"/>
      <c r="AB163" s="3"/>
      <c r="AC163" s="3">
        <v>18</v>
      </c>
      <c r="AD163" s="3"/>
      <c r="AE163" s="3"/>
      <c r="AF163" s="3"/>
      <c r="AG163" s="3"/>
      <c r="AH163" s="3"/>
      <c r="AI163" s="3"/>
      <c r="AJ163" s="3"/>
      <c r="AK163" s="1"/>
      <c r="AL163" s="1"/>
      <c r="AM163" s="1"/>
      <c r="AN163" s="1"/>
      <c r="AO163" s="1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1"/>
      <c r="BE163" s="1"/>
      <c r="BF163" s="1"/>
      <c r="BG163" s="1"/>
      <c r="BH163" s="1"/>
      <c r="BI163" s="1"/>
      <c r="BJ163" s="1"/>
      <c r="BK163" s="1">
        <v>19</v>
      </c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3"/>
      <c r="BY163" s="72"/>
      <c r="BZ163" s="72"/>
      <c r="CA163" s="72"/>
      <c r="CB163" s="72"/>
      <c r="CC163" s="72"/>
      <c r="CD163" s="72"/>
      <c r="CE163" s="72"/>
      <c r="CF163" s="72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DA163" s="139">
        <f>H163</f>
        <v>12</v>
      </c>
    </row>
    <row r="164" spans="1:105" ht="20.25" customHeight="1" x14ac:dyDescent="0.35">
      <c r="A164" s="5"/>
      <c r="B164" s="79" t="s">
        <v>655</v>
      </c>
      <c r="C164" s="79"/>
      <c r="D164" s="91"/>
      <c r="E164" s="5"/>
      <c r="F164" s="65"/>
      <c r="G164" s="65"/>
      <c r="H164" s="145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87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1"/>
      <c r="AL164" s="1"/>
      <c r="AM164" s="1"/>
      <c r="AN164" s="1"/>
      <c r="AO164" s="1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>
        <v>0.9</v>
      </c>
      <c r="BP164" s="1"/>
      <c r="BQ164" s="1"/>
      <c r="BR164" s="1"/>
      <c r="BS164" s="1"/>
      <c r="BT164" s="1"/>
      <c r="BU164" s="1"/>
      <c r="BV164" s="1"/>
      <c r="BW164" s="1"/>
      <c r="BX164" s="3"/>
      <c r="BY164" s="72"/>
      <c r="BZ164" s="72"/>
      <c r="CA164" s="72"/>
      <c r="CB164" s="72"/>
      <c r="CC164" s="72"/>
      <c r="CD164" s="72"/>
      <c r="CE164" s="72"/>
      <c r="CF164" s="72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</row>
    <row r="165" spans="1:105" ht="20.25" customHeight="1" x14ac:dyDescent="0.35">
      <c r="A165" s="5">
        <v>4000005590</v>
      </c>
      <c r="B165" s="79" t="s">
        <v>656</v>
      </c>
      <c r="C165" s="79" t="s">
        <v>186</v>
      </c>
      <c r="D165" s="65"/>
      <c r="E165" s="65" t="s">
        <v>35</v>
      </c>
      <c r="F165" s="5" t="s">
        <v>121</v>
      </c>
      <c r="G165" s="65" t="s">
        <v>41</v>
      </c>
      <c r="H165" s="73">
        <f>1.88*25</f>
        <v>47</v>
      </c>
      <c r="I165" s="3"/>
      <c r="J165" s="3"/>
      <c r="K165" s="3">
        <v>55</v>
      </c>
      <c r="L165" s="3">
        <v>60</v>
      </c>
      <c r="M165" s="3"/>
      <c r="N165" s="3"/>
      <c r="O165" s="3">
        <v>58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>
        <v>60</v>
      </c>
      <c r="AD165" s="3"/>
      <c r="AE165" s="3"/>
      <c r="AF165" s="3"/>
      <c r="AG165" s="3"/>
      <c r="AH165" s="3"/>
      <c r="AI165" s="3"/>
      <c r="AJ165" s="3"/>
      <c r="AK165" s="1"/>
      <c r="AL165" s="1"/>
      <c r="AM165" s="1"/>
      <c r="AN165" s="1"/>
      <c r="AO165" s="1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3"/>
      <c r="BY165" s="72"/>
      <c r="BZ165" s="72"/>
      <c r="CA165" s="72"/>
      <c r="CB165" s="72"/>
      <c r="CC165" s="72"/>
      <c r="CD165" s="72"/>
      <c r="CE165" s="72"/>
      <c r="CF165" s="72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DA165" s="139">
        <f>H165</f>
        <v>47</v>
      </c>
    </row>
    <row r="166" spans="1:105" ht="20.25" customHeight="1" x14ac:dyDescent="0.35">
      <c r="A166" s="65" t="s">
        <v>80</v>
      </c>
      <c r="B166" s="79" t="s">
        <v>657</v>
      </c>
      <c r="C166" s="79" t="s">
        <v>186</v>
      </c>
      <c r="D166" s="88" t="s">
        <v>465</v>
      </c>
      <c r="E166" s="65" t="s">
        <v>35</v>
      </c>
      <c r="F166" s="65" t="s">
        <v>53</v>
      </c>
      <c r="G166" s="65" t="s">
        <v>41</v>
      </c>
      <c r="H166" s="73">
        <f>H165/25*5</f>
        <v>9.3999999999999986</v>
      </c>
      <c r="I166" s="89">
        <v>14</v>
      </c>
      <c r="J166" s="3">
        <v>13</v>
      </c>
      <c r="K166" s="3"/>
      <c r="L166" s="3"/>
      <c r="M166" s="3"/>
      <c r="N166" s="89">
        <v>14</v>
      </c>
      <c r="O166" s="3"/>
      <c r="P166" s="89">
        <v>14</v>
      </c>
      <c r="Q166" s="3">
        <v>14</v>
      </c>
      <c r="R166" s="3">
        <v>13.5</v>
      </c>
      <c r="S166" s="3">
        <v>14</v>
      </c>
      <c r="T166" s="3">
        <v>14.5</v>
      </c>
      <c r="U166" s="3"/>
      <c r="V166" s="90">
        <v>14.5</v>
      </c>
      <c r="W166" s="3"/>
      <c r="X166" s="3"/>
      <c r="Y166" s="3"/>
      <c r="Z166" s="3"/>
      <c r="AA166" s="3"/>
      <c r="AB166" s="3"/>
      <c r="AC166" s="3">
        <v>13.5</v>
      </c>
      <c r="AD166" s="3"/>
      <c r="AE166" s="3"/>
      <c r="AF166" s="3">
        <v>14</v>
      </c>
      <c r="AG166" s="3">
        <v>14</v>
      </c>
      <c r="AH166" s="3"/>
      <c r="AI166" s="3"/>
      <c r="AJ166" s="3"/>
      <c r="AK166" s="1"/>
      <c r="AL166" s="1"/>
      <c r="AM166" s="1"/>
      <c r="AN166" s="1"/>
      <c r="AO166" s="1">
        <v>13</v>
      </c>
      <c r="AP166" s="3">
        <v>13</v>
      </c>
      <c r="AQ166" s="3">
        <v>13</v>
      </c>
      <c r="AR166" s="3">
        <v>13</v>
      </c>
      <c r="AS166" s="3"/>
      <c r="AT166" s="3">
        <v>13</v>
      </c>
      <c r="AU166" s="3">
        <v>13</v>
      </c>
      <c r="AV166" s="3">
        <v>13</v>
      </c>
      <c r="AW166" s="3">
        <v>13</v>
      </c>
      <c r="AX166" s="3">
        <v>13</v>
      </c>
      <c r="AY166" s="3">
        <v>13</v>
      </c>
      <c r="AZ166" s="3">
        <v>13</v>
      </c>
      <c r="BA166" s="3">
        <v>13</v>
      </c>
      <c r="BB166" s="3"/>
      <c r="BC166" s="3">
        <v>13</v>
      </c>
      <c r="BD166" s="3">
        <v>14</v>
      </c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>
        <v>14</v>
      </c>
      <c r="BV166" s="1"/>
      <c r="BW166" s="1"/>
      <c r="BX166" s="3">
        <v>13</v>
      </c>
      <c r="BY166" s="72"/>
      <c r="BZ166" s="72">
        <v>14</v>
      </c>
      <c r="CA166" s="72"/>
      <c r="CB166" s="72"/>
      <c r="CC166" s="72"/>
      <c r="CD166" s="72"/>
      <c r="CE166" s="72"/>
      <c r="CF166" s="72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DA166" s="139">
        <f t="shared" ref="DA166:DA169" si="16">H166</f>
        <v>9.3999999999999986</v>
      </c>
    </row>
    <row r="167" spans="1:105" ht="20.25" customHeight="1" x14ac:dyDescent="0.35">
      <c r="A167" s="5"/>
      <c r="B167" s="79" t="s">
        <v>658</v>
      </c>
      <c r="C167" s="79" t="s">
        <v>186</v>
      </c>
      <c r="D167" s="91"/>
      <c r="E167" s="5" t="s">
        <v>35</v>
      </c>
      <c r="F167" s="65" t="s">
        <v>900</v>
      </c>
      <c r="G167" s="65" t="s">
        <v>41</v>
      </c>
      <c r="H167" s="73">
        <f>H166/5*2</f>
        <v>3.7599999999999993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87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1"/>
      <c r="AL167" s="1"/>
      <c r="AM167" s="1"/>
      <c r="AN167" s="1"/>
      <c r="AO167" s="1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3"/>
      <c r="BY167" s="72"/>
      <c r="BZ167" s="72"/>
      <c r="CA167" s="72"/>
      <c r="CB167" s="72"/>
      <c r="CC167" s="72"/>
      <c r="CD167" s="72"/>
      <c r="CE167" s="72"/>
      <c r="CF167" s="72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DA167" s="139">
        <f t="shared" si="16"/>
        <v>3.7599999999999993</v>
      </c>
    </row>
    <row r="168" spans="1:105" ht="20.25" customHeight="1" x14ac:dyDescent="0.35">
      <c r="A168" s="5"/>
      <c r="B168" s="79" t="s">
        <v>659</v>
      </c>
      <c r="C168" s="79" t="s">
        <v>186</v>
      </c>
      <c r="D168" s="91"/>
      <c r="E168" s="5" t="s">
        <v>35</v>
      </c>
      <c r="F168" s="65" t="s">
        <v>73</v>
      </c>
      <c r="G168" s="65" t="s">
        <v>41</v>
      </c>
      <c r="H168" s="73">
        <f>H166/5</f>
        <v>1.8799999999999997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87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1"/>
      <c r="AL168" s="1"/>
      <c r="AM168" s="1"/>
      <c r="AN168" s="1"/>
      <c r="AO168" s="1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3"/>
      <c r="BY168" s="72"/>
      <c r="BZ168" s="72"/>
      <c r="CA168" s="72"/>
      <c r="CB168" s="72"/>
      <c r="CC168" s="72"/>
      <c r="CD168" s="72"/>
      <c r="CE168" s="72"/>
      <c r="CF168" s="72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DA168" s="139">
        <f t="shared" si="16"/>
        <v>1.8799999999999997</v>
      </c>
    </row>
    <row r="169" spans="1:105" ht="20.25" customHeight="1" x14ac:dyDescent="0.35">
      <c r="A169" s="5"/>
      <c r="B169" s="79" t="s">
        <v>1146</v>
      </c>
      <c r="C169" s="79" t="s">
        <v>186</v>
      </c>
      <c r="D169" s="91"/>
      <c r="E169" s="5" t="s">
        <v>35</v>
      </c>
      <c r="F169" s="65" t="s">
        <v>404</v>
      </c>
      <c r="G169" s="65" t="s">
        <v>41</v>
      </c>
      <c r="H169" s="73">
        <f>H168*3</f>
        <v>5.6399999999999988</v>
      </c>
      <c r="I169" s="3">
        <f>I166/5*3+0.3</f>
        <v>8.6999999999999993</v>
      </c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87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1"/>
      <c r="AL169" s="1"/>
      <c r="AM169" s="1"/>
      <c r="AN169" s="1"/>
      <c r="AO169" s="1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3"/>
      <c r="BY169" s="72"/>
      <c r="BZ169" s="72"/>
      <c r="CA169" s="72"/>
      <c r="CB169" s="72"/>
      <c r="CC169" s="72"/>
      <c r="CD169" s="72"/>
      <c r="CE169" s="72"/>
      <c r="CF169" s="72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DA169" s="139">
        <f t="shared" si="16"/>
        <v>5.6399999999999988</v>
      </c>
    </row>
    <row r="170" spans="1:105" ht="20.25" customHeight="1" x14ac:dyDescent="0.35">
      <c r="A170" s="5"/>
      <c r="B170" s="79" t="s">
        <v>660</v>
      </c>
      <c r="C170" s="79" t="s">
        <v>661</v>
      </c>
      <c r="D170" s="91" t="s">
        <v>461</v>
      </c>
      <c r="E170" s="5"/>
      <c r="F170" s="65" t="s">
        <v>327</v>
      </c>
      <c r="G170" s="65" t="s">
        <v>387</v>
      </c>
      <c r="H170" s="86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87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1"/>
      <c r="AL170" s="1"/>
      <c r="AM170" s="1"/>
      <c r="AN170" s="1"/>
      <c r="AO170" s="1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3"/>
      <c r="BY170" s="72"/>
      <c r="BZ170" s="72"/>
      <c r="CA170" s="72"/>
      <c r="CB170" s="72"/>
      <c r="CC170" s="72"/>
      <c r="CD170" s="72"/>
      <c r="CE170" s="72"/>
      <c r="CF170" s="72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DA170" s="66"/>
    </row>
    <row r="171" spans="1:105" ht="20.25" customHeight="1" x14ac:dyDescent="0.35">
      <c r="A171" s="5"/>
      <c r="B171" s="79" t="s">
        <v>662</v>
      </c>
      <c r="C171" s="79" t="s">
        <v>663</v>
      </c>
      <c r="D171" s="91" t="s">
        <v>461</v>
      </c>
      <c r="E171" s="5"/>
      <c r="F171" s="65" t="s">
        <v>327</v>
      </c>
      <c r="G171" s="65" t="s">
        <v>387</v>
      </c>
      <c r="H171" s="86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87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1"/>
      <c r="AL171" s="1"/>
      <c r="AM171" s="1"/>
      <c r="AN171" s="1"/>
      <c r="AO171" s="1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3"/>
      <c r="BY171" s="72"/>
      <c r="BZ171" s="72"/>
      <c r="CA171" s="72"/>
      <c r="CB171" s="72"/>
      <c r="CC171" s="72"/>
      <c r="CD171" s="72"/>
      <c r="CE171" s="72"/>
      <c r="CF171" s="72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DA171" s="66"/>
    </row>
    <row r="172" spans="1:105" ht="20.25" customHeight="1" x14ac:dyDescent="0.35">
      <c r="A172" s="5">
        <v>4000005588</v>
      </c>
      <c r="B172" s="79" t="s">
        <v>664</v>
      </c>
      <c r="C172" s="79" t="s">
        <v>1196</v>
      </c>
      <c r="D172" s="91" t="s">
        <v>463</v>
      </c>
      <c r="E172" s="65" t="s">
        <v>274</v>
      </c>
      <c r="F172" s="5" t="s">
        <v>1136</v>
      </c>
      <c r="G172" s="65" t="s">
        <v>41</v>
      </c>
      <c r="H172" s="73">
        <v>74</v>
      </c>
      <c r="I172" s="3"/>
      <c r="J172" s="3"/>
      <c r="K172" s="77">
        <v>78</v>
      </c>
      <c r="L172" s="3">
        <v>80</v>
      </c>
      <c r="M172" s="3">
        <v>80</v>
      </c>
      <c r="N172" s="3"/>
      <c r="O172" s="3"/>
      <c r="P172" s="3"/>
      <c r="Q172" s="3"/>
      <c r="R172" s="3"/>
      <c r="S172" s="3"/>
      <c r="T172" s="3"/>
      <c r="U172" s="3"/>
      <c r="V172" s="87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1"/>
      <c r="AL172" s="1"/>
      <c r="AM172" s="1"/>
      <c r="AN172" s="1"/>
      <c r="AO172" s="1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1"/>
      <c r="BE172" s="1">
        <v>84</v>
      </c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3"/>
      <c r="BY172" s="72"/>
      <c r="BZ172" s="72"/>
      <c r="CA172" s="72"/>
      <c r="CB172" s="72"/>
      <c r="CC172" s="72"/>
      <c r="CD172" s="72"/>
      <c r="CE172" s="72"/>
      <c r="CF172" s="72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DA172" s="138">
        <f>H172</f>
        <v>74</v>
      </c>
    </row>
    <row r="173" spans="1:105" ht="20.25" customHeight="1" x14ac:dyDescent="0.35">
      <c r="A173" s="65" t="s">
        <v>86</v>
      </c>
      <c r="B173" s="79" t="s">
        <v>665</v>
      </c>
      <c r="C173" s="79" t="s">
        <v>1196</v>
      </c>
      <c r="D173" s="88" t="s">
        <v>463</v>
      </c>
      <c r="E173" s="65" t="s">
        <v>35</v>
      </c>
      <c r="F173" s="65" t="s">
        <v>435</v>
      </c>
      <c r="G173" s="65" t="s">
        <v>41</v>
      </c>
      <c r="H173" s="73">
        <f>H172/30*5</f>
        <v>12.333333333333334</v>
      </c>
      <c r="I173" s="89">
        <v>17</v>
      </c>
      <c r="J173" s="3"/>
      <c r="K173" s="3"/>
      <c r="L173" s="3">
        <v>17</v>
      </c>
      <c r="M173" s="3">
        <v>17</v>
      </c>
      <c r="N173" s="3"/>
      <c r="O173" s="3">
        <v>17</v>
      </c>
      <c r="P173" s="89">
        <v>17</v>
      </c>
      <c r="Q173" s="3">
        <v>17</v>
      </c>
      <c r="R173" s="3">
        <v>17</v>
      </c>
      <c r="S173" s="3">
        <v>17</v>
      </c>
      <c r="T173" s="3"/>
      <c r="U173" s="3"/>
      <c r="V173" s="87">
        <v>17</v>
      </c>
      <c r="W173" s="3"/>
      <c r="X173" s="3"/>
      <c r="Y173" s="3"/>
      <c r="Z173" s="3"/>
      <c r="AA173" s="3"/>
      <c r="AB173" s="3"/>
      <c r="AC173" s="3">
        <v>17</v>
      </c>
      <c r="AD173" s="3"/>
      <c r="AE173" s="3"/>
      <c r="AF173" s="3">
        <v>17</v>
      </c>
      <c r="AG173" s="3">
        <v>16.5</v>
      </c>
      <c r="AH173" s="3"/>
      <c r="AI173" s="3"/>
      <c r="AJ173" s="3"/>
      <c r="AK173" s="1"/>
      <c r="AL173" s="1"/>
      <c r="AM173" s="1"/>
      <c r="AN173" s="1"/>
      <c r="AO173" s="1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1"/>
      <c r="BE173" s="1"/>
      <c r="BF173" s="1"/>
      <c r="BG173" s="1">
        <v>18</v>
      </c>
      <c r="BH173" s="1"/>
      <c r="BI173" s="1"/>
      <c r="BJ173" s="1"/>
      <c r="BK173" s="1">
        <v>19</v>
      </c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3"/>
      <c r="BY173" s="72"/>
      <c r="BZ173" s="72">
        <v>17</v>
      </c>
      <c r="CA173" s="72"/>
      <c r="CB173" s="72"/>
      <c r="CC173" s="72"/>
      <c r="CD173" s="72"/>
      <c r="CE173" s="72"/>
      <c r="CF173" s="72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DA173" s="138">
        <f t="shared" ref="DA173:DA177" si="17">H173</f>
        <v>12.333333333333334</v>
      </c>
    </row>
    <row r="174" spans="1:105" ht="20.25" customHeight="1" x14ac:dyDescent="0.35">
      <c r="A174" s="5"/>
      <c r="B174" s="94" t="s">
        <v>666</v>
      </c>
      <c r="C174" s="79" t="s">
        <v>1196</v>
      </c>
      <c r="D174" s="91"/>
      <c r="E174" s="65" t="s">
        <v>35</v>
      </c>
      <c r="F174" s="65" t="s">
        <v>436</v>
      </c>
      <c r="G174" s="65" t="s">
        <v>41</v>
      </c>
      <c r="H174" s="73">
        <f>H172/30*3</f>
        <v>7.4</v>
      </c>
      <c r="I174" s="3">
        <f>I173/5*3+0.3</f>
        <v>10.5</v>
      </c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87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>
        <v>11</v>
      </c>
      <c r="AK174" s="1"/>
      <c r="AL174" s="1"/>
      <c r="AM174" s="1"/>
      <c r="AN174" s="1"/>
      <c r="AO174" s="1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3"/>
      <c r="BY174" s="72"/>
      <c r="BZ174" s="72"/>
      <c r="CA174" s="72"/>
      <c r="CB174" s="72"/>
      <c r="CC174" s="72"/>
      <c r="CD174" s="72"/>
      <c r="CE174" s="72"/>
      <c r="CF174" s="72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DA174" s="138">
        <f t="shared" si="17"/>
        <v>7.4</v>
      </c>
    </row>
    <row r="175" spans="1:105" ht="20.25" customHeight="1" x14ac:dyDescent="0.35">
      <c r="A175" s="5"/>
      <c r="B175" s="94" t="s">
        <v>667</v>
      </c>
      <c r="C175" s="79" t="s">
        <v>1196</v>
      </c>
      <c r="D175" s="91"/>
      <c r="E175" s="65" t="s">
        <v>35</v>
      </c>
      <c r="F175" s="65" t="s">
        <v>437</v>
      </c>
      <c r="G175" s="65" t="s">
        <v>41</v>
      </c>
      <c r="H175" s="73">
        <f>H172/30*2</f>
        <v>4.9333333333333336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87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1"/>
      <c r="AL175" s="1"/>
      <c r="AM175" s="1"/>
      <c r="AN175" s="1"/>
      <c r="AO175" s="1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3"/>
      <c r="BY175" s="72"/>
      <c r="BZ175" s="72"/>
      <c r="CA175" s="72"/>
      <c r="CB175" s="72"/>
      <c r="CC175" s="72"/>
      <c r="CD175" s="72"/>
      <c r="CE175" s="72"/>
      <c r="CF175" s="72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DA175" s="138">
        <f t="shared" si="17"/>
        <v>4.9333333333333336</v>
      </c>
    </row>
    <row r="176" spans="1:105" ht="20.25" customHeight="1" x14ac:dyDescent="0.35">
      <c r="A176" s="5"/>
      <c r="B176" s="94" t="s">
        <v>668</v>
      </c>
      <c r="C176" s="79" t="s">
        <v>1196</v>
      </c>
      <c r="D176" s="91"/>
      <c r="E176" s="65" t="s">
        <v>438</v>
      </c>
      <c r="F176" s="58" t="s">
        <v>73</v>
      </c>
      <c r="G176" s="65" t="s">
        <v>41</v>
      </c>
      <c r="H176" s="73">
        <f>H172/30</f>
        <v>2.4666666666666668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87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1"/>
      <c r="AL176" s="1"/>
      <c r="AM176" s="1"/>
      <c r="AN176" s="1"/>
      <c r="AO176" s="1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3"/>
      <c r="BY176" s="72"/>
      <c r="BZ176" s="72"/>
      <c r="CA176" s="72"/>
      <c r="CB176" s="72"/>
      <c r="CC176" s="72"/>
      <c r="CD176" s="72"/>
      <c r="CE176" s="72"/>
      <c r="CF176" s="72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DA176" s="138">
        <f t="shared" si="17"/>
        <v>2.4666666666666668</v>
      </c>
    </row>
    <row r="177" spans="1:105" ht="20.25" customHeight="1" x14ac:dyDescent="0.35">
      <c r="A177" s="5"/>
      <c r="B177" s="94" t="s">
        <v>669</v>
      </c>
      <c r="C177" s="79" t="s">
        <v>1196</v>
      </c>
      <c r="D177" s="91"/>
      <c r="E177" s="65" t="s">
        <v>438</v>
      </c>
      <c r="F177" s="58" t="s">
        <v>420</v>
      </c>
      <c r="G177" s="65" t="s">
        <v>41</v>
      </c>
      <c r="H177" s="73">
        <f>H172/30/2</f>
        <v>1.2333333333333334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87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1"/>
      <c r="AL177" s="1"/>
      <c r="AM177" s="1"/>
      <c r="AN177" s="1"/>
      <c r="AO177" s="1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3"/>
      <c r="BY177" s="72"/>
      <c r="BZ177" s="72"/>
      <c r="CA177" s="72"/>
      <c r="CB177" s="72"/>
      <c r="CC177" s="72"/>
      <c r="CD177" s="72"/>
      <c r="CE177" s="72"/>
      <c r="CF177" s="72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DA177" s="138">
        <f t="shared" si="17"/>
        <v>1.2333333333333334</v>
      </c>
    </row>
    <row r="178" spans="1:105" ht="20.25" customHeight="1" x14ac:dyDescent="0.35">
      <c r="A178" s="5">
        <v>4000005592</v>
      </c>
      <c r="B178" s="79" t="s">
        <v>670</v>
      </c>
      <c r="C178" s="79" t="s">
        <v>188</v>
      </c>
      <c r="D178" s="91"/>
      <c r="E178" s="65" t="s">
        <v>52</v>
      </c>
      <c r="F178" s="65" t="s">
        <v>121</v>
      </c>
      <c r="G178" s="65" t="s">
        <v>41</v>
      </c>
      <c r="H178" s="73">
        <v>60</v>
      </c>
      <c r="I178" s="3"/>
      <c r="J178" s="3"/>
      <c r="K178" s="3">
        <v>77</v>
      </c>
      <c r="L178" s="3">
        <v>80</v>
      </c>
      <c r="M178" s="3">
        <v>80</v>
      </c>
      <c r="N178" s="3"/>
      <c r="O178" s="3"/>
      <c r="P178" s="3"/>
      <c r="Q178" s="3"/>
      <c r="R178" s="3"/>
      <c r="S178" s="3"/>
      <c r="T178" s="3"/>
      <c r="U178" s="3"/>
      <c r="V178" s="87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1"/>
      <c r="AL178" s="1"/>
      <c r="AM178" s="1"/>
      <c r="AN178" s="1"/>
      <c r="AO178" s="1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1"/>
      <c r="BE178" s="1">
        <v>80</v>
      </c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3"/>
      <c r="BY178" s="72"/>
      <c r="BZ178" s="72"/>
      <c r="CA178" s="72"/>
      <c r="CB178" s="72"/>
      <c r="CC178" s="72"/>
      <c r="CD178" s="72"/>
      <c r="CE178" s="72"/>
      <c r="CF178" s="72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DA178" s="138">
        <f>H178</f>
        <v>60</v>
      </c>
    </row>
    <row r="179" spans="1:105" ht="20.25" customHeight="1" x14ac:dyDescent="0.35">
      <c r="A179" s="65" t="s">
        <v>84</v>
      </c>
      <c r="B179" s="79" t="s">
        <v>671</v>
      </c>
      <c r="C179" s="79" t="s">
        <v>188</v>
      </c>
      <c r="D179" s="88" t="s">
        <v>250</v>
      </c>
      <c r="E179" s="65" t="s">
        <v>35</v>
      </c>
      <c r="F179" s="65" t="s">
        <v>53</v>
      </c>
      <c r="G179" s="65" t="s">
        <v>41</v>
      </c>
      <c r="H179" s="73">
        <f>H178/25*5</f>
        <v>12</v>
      </c>
      <c r="I179" s="89">
        <v>18</v>
      </c>
      <c r="J179" s="3">
        <v>18</v>
      </c>
      <c r="K179" s="3"/>
      <c r="L179" s="3">
        <v>18</v>
      </c>
      <c r="M179" s="3"/>
      <c r="N179" s="89">
        <v>18</v>
      </c>
      <c r="O179" s="3">
        <v>18</v>
      </c>
      <c r="P179" s="89">
        <v>18</v>
      </c>
      <c r="Q179" s="3">
        <v>18</v>
      </c>
      <c r="R179" s="3">
        <v>18</v>
      </c>
      <c r="S179" s="3">
        <v>19</v>
      </c>
      <c r="T179" s="3"/>
      <c r="U179" s="3"/>
      <c r="V179" s="87">
        <v>18</v>
      </c>
      <c r="W179" s="3"/>
      <c r="X179" s="3"/>
      <c r="Y179" s="3"/>
      <c r="Z179" s="3"/>
      <c r="AA179" s="3"/>
      <c r="AB179" s="3"/>
      <c r="AC179" s="3">
        <v>18</v>
      </c>
      <c r="AD179" s="3"/>
      <c r="AE179" s="3"/>
      <c r="AF179" s="3">
        <v>18</v>
      </c>
      <c r="AG179" s="3">
        <v>18</v>
      </c>
      <c r="AH179" s="3"/>
      <c r="AI179" s="3"/>
      <c r="AJ179" s="3"/>
      <c r="AK179" s="1"/>
      <c r="AL179" s="1"/>
      <c r="AM179" s="1"/>
      <c r="AN179" s="1"/>
      <c r="AO179" s="1">
        <v>18</v>
      </c>
      <c r="AP179" s="3">
        <v>18</v>
      </c>
      <c r="AQ179" s="3">
        <v>18</v>
      </c>
      <c r="AR179" s="3">
        <v>18</v>
      </c>
      <c r="AS179" s="3"/>
      <c r="AT179" s="3">
        <v>18</v>
      </c>
      <c r="AU179" s="3">
        <v>18</v>
      </c>
      <c r="AV179" s="3">
        <v>18</v>
      </c>
      <c r="AW179" s="3">
        <v>18</v>
      </c>
      <c r="AX179" s="3">
        <v>18</v>
      </c>
      <c r="AY179" s="3">
        <v>18</v>
      </c>
      <c r="AZ179" s="3">
        <v>18</v>
      </c>
      <c r="BA179" s="3">
        <v>18</v>
      </c>
      <c r="BB179" s="3"/>
      <c r="BC179" s="3">
        <v>18</v>
      </c>
      <c r="BD179" s="1"/>
      <c r="BE179" s="1">
        <v>18</v>
      </c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>
        <v>18</v>
      </c>
      <c r="BV179" s="1"/>
      <c r="BW179" s="1"/>
      <c r="BX179" s="3">
        <f>J179</f>
        <v>18</v>
      </c>
      <c r="BY179" s="72"/>
      <c r="BZ179" s="72">
        <v>18</v>
      </c>
      <c r="CA179" s="72"/>
      <c r="CB179" s="72"/>
      <c r="CC179" s="72"/>
      <c r="CD179" s="72"/>
      <c r="CE179" s="72"/>
      <c r="CF179" s="72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DA179" s="138">
        <f t="shared" ref="DA179:DA186" si="18">H179</f>
        <v>12</v>
      </c>
    </row>
    <row r="180" spans="1:105" ht="20.25" customHeight="1" x14ac:dyDescent="0.35">
      <c r="A180" s="65"/>
      <c r="B180" s="79" t="s">
        <v>672</v>
      </c>
      <c r="C180" s="79" t="s">
        <v>188</v>
      </c>
      <c r="D180" s="91"/>
      <c r="E180" s="65" t="s">
        <v>258</v>
      </c>
      <c r="F180" s="65" t="s">
        <v>73</v>
      </c>
      <c r="G180" s="65" t="s">
        <v>41</v>
      </c>
      <c r="H180" s="73">
        <f>H178/25*1</f>
        <v>2.4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87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>
        <v>4</v>
      </c>
      <c r="AK180" s="1"/>
      <c r="AL180" s="1"/>
      <c r="AM180" s="1"/>
      <c r="AN180" s="1"/>
      <c r="AO180" s="1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3"/>
      <c r="BY180" s="72"/>
      <c r="BZ180" s="72"/>
      <c r="CA180" s="72"/>
      <c r="CB180" s="72"/>
      <c r="CC180" s="72"/>
      <c r="CD180" s="72"/>
      <c r="CE180" s="72"/>
      <c r="CF180" s="72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DA180" s="138">
        <f t="shared" si="18"/>
        <v>2.4</v>
      </c>
    </row>
    <row r="181" spans="1:105" ht="20.25" customHeight="1" x14ac:dyDescent="0.35">
      <c r="A181" s="65"/>
      <c r="B181" s="79" t="s">
        <v>673</v>
      </c>
      <c r="C181" s="79" t="s">
        <v>188</v>
      </c>
      <c r="D181" s="91"/>
      <c r="E181" s="65" t="s">
        <v>258</v>
      </c>
      <c r="F181" s="65" t="s">
        <v>1169</v>
      </c>
      <c r="G181" s="65" t="s">
        <v>41</v>
      </c>
      <c r="H181" s="73">
        <f>H180/1000*750</f>
        <v>1.7999999999999998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87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1"/>
      <c r="AL181" s="1"/>
      <c r="AM181" s="1"/>
      <c r="AN181" s="1"/>
      <c r="AO181" s="1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>
        <v>1.9</v>
      </c>
      <c r="BP181" s="1"/>
      <c r="BQ181" s="1"/>
      <c r="BR181" s="1"/>
      <c r="BS181" s="1"/>
      <c r="BT181" s="1"/>
      <c r="BU181" s="1"/>
      <c r="BV181" s="1"/>
      <c r="BW181" s="1"/>
      <c r="BX181" s="3"/>
      <c r="BY181" s="72"/>
      <c r="BZ181" s="72"/>
      <c r="CA181" s="72"/>
      <c r="CB181" s="72"/>
      <c r="CC181" s="72"/>
      <c r="CD181" s="72"/>
      <c r="CE181" s="72"/>
      <c r="CF181" s="72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DA181" s="138">
        <f t="shared" si="18"/>
        <v>1.7999999999999998</v>
      </c>
    </row>
    <row r="182" spans="1:105" ht="20.25" customHeight="1" x14ac:dyDescent="0.35">
      <c r="A182" s="5">
        <v>4000005593</v>
      </c>
      <c r="B182" s="79" t="s">
        <v>674</v>
      </c>
      <c r="C182" s="79" t="s">
        <v>189</v>
      </c>
      <c r="D182" s="91"/>
      <c r="E182" s="65" t="s">
        <v>382</v>
      </c>
      <c r="F182" s="65" t="s">
        <v>121</v>
      </c>
      <c r="G182" s="65" t="s">
        <v>41</v>
      </c>
      <c r="H182" s="73">
        <v>30</v>
      </c>
      <c r="I182" s="3"/>
      <c r="J182" s="3"/>
      <c r="K182" s="3">
        <v>46</v>
      </c>
      <c r="L182" s="3">
        <v>0</v>
      </c>
      <c r="M182" s="3"/>
      <c r="N182" s="3"/>
      <c r="O182" s="3"/>
      <c r="P182" s="3"/>
      <c r="Q182" s="3"/>
      <c r="R182" s="3"/>
      <c r="S182" s="3"/>
      <c r="T182" s="3"/>
      <c r="U182" s="3"/>
      <c r="V182" s="87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1"/>
      <c r="AL182" s="1"/>
      <c r="AM182" s="1"/>
      <c r="AN182" s="1"/>
      <c r="AO182" s="1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3"/>
      <c r="BY182" s="72"/>
      <c r="BZ182" s="72"/>
      <c r="CA182" s="72"/>
      <c r="CB182" s="72"/>
      <c r="CC182" s="72"/>
      <c r="CD182" s="72"/>
      <c r="CE182" s="72"/>
      <c r="CF182" s="72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DA182" s="138">
        <f t="shared" si="18"/>
        <v>30</v>
      </c>
    </row>
    <row r="183" spans="1:105" ht="20.25" customHeight="1" x14ac:dyDescent="0.35">
      <c r="A183" s="65" t="s">
        <v>88</v>
      </c>
      <c r="B183" s="79" t="s">
        <v>675</v>
      </c>
      <c r="C183" s="79" t="s">
        <v>189</v>
      </c>
      <c r="D183" s="88" t="s">
        <v>382</v>
      </c>
      <c r="E183" s="65" t="s">
        <v>35</v>
      </c>
      <c r="F183" s="65" t="s">
        <v>53</v>
      </c>
      <c r="G183" s="65" t="s">
        <v>41</v>
      </c>
      <c r="H183" s="73">
        <f>H182/25*5</f>
        <v>6</v>
      </c>
      <c r="I183" s="89">
        <v>11</v>
      </c>
      <c r="J183" s="3">
        <v>10</v>
      </c>
      <c r="K183" s="3"/>
      <c r="L183" s="3"/>
      <c r="M183" s="3"/>
      <c r="N183" s="89">
        <v>10</v>
      </c>
      <c r="O183" s="3">
        <v>10</v>
      </c>
      <c r="P183" s="89">
        <v>10</v>
      </c>
      <c r="Q183" s="3">
        <v>10</v>
      </c>
      <c r="R183" s="77">
        <v>11</v>
      </c>
      <c r="S183" s="3">
        <v>10</v>
      </c>
      <c r="T183" s="3"/>
      <c r="U183" s="3"/>
      <c r="V183" s="87">
        <v>10</v>
      </c>
      <c r="W183" s="3"/>
      <c r="X183" s="3"/>
      <c r="Y183" s="3"/>
      <c r="Z183" s="3"/>
      <c r="AA183" s="3"/>
      <c r="AB183" s="3"/>
      <c r="AC183" s="3">
        <v>10</v>
      </c>
      <c r="AD183" s="3"/>
      <c r="AE183" s="3"/>
      <c r="AF183" s="3"/>
      <c r="AG183" s="3">
        <v>11</v>
      </c>
      <c r="AH183" s="3"/>
      <c r="AI183" s="3"/>
      <c r="AJ183" s="3"/>
      <c r="AK183" s="1"/>
      <c r="AL183" s="1"/>
      <c r="AM183" s="1"/>
      <c r="AN183" s="1"/>
      <c r="AO183" s="1"/>
      <c r="AP183" s="3">
        <v>10</v>
      </c>
      <c r="AQ183" s="3">
        <v>10</v>
      </c>
      <c r="AR183" s="3">
        <v>10</v>
      </c>
      <c r="AS183" s="3"/>
      <c r="AT183" s="3">
        <v>10</v>
      </c>
      <c r="AU183" s="3">
        <v>10</v>
      </c>
      <c r="AV183" s="3">
        <v>10</v>
      </c>
      <c r="AW183" s="3">
        <v>10</v>
      </c>
      <c r="AX183" s="3">
        <v>10</v>
      </c>
      <c r="AY183" s="3">
        <v>10</v>
      </c>
      <c r="AZ183" s="3">
        <v>10</v>
      </c>
      <c r="BA183" s="3">
        <v>10</v>
      </c>
      <c r="BB183" s="3"/>
      <c r="BC183" s="3">
        <v>10</v>
      </c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3"/>
      <c r="BY183" s="72"/>
      <c r="BZ183" s="72">
        <v>11</v>
      </c>
      <c r="CA183" s="72"/>
      <c r="CB183" s="72"/>
      <c r="CC183" s="72"/>
      <c r="CD183" s="72"/>
      <c r="CE183" s="72"/>
      <c r="CF183" s="72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DA183" s="138">
        <f t="shared" si="18"/>
        <v>6</v>
      </c>
    </row>
    <row r="184" spans="1:105" ht="20.25" customHeight="1" x14ac:dyDescent="0.35">
      <c r="A184" s="65"/>
      <c r="B184" s="79" t="s">
        <v>676</v>
      </c>
      <c r="C184" s="79" t="s">
        <v>189</v>
      </c>
      <c r="D184" s="91"/>
      <c r="E184" s="5" t="s">
        <v>35</v>
      </c>
      <c r="F184" s="65" t="s">
        <v>33</v>
      </c>
      <c r="G184" s="65" t="s">
        <v>41</v>
      </c>
      <c r="H184" s="73">
        <f>H182/25</f>
        <v>1.2</v>
      </c>
      <c r="I184" s="3"/>
      <c r="J184" s="3"/>
      <c r="K184" s="3"/>
      <c r="L184" s="3"/>
      <c r="M184" s="3"/>
      <c r="N184" s="3"/>
      <c r="O184" s="3"/>
      <c r="P184" s="3"/>
      <c r="Q184" s="3">
        <v>2.2999999999999998</v>
      </c>
      <c r="R184" s="3"/>
      <c r="S184" s="3"/>
      <c r="T184" s="3"/>
      <c r="U184" s="3"/>
      <c r="V184" s="87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1"/>
      <c r="AL184" s="1"/>
      <c r="AM184" s="1"/>
      <c r="AN184" s="1"/>
      <c r="AO184" s="1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3"/>
      <c r="BY184" s="72"/>
      <c r="BZ184" s="72"/>
      <c r="CA184" s="72"/>
      <c r="CB184" s="72"/>
      <c r="CC184" s="72"/>
      <c r="CD184" s="72"/>
      <c r="CE184" s="72"/>
      <c r="CF184" s="72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DA184" s="138">
        <f t="shared" si="18"/>
        <v>1.2</v>
      </c>
    </row>
    <row r="185" spans="1:105" ht="20.25" customHeight="1" x14ac:dyDescent="0.35">
      <c r="A185" s="65"/>
      <c r="B185" s="79" t="s">
        <v>677</v>
      </c>
      <c r="C185" s="79" t="s">
        <v>189</v>
      </c>
      <c r="D185" s="91"/>
      <c r="E185" s="5" t="s">
        <v>35</v>
      </c>
      <c r="F185" s="65" t="s">
        <v>420</v>
      </c>
      <c r="G185" s="65" t="s">
        <v>41</v>
      </c>
      <c r="H185" s="73">
        <f>H184/2</f>
        <v>0.6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87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1"/>
      <c r="AL185" s="1"/>
      <c r="AM185" s="1"/>
      <c r="AN185" s="1"/>
      <c r="AO185" s="1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>
        <v>1.2</v>
      </c>
      <c r="BP185" s="1"/>
      <c r="BQ185" s="1"/>
      <c r="BR185" s="1"/>
      <c r="BS185" s="1"/>
      <c r="BT185" s="1"/>
      <c r="BU185" s="1"/>
      <c r="BV185" s="1"/>
      <c r="BW185" s="1"/>
      <c r="BX185" s="3"/>
      <c r="BY185" s="72"/>
      <c r="BZ185" s="72"/>
      <c r="CA185" s="72"/>
      <c r="CB185" s="72"/>
      <c r="CC185" s="72"/>
      <c r="CD185" s="72"/>
      <c r="CE185" s="72"/>
      <c r="CF185" s="72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DA185" s="138">
        <f t="shared" si="18"/>
        <v>0.6</v>
      </c>
    </row>
    <row r="186" spans="1:105" ht="20.25" customHeight="1" x14ac:dyDescent="0.35">
      <c r="A186" s="65"/>
      <c r="B186" s="79" t="s">
        <v>678</v>
      </c>
      <c r="C186" s="79" t="s">
        <v>190</v>
      </c>
      <c r="D186" s="88" t="s">
        <v>425</v>
      </c>
      <c r="E186" s="65" t="s">
        <v>35</v>
      </c>
      <c r="F186" s="65" t="s">
        <v>71</v>
      </c>
      <c r="G186" s="65" t="s">
        <v>50</v>
      </c>
      <c r="H186" s="73">
        <v>7.8</v>
      </c>
      <c r="I186" s="89">
        <v>8.5</v>
      </c>
      <c r="J186" s="3">
        <v>9.5</v>
      </c>
      <c r="K186" s="3"/>
      <c r="L186" s="3">
        <v>10.5</v>
      </c>
      <c r="M186" s="3"/>
      <c r="N186" s="89">
        <v>10.5</v>
      </c>
      <c r="O186" s="3">
        <v>10.5</v>
      </c>
      <c r="P186" s="3">
        <v>10.5</v>
      </c>
      <c r="Q186" s="3">
        <v>10.5</v>
      </c>
      <c r="R186" s="3">
        <v>10.5</v>
      </c>
      <c r="S186" s="3">
        <v>11</v>
      </c>
      <c r="T186" s="3"/>
      <c r="U186" s="3"/>
      <c r="V186" s="87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>
        <v>10.5</v>
      </c>
      <c r="AH186" s="3"/>
      <c r="AI186" s="3"/>
      <c r="AJ186" s="3"/>
      <c r="AK186" s="1"/>
      <c r="AL186" s="1"/>
      <c r="AM186" s="1"/>
      <c r="AN186" s="1"/>
      <c r="AO186" s="3">
        <v>9.5</v>
      </c>
      <c r="AP186" s="3">
        <v>9.5</v>
      </c>
      <c r="AQ186" s="3">
        <v>9.5</v>
      </c>
      <c r="AR186" s="3">
        <v>9.5</v>
      </c>
      <c r="AS186" s="3"/>
      <c r="AT186" s="3">
        <v>9.5</v>
      </c>
      <c r="AU186" s="3">
        <v>9.5</v>
      </c>
      <c r="AV186" s="3">
        <v>9.5</v>
      </c>
      <c r="AW186" s="3">
        <v>9.5</v>
      </c>
      <c r="AX186" s="3">
        <v>9.5</v>
      </c>
      <c r="AY186" s="3">
        <v>9.5</v>
      </c>
      <c r="AZ186" s="3">
        <v>9.5</v>
      </c>
      <c r="BA186" s="3">
        <v>9.5</v>
      </c>
      <c r="BB186" s="3"/>
      <c r="BC186" s="3">
        <v>9.5</v>
      </c>
      <c r="BD186" s="1"/>
      <c r="BE186" s="1"/>
      <c r="BF186" s="1"/>
      <c r="BG186" s="1"/>
      <c r="BH186" s="1"/>
      <c r="BI186" s="1"/>
      <c r="BJ186" s="1"/>
      <c r="BK186" s="1">
        <v>11</v>
      </c>
      <c r="BL186" s="1"/>
      <c r="BM186" s="1"/>
      <c r="BN186" s="1"/>
      <c r="BO186" s="1">
        <v>8.5</v>
      </c>
      <c r="BP186" s="1"/>
      <c r="BQ186" s="1"/>
      <c r="BR186" s="1"/>
      <c r="BS186" s="1"/>
      <c r="BT186" s="1"/>
      <c r="BU186" s="1"/>
      <c r="BV186" s="1"/>
      <c r="BW186" s="1"/>
      <c r="BX186" s="3">
        <v>9.5</v>
      </c>
      <c r="BY186" s="72"/>
      <c r="BZ186" s="72">
        <v>10.5</v>
      </c>
      <c r="CA186" s="72"/>
      <c r="CB186" s="72"/>
      <c r="CC186" s="72"/>
      <c r="CD186" s="72"/>
      <c r="CE186" s="72"/>
      <c r="CF186" s="72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DA186" s="138">
        <f t="shared" si="18"/>
        <v>7.8</v>
      </c>
    </row>
    <row r="187" spans="1:105" ht="20.25" customHeight="1" x14ac:dyDescent="0.35">
      <c r="A187" s="65"/>
      <c r="B187" s="79" t="s">
        <v>679</v>
      </c>
      <c r="C187" s="79" t="s">
        <v>191</v>
      </c>
      <c r="D187" s="88" t="s">
        <v>264</v>
      </c>
      <c r="E187" s="65" t="s">
        <v>35</v>
      </c>
      <c r="F187" s="65" t="s">
        <v>327</v>
      </c>
      <c r="G187" s="65" t="s">
        <v>41</v>
      </c>
      <c r="H187" s="73">
        <v>37</v>
      </c>
      <c r="I187" s="89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87"/>
      <c r="W187" s="3"/>
      <c r="X187" s="3"/>
      <c r="Y187" s="3"/>
      <c r="Z187" s="3"/>
      <c r="AA187" s="3"/>
      <c r="AB187" s="3"/>
      <c r="AC187" s="3">
        <v>43</v>
      </c>
      <c r="AD187" s="3"/>
      <c r="AE187" s="3"/>
      <c r="AF187" s="3"/>
      <c r="AG187" s="3"/>
      <c r="AH187" s="3"/>
      <c r="AI187" s="3"/>
      <c r="AJ187" s="3"/>
      <c r="AK187" s="1"/>
      <c r="AL187" s="1"/>
      <c r="AM187" s="1"/>
      <c r="AN187" s="1"/>
      <c r="AO187" s="1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3"/>
      <c r="BY187" s="72"/>
      <c r="BZ187" s="72"/>
      <c r="CA187" s="72"/>
      <c r="CB187" s="72"/>
      <c r="CC187" s="72"/>
      <c r="CD187" s="72"/>
      <c r="CE187" s="72"/>
      <c r="CF187" s="72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DA187" s="138">
        <f>H187</f>
        <v>37</v>
      </c>
    </row>
    <row r="188" spans="1:105" ht="20.25" customHeight="1" x14ac:dyDescent="0.35">
      <c r="A188" s="65" t="s">
        <v>61</v>
      </c>
      <c r="B188" s="79" t="s">
        <v>680</v>
      </c>
      <c r="C188" s="79" t="s">
        <v>191</v>
      </c>
      <c r="D188" s="88" t="s">
        <v>264</v>
      </c>
      <c r="E188" s="65" t="s">
        <v>35</v>
      </c>
      <c r="F188" s="65" t="s">
        <v>53</v>
      </c>
      <c r="G188" s="65" t="s">
        <v>41</v>
      </c>
      <c r="H188" s="73">
        <f>H187/25*5</f>
        <v>7.4</v>
      </c>
      <c r="I188" s="89">
        <v>8.5</v>
      </c>
      <c r="J188" s="3">
        <v>10</v>
      </c>
      <c r="K188" s="3"/>
      <c r="L188" s="3">
        <v>10</v>
      </c>
      <c r="M188" s="3"/>
      <c r="N188" s="89">
        <v>10</v>
      </c>
      <c r="O188" s="3">
        <v>10</v>
      </c>
      <c r="P188" s="89">
        <v>10</v>
      </c>
      <c r="Q188" s="3">
        <v>10</v>
      </c>
      <c r="R188" s="3">
        <v>10</v>
      </c>
      <c r="S188" s="3">
        <v>10.5</v>
      </c>
      <c r="T188" s="3"/>
      <c r="U188" s="3"/>
      <c r="V188" s="87">
        <v>11</v>
      </c>
      <c r="W188" s="3"/>
      <c r="X188" s="3"/>
      <c r="Y188" s="3"/>
      <c r="Z188" s="3"/>
      <c r="AA188" s="3"/>
      <c r="AB188" s="3"/>
      <c r="AC188" s="3">
        <v>9.5</v>
      </c>
      <c r="AD188" s="3"/>
      <c r="AE188" s="3"/>
      <c r="AF188" s="3">
        <v>10.5</v>
      </c>
      <c r="AG188" s="3"/>
      <c r="AH188" s="3"/>
      <c r="AI188" s="3">
        <v>10</v>
      </c>
      <c r="AJ188" s="3"/>
      <c r="AK188" s="1">
        <v>10</v>
      </c>
      <c r="AL188" s="1">
        <v>10</v>
      </c>
      <c r="AM188" s="1">
        <v>9.5</v>
      </c>
      <c r="AN188" s="1"/>
      <c r="AO188" s="3">
        <v>10</v>
      </c>
      <c r="AP188" s="3">
        <v>10</v>
      </c>
      <c r="AQ188" s="3">
        <v>10</v>
      </c>
      <c r="AR188" s="3">
        <v>10</v>
      </c>
      <c r="AS188" s="3"/>
      <c r="AT188" s="3">
        <v>10</v>
      </c>
      <c r="AU188" s="3">
        <v>10</v>
      </c>
      <c r="AV188" s="3">
        <v>10</v>
      </c>
      <c r="AW188" s="3">
        <v>10</v>
      </c>
      <c r="AX188" s="3">
        <v>10</v>
      </c>
      <c r="AY188" s="3">
        <v>10</v>
      </c>
      <c r="AZ188" s="3">
        <v>10</v>
      </c>
      <c r="BA188" s="3">
        <v>10</v>
      </c>
      <c r="BB188" s="3"/>
      <c r="BC188" s="3">
        <v>10</v>
      </c>
      <c r="BD188" s="1"/>
      <c r="BE188" s="1"/>
      <c r="BF188" s="1"/>
      <c r="BG188" s="1"/>
      <c r="BH188" s="1"/>
      <c r="BI188" s="1">
        <v>12</v>
      </c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>
        <v>10</v>
      </c>
      <c r="BV188" s="1"/>
      <c r="BW188" s="1"/>
      <c r="BX188" s="3">
        <v>10</v>
      </c>
      <c r="BY188" s="72"/>
      <c r="BZ188" s="72">
        <v>10</v>
      </c>
      <c r="CA188" s="72"/>
      <c r="CB188" s="72"/>
      <c r="CC188" s="72"/>
      <c r="CD188" s="72"/>
      <c r="CE188" s="72"/>
      <c r="CF188" s="72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DA188" s="138">
        <f t="shared" ref="DA188:DA189" si="19">H188</f>
        <v>7.4</v>
      </c>
    </row>
    <row r="189" spans="1:105" ht="20.25" customHeight="1" x14ac:dyDescent="0.35">
      <c r="A189" s="65"/>
      <c r="B189" s="79" t="s">
        <v>681</v>
      </c>
      <c r="C189" s="79" t="s">
        <v>191</v>
      </c>
      <c r="D189" s="91"/>
      <c r="E189" s="5" t="s">
        <v>264</v>
      </c>
      <c r="F189" s="65" t="s">
        <v>33</v>
      </c>
      <c r="G189" s="65" t="s">
        <v>41</v>
      </c>
      <c r="H189" s="73">
        <f>H188/5</f>
        <v>1.48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87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72">
        <v>2.1</v>
      </c>
      <c r="AK189" s="1"/>
      <c r="AL189" s="1"/>
      <c r="AM189" s="1">
        <f>AM188/5+0.5</f>
        <v>2.4</v>
      </c>
      <c r="AN189" s="1"/>
      <c r="AO189" s="1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3"/>
      <c r="BY189" s="72"/>
      <c r="BZ189" s="72"/>
      <c r="CA189" s="72"/>
      <c r="CB189" s="72"/>
      <c r="CC189" s="72"/>
      <c r="CD189" s="72"/>
      <c r="CE189" s="72"/>
      <c r="CF189" s="72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DA189" s="138">
        <f t="shared" si="19"/>
        <v>1.48</v>
      </c>
    </row>
    <row r="190" spans="1:105" ht="20.25" customHeight="1" x14ac:dyDescent="0.35">
      <c r="A190" s="65"/>
      <c r="B190" s="79" t="s">
        <v>682</v>
      </c>
      <c r="C190" s="79" t="s">
        <v>192</v>
      </c>
      <c r="D190" s="88" t="s">
        <v>463</v>
      </c>
      <c r="E190" s="65" t="s">
        <v>35</v>
      </c>
      <c r="F190" s="65" t="s">
        <v>915</v>
      </c>
      <c r="G190" s="65" t="s">
        <v>41</v>
      </c>
      <c r="H190" s="73">
        <v>52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87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1"/>
      <c r="AL190" s="1"/>
      <c r="AM190" s="1"/>
      <c r="AN190" s="1"/>
      <c r="AO190" s="1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3"/>
      <c r="BY190" s="72"/>
      <c r="BZ190" s="72"/>
      <c r="CA190" s="72"/>
      <c r="CB190" s="72"/>
      <c r="CC190" s="72"/>
      <c r="CD190" s="72"/>
      <c r="CE190" s="72"/>
      <c r="CF190" s="72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DA190" s="138">
        <f>H190</f>
        <v>52</v>
      </c>
    </row>
    <row r="191" spans="1:105" ht="20.25" customHeight="1" x14ac:dyDescent="0.35">
      <c r="A191" s="65" t="s">
        <v>107</v>
      </c>
      <c r="B191" s="79" t="s">
        <v>683</v>
      </c>
      <c r="C191" s="79" t="s">
        <v>192</v>
      </c>
      <c r="D191" s="88" t="s">
        <v>463</v>
      </c>
      <c r="E191" s="65" t="s">
        <v>35</v>
      </c>
      <c r="F191" s="65" t="s">
        <v>53</v>
      </c>
      <c r="G191" s="65" t="s">
        <v>41</v>
      </c>
      <c r="H191" s="73">
        <f>H190/30*5</f>
        <v>8.6666666666666679</v>
      </c>
      <c r="I191" s="89">
        <v>11</v>
      </c>
      <c r="J191" s="3">
        <v>11</v>
      </c>
      <c r="K191" s="3"/>
      <c r="L191" s="3">
        <v>11</v>
      </c>
      <c r="M191" s="3"/>
      <c r="N191" s="89">
        <v>11</v>
      </c>
      <c r="O191" s="3">
        <v>10</v>
      </c>
      <c r="P191" s="89">
        <v>11</v>
      </c>
      <c r="Q191" s="3">
        <v>10.5</v>
      </c>
      <c r="R191" s="3">
        <v>10.5</v>
      </c>
      <c r="S191" s="3">
        <v>11</v>
      </c>
      <c r="T191" s="3"/>
      <c r="U191" s="3"/>
      <c r="V191" s="87">
        <v>10.5</v>
      </c>
      <c r="W191" s="3"/>
      <c r="X191" s="3"/>
      <c r="Y191" s="3"/>
      <c r="Z191" s="3"/>
      <c r="AA191" s="3"/>
      <c r="AB191" s="3">
        <v>11</v>
      </c>
      <c r="AC191" s="89">
        <v>10.5</v>
      </c>
      <c r="AD191" s="3"/>
      <c r="AE191" s="3"/>
      <c r="AF191" s="3"/>
      <c r="AG191" s="3">
        <v>10.5</v>
      </c>
      <c r="AH191" s="3"/>
      <c r="AI191" s="3"/>
      <c r="AJ191" s="3"/>
      <c r="AK191" s="1"/>
      <c r="AL191" s="1"/>
      <c r="AM191" s="1">
        <v>11</v>
      </c>
      <c r="AN191" s="1"/>
      <c r="AO191" s="1"/>
      <c r="AP191" s="3">
        <v>11</v>
      </c>
      <c r="AQ191" s="3">
        <v>11</v>
      </c>
      <c r="AR191" s="3">
        <v>11</v>
      </c>
      <c r="AS191" s="3"/>
      <c r="AT191" s="3">
        <v>11</v>
      </c>
      <c r="AU191" s="3">
        <v>11</v>
      </c>
      <c r="AV191" s="3">
        <v>11</v>
      </c>
      <c r="AW191" s="3">
        <v>11</v>
      </c>
      <c r="AX191" s="3">
        <v>11</v>
      </c>
      <c r="AY191" s="3">
        <v>11</v>
      </c>
      <c r="AZ191" s="3">
        <v>11</v>
      </c>
      <c r="BA191" s="3">
        <v>11</v>
      </c>
      <c r="BB191" s="3"/>
      <c r="BC191" s="3">
        <v>11</v>
      </c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>
        <v>10.5</v>
      </c>
      <c r="BV191" s="1"/>
      <c r="BW191" s="1"/>
      <c r="BX191" s="3"/>
      <c r="BY191" s="72"/>
      <c r="BZ191" s="72">
        <v>11</v>
      </c>
      <c r="CA191" s="72"/>
      <c r="CB191" s="72"/>
      <c r="CC191" s="72"/>
      <c r="CD191" s="72"/>
      <c r="CE191" s="72"/>
      <c r="CF191" s="72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DA191" s="138">
        <f t="shared" ref="DA191:DA196" si="20">H191</f>
        <v>8.6666666666666679</v>
      </c>
    </row>
    <row r="192" spans="1:105" ht="20.25" customHeight="1" x14ac:dyDescent="0.35">
      <c r="A192" s="65"/>
      <c r="B192" s="79" t="s">
        <v>684</v>
      </c>
      <c r="C192" s="79" t="s">
        <v>192</v>
      </c>
      <c r="D192" s="91"/>
      <c r="E192" s="5" t="s">
        <v>35</v>
      </c>
      <c r="F192" s="65" t="s">
        <v>33</v>
      </c>
      <c r="G192" s="65" t="s">
        <v>41</v>
      </c>
      <c r="H192" s="73">
        <f>H190/30</f>
        <v>1.7333333333333334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87"/>
      <c r="W192" s="3"/>
      <c r="X192" s="3"/>
      <c r="Y192" s="3"/>
      <c r="Z192" s="3"/>
      <c r="AA192" s="3"/>
      <c r="AB192" s="3"/>
      <c r="AC192" s="3"/>
      <c r="AD192" s="3"/>
      <c r="AE192" s="3"/>
      <c r="AF192" s="3">
        <v>10.5</v>
      </c>
      <c r="AG192" s="3"/>
      <c r="AH192" s="3"/>
      <c r="AI192" s="3"/>
      <c r="AJ192" s="3"/>
      <c r="AK192" s="1"/>
      <c r="AL192" s="1"/>
      <c r="AM192" s="1">
        <v>2.2999999999999998</v>
      </c>
      <c r="AN192" s="1"/>
      <c r="AO192" s="1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3"/>
      <c r="BY192" s="72"/>
      <c r="BZ192" s="72"/>
      <c r="CA192" s="72"/>
      <c r="CB192" s="72"/>
      <c r="CC192" s="72"/>
      <c r="CD192" s="72"/>
      <c r="CE192" s="72"/>
      <c r="CF192" s="72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DA192" s="138">
        <f t="shared" si="20"/>
        <v>1.7333333333333334</v>
      </c>
    </row>
    <row r="193" spans="1:105" ht="20.25" customHeight="1" x14ac:dyDescent="0.35">
      <c r="A193" s="65"/>
      <c r="B193" s="79" t="s">
        <v>685</v>
      </c>
      <c r="C193" s="79" t="s">
        <v>192</v>
      </c>
      <c r="D193" s="91"/>
      <c r="E193" s="5" t="s">
        <v>35</v>
      </c>
      <c r="F193" s="65" t="s">
        <v>433</v>
      </c>
      <c r="G193" s="65" t="s">
        <v>41</v>
      </c>
      <c r="H193" s="73">
        <f>H192*2.5</f>
        <v>4.3333333333333339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87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1"/>
      <c r="AL193" s="1"/>
      <c r="AM193" s="1"/>
      <c r="AN193" s="1"/>
      <c r="AO193" s="1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3"/>
      <c r="BY193" s="72"/>
      <c r="BZ193" s="72"/>
      <c r="CA193" s="72"/>
      <c r="CB193" s="72"/>
      <c r="CC193" s="72"/>
      <c r="CD193" s="72"/>
      <c r="CE193" s="72"/>
      <c r="CF193" s="72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DA193" s="138">
        <f t="shared" si="20"/>
        <v>4.3333333333333339</v>
      </c>
    </row>
    <row r="194" spans="1:105" ht="20.25" customHeight="1" x14ac:dyDescent="0.35">
      <c r="A194" s="65"/>
      <c r="B194" s="79" t="s">
        <v>686</v>
      </c>
      <c r="C194" s="79" t="s">
        <v>193</v>
      </c>
      <c r="D194" s="88" t="s">
        <v>463</v>
      </c>
      <c r="E194" s="65" t="s">
        <v>35</v>
      </c>
      <c r="F194" s="65" t="s">
        <v>915</v>
      </c>
      <c r="G194" s="65" t="s">
        <v>41</v>
      </c>
      <c r="H194" s="73">
        <v>44.5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87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1"/>
      <c r="AL194" s="1"/>
      <c r="AM194" s="1"/>
      <c r="AN194" s="1"/>
      <c r="AO194" s="1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3"/>
      <c r="BY194" s="72"/>
      <c r="BZ194" s="72"/>
      <c r="CA194" s="72"/>
      <c r="CB194" s="72"/>
      <c r="CC194" s="72"/>
      <c r="CD194" s="72"/>
      <c r="CE194" s="72"/>
      <c r="CF194" s="72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DA194" s="138">
        <f t="shared" si="20"/>
        <v>44.5</v>
      </c>
    </row>
    <row r="195" spans="1:105" ht="20.25" customHeight="1" x14ac:dyDescent="0.35">
      <c r="A195" s="65" t="s">
        <v>102</v>
      </c>
      <c r="B195" s="79" t="s">
        <v>687</v>
      </c>
      <c r="C195" s="79" t="s">
        <v>193</v>
      </c>
      <c r="D195" s="88" t="s">
        <v>463</v>
      </c>
      <c r="E195" s="65" t="s">
        <v>35</v>
      </c>
      <c r="F195" s="65" t="s">
        <v>53</v>
      </c>
      <c r="G195" s="65" t="s">
        <v>41</v>
      </c>
      <c r="H195" s="73">
        <f>H194/30*5</f>
        <v>7.416666666666667</v>
      </c>
      <c r="I195" s="89">
        <v>10</v>
      </c>
      <c r="J195" s="3">
        <v>10</v>
      </c>
      <c r="K195" s="3"/>
      <c r="L195" s="3">
        <v>10.8</v>
      </c>
      <c r="M195" s="3"/>
      <c r="N195" s="89">
        <v>10.5</v>
      </c>
      <c r="O195" s="3">
        <v>10.5</v>
      </c>
      <c r="P195" s="89">
        <v>10.5</v>
      </c>
      <c r="Q195" s="3">
        <v>10.5</v>
      </c>
      <c r="R195" s="3">
        <v>10.5</v>
      </c>
      <c r="S195" s="3">
        <v>11</v>
      </c>
      <c r="T195" s="3"/>
      <c r="U195" s="3"/>
      <c r="V195" s="87">
        <v>10.5</v>
      </c>
      <c r="W195" s="3"/>
      <c r="X195" s="3"/>
      <c r="Y195" s="3"/>
      <c r="Z195" s="3"/>
      <c r="AA195" s="3"/>
      <c r="AB195" s="3"/>
      <c r="AC195" s="3">
        <v>10.5</v>
      </c>
      <c r="AD195" s="3"/>
      <c r="AE195" s="3"/>
      <c r="AF195" s="3">
        <v>10.5</v>
      </c>
      <c r="AG195" s="3">
        <v>10.5</v>
      </c>
      <c r="AH195" s="3"/>
      <c r="AI195" s="3"/>
      <c r="AJ195" s="3"/>
      <c r="AK195" s="1"/>
      <c r="AL195" s="1"/>
      <c r="AM195" s="1">
        <v>10.5</v>
      </c>
      <c r="AN195" s="1"/>
      <c r="AO195" s="1">
        <v>10</v>
      </c>
      <c r="AP195" s="3">
        <v>10</v>
      </c>
      <c r="AQ195" s="3">
        <v>10</v>
      </c>
      <c r="AR195" s="3">
        <v>10</v>
      </c>
      <c r="AS195" s="3"/>
      <c r="AT195" s="3">
        <v>10</v>
      </c>
      <c r="AU195" s="3">
        <v>10</v>
      </c>
      <c r="AV195" s="3">
        <v>10</v>
      </c>
      <c r="AW195" s="3">
        <v>10</v>
      </c>
      <c r="AX195" s="3">
        <v>10</v>
      </c>
      <c r="AY195" s="3">
        <v>10</v>
      </c>
      <c r="AZ195" s="3">
        <v>10</v>
      </c>
      <c r="BA195" s="3">
        <v>10</v>
      </c>
      <c r="BB195" s="3"/>
      <c r="BC195" s="3">
        <v>10</v>
      </c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>
        <v>10.8</v>
      </c>
      <c r="BV195" s="1"/>
      <c r="BW195" s="1"/>
      <c r="BX195" s="3">
        <f>J195</f>
        <v>10</v>
      </c>
      <c r="BY195" s="72"/>
      <c r="BZ195" s="72">
        <v>10.5</v>
      </c>
      <c r="CA195" s="72"/>
      <c r="CB195" s="72"/>
      <c r="CC195" s="72"/>
      <c r="CD195" s="72"/>
      <c r="CE195" s="72"/>
      <c r="CF195" s="72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DA195" s="138">
        <f t="shared" si="20"/>
        <v>7.416666666666667</v>
      </c>
    </row>
    <row r="196" spans="1:105" ht="20.25" customHeight="1" x14ac:dyDescent="0.35">
      <c r="A196" s="65"/>
      <c r="B196" s="79" t="s">
        <v>688</v>
      </c>
      <c r="C196" s="79" t="s">
        <v>193</v>
      </c>
      <c r="D196" s="91"/>
      <c r="E196" s="5" t="s">
        <v>35</v>
      </c>
      <c r="F196" s="65" t="s">
        <v>33</v>
      </c>
      <c r="G196" s="65" t="s">
        <v>41</v>
      </c>
      <c r="H196" s="73">
        <f>H194/30</f>
        <v>1.4833333333333334</v>
      </c>
      <c r="I196" s="3">
        <f>I195/5+0.2</f>
        <v>2.2000000000000002</v>
      </c>
      <c r="J196" s="3"/>
      <c r="K196" s="3"/>
      <c r="L196" s="3"/>
      <c r="M196" s="3"/>
      <c r="N196" s="3"/>
      <c r="O196" s="3"/>
      <c r="P196" s="3"/>
      <c r="Q196" s="3">
        <v>2.2000000000000002</v>
      </c>
      <c r="R196" s="3"/>
      <c r="S196" s="3"/>
      <c r="T196" s="3"/>
      <c r="U196" s="3"/>
      <c r="V196" s="87"/>
      <c r="W196" s="3"/>
      <c r="X196" s="3"/>
      <c r="Y196" s="3"/>
      <c r="Z196" s="3"/>
      <c r="AA196" s="3"/>
      <c r="AB196" s="3"/>
      <c r="AC196" s="3"/>
      <c r="AD196" s="3"/>
      <c r="AE196" s="3"/>
      <c r="AF196" s="3">
        <v>2.2000000000000002</v>
      </c>
      <c r="AG196" s="3"/>
      <c r="AH196" s="3"/>
      <c r="AI196" s="3"/>
      <c r="AJ196" s="3">
        <v>2.2000000000000002</v>
      </c>
      <c r="AK196" s="1"/>
      <c r="AL196" s="1"/>
      <c r="AM196" s="1">
        <v>2.2000000000000002</v>
      </c>
      <c r="AN196" s="1"/>
      <c r="AO196" s="1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3"/>
      <c r="BY196" s="72">
        <v>2.1</v>
      </c>
      <c r="BZ196" s="72"/>
      <c r="CA196" s="72"/>
      <c r="CB196" s="72"/>
      <c r="CC196" s="72"/>
      <c r="CD196" s="72"/>
      <c r="CE196" s="72"/>
      <c r="CF196" s="72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DA196" s="138">
        <f t="shared" si="20"/>
        <v>1.4833333333333334</v>
      </c>
    </row>
    <row r="197" spans="1:105" ht="20.25" customHeight="1" x14ac:dyDescent="0.35">
      <c r="A197" s="65"/>
      <c r="B197" s="79" t="s">
        <v>689</v>
      </c>
      <c r="C197" s="79" t="s">
        <v>194</v>
      </c>
      <c r="D197" s="88" t="s">
        <v>463</v>
      </c>
      <c r="E197" s="65" t="s">
        <v>906</v>
      </c>
      <c r="F197" s="65" t="s">
        <v>482</v>
      </c>
      <c r="G197" s="65" t="s">
        <v>34</v>
      </c>
      <c r="H197" s="73">
        <f>H198*15</f>
        <v>132</v>
      </c>
      <c r="I197" s="89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87"/>
      <c r="W197" s="3"/>
      <c r="X197" s="3"/>
      <c r="Y197" s="3"/>
      <c r="Z197" s="3"/>
      <c r="AA197" s="3"/>
      <c r="AB197" s="3"/>
      <c r="AC197" s="3">
        <v>160</v>
      </c>
      <c r="AD197" s="3"/>
      <c r="AE197" s="3"/>
      <c r="AF197" s="3"/>
      <c r="AG197" s="3"/>
      <c r="AH197" s="3"/>
      <c r="AI197" s="3"/>
      <c r="AJ197" s="3"/>
      <c r="AK197" s="1"/>
      <c r="AL197" s="1"/>
      <c r="AM197" s="1"/>
      <c r="AN197" s="1"/>
      <c r="AO197" s="1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3"/>
      <c r="BY197" s="72"/>
      <c r="BZ197" s="72"/>
      <c r="CA197" s="72"/>
      <c r="CB197" s="72"/>
      <c r="CC197" s="72"/>
      <c r="CD197" s="72"/>
      <c r="CE197" s="72"/>
      <c r="CF197" s="72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DA197" s="139">
        <f>H197</f>
        <v>132</v>
      </c>
    </row>
    <row r="198" spans="1:105" ht="20.25" customHeight="1" x14ac:dyDescent="0.35">
      <c r="A198" s="65" t="s">
        <v>79</v>
      </c>
      <c r="B198" s="79" t="s">
        <v>690</v>
      </c>
      <c r="C198" s="79" t="s">
        <v>194</v>
      </c>
      <c r="D198" s="88" t="s">
        <v>463</v>
      </c>
      <c r="E198" s="65" t="s">
        <v>149</v>
      </c>
      <c r="F198" s="65" t="s">
        <v>33</v>
      </c>
      <c r="G198" s="65" t="s">
        <v>41</v>
      </c>
      <c r="H198" s="73">
        <v>8.8000000000000007</v>
      </c>
      <c r="I198" s="89">
        <v>12</v>
      </c>
      <c r="J198" s="3">
        <v>12</v>
      </c>
      <c r="K198" s="3"/>
      <c r="L198" s="3">
        <v>12</v>
      </c>
      <c r="M198" s="3"/>
      <c r="N198" s="89">
        <v>12</v>
      </c>
      <c r="O198" s="3">
        <v>12</v>
      </c>
      <c r="P198" s="89">
        <v>12</v>
      </c>
      <c r="Q198" s="3">
        <v>13</v>
      </c>
      <c r="R198" s="3"/>
      <c r="S198" s="3">
        <v>13</v>
      </c>
      <c r="T198" s="3"/>
      <c r="U198" s="3"/>
      <c r="V198" s="87">
        <v>12</v>
      </c>
      <c r="W198" s="3"/>
      <c r="X198" s="3"/>
      <c r="Y198" s="3"/>
      <c r="Z198" s="3"/>
      <c r="AA198" s="3"/>
      <c r="AB198" s="3">
        <v>12</v>
      </c>
      <c r="AC198" s="3"/>
      <c r="AD198" s="3"/>
      <c r="AE198" s="3"/>
      <c r="AF198" s="3">
        <v>13</v>
      </c>
      <c r="AG198" s="3"/>
      <c r="AH198" s="3"/>
      <c r="AI198" s="3"/>
      <c r="AJ198" s="3"/>
      <c r="AK198" s="1">
        <v>12</v>
      </c>
      <c r="AL198" s="1"/>
      <c r="AM198" s="1">
        <v>12</v>
      </c>
      <c r="AN198" s="1"/>
      <c r="AO198" s="1"/>
      <c r="AP198" s="3">
        <v>12</v>
      </c>
      <c r="AQ198" s="3">
        <v>0</v>
      </c>
      <c r="AR198" s="3">
        <v>12</v>
      </c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1"/>
      <c r="BE198" s="1"/>
      <c r="BF198" s="1"/>
      <c r="BG198" s="1"/>
      <c r="BH198" s="1"/>
      <c r="BI198" s="1"/>
      <c r="BJ198" s="1"/>
      <c r="BK198" s="1">
        <v>13</v>
      </c>
      <c r="BL198" s="1"/>
      <c r="BM198" s="1"/>
      <c r="BN198" s="1"/>
      <c r="BO198" s="1"/>
      <c r="BP198" s="1"/>
      <c r="BQ198" s="1"/>
      <c r="BR198" s="1"/>
      <c r="BS198" s="1"/>
      <c r="BT198" s="1"/>
      <c r="BU198" s="1">
        <v>12</v>
      </c>
      <c r="BV198" s="1"/>
      <c r="BW198" s="1"/>
      <c r="BX198" s="3"/>
      <c r="BY198" s="72"/>
      <c r="BZ198" s="72">
        <v>0</v>
      </c>
      <c r="CA198" s="72"/>
      <c r="CB198" s="72"/>
      <c r="CC198" s="72"/>
      <c r="CD198" s="72"/>
      <c r="CE198" s="72"/>
      <c r="CF198" s="72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DA198" s="139">
        <f>H198</f>
        <v>8.8000000000000007</v>
      </c>
    </row>
    <row r="199" spans="1:105" ht="20.25" customHeight="1" x14ac:dyDescent="0.35">
      <c r="A199" s="65"/>
      <c r="B199" s="79" t="s">
        <v>691</v>
      </c>
      <c r="C199" s="79" t="s">
        <v>194</v>
      </c>
      <c r="D199" s="91"/>
      <c r="E199" s="65" t="s">
        <v>302</v>
      </c>
      <c r="F199" s="65" t="s">
        <v>692</v>
      </c>
      <c r="G199" s="65" t="s">
        <v>34</v>
      </c>
      <c r="H199" s="73">
        <f>H200*10</f>
        <v>93</v>
      </c>
      <c r="I199" s="89"/>
      <c r="J199" s="3"/>
      <c r="K199" s="3"/>
      <c r="L199" s="3"/>
      <c r="M199" s="3"/>
      <c r="N199" s="3"/>
      <c r="O199" s="3"/>
      <c r="P199" s="3"/>
      <c r="Q199" s="3"/>
      <c r="R199" s="3">
        <v>120</v>
      </c>
      <c r="S199" s="3"/>
      <c r="T199" s="3"/>
      <c r="U199" s="3"/>
      <c r="V199" s="87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1"/>
      <c r="AL199" s="1"/>
      <c r="AM199" s="1"/>
      <c r="AN199" s="1"/>
      <c r="AO199" s="1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3"/>
      <c r="BY199" s="72"/>
      <c r="BZ199" s="72"/>
      <c r="CA199" s="72"/>
      <c r="CB199" s="72"/>
      <c r="CC199" s="72"/>
      <c r="CD199" s="72"/>
      <c r="CE199" s="72"/>
      <c r="CF199" s="72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DA199" s="139">
        <f>H199</f>
        <v>93</v>
      </c>
    </row>
    <row r="200" spans="1:105" ht="20.25" customHeight="1" x14ac:dyDescent="0.35">
      <c r="A200" s="65"/>
      <c r="B200" s="79" t="s">
        <v>693</v>
      </c>
      <c r="C200" s="79" t="s">
        <v>194</v>
      </c>
      <c r="D200" s="91" t="s">
        <v>461</v>
      </c>
      <c r="E200" s="65" t="s">
        <v>302</v>
      </c>
      <c r="F200" s="65" t="s">
        <v>33</v>
      </c>
      <c r="G200" s="65" t="s">
        <v>41</v>
      </c>
      <c r="H200" s="73">
        <v>9.3000000000000007</v>
      </c>
      <c r="I200" s="3">
        <v>14</v>
      </c>
      <c r="J200" s="3">
        <v>12</v>
      </c>
      <c r="K200" s="3"/>
      <c r="L200" s="3">
        <v>12</v>
      </c>
      <c r="M200" s="3"/>
      <c r="N200" s="3"/>
      <c r="O200" s="3"/>
      <c r="P200" s="3"/>
      <c r="Q200" s="3"/>
      <c r="R200" s="3"/>
      <c r="S200" s="3"/>
      <c r="T200" s="3"/>
      <c r="U200" s="3"/>
      <c r="V200" s="87"/>
      <c r="W200" s="3"/>
      <c r="X200" s="3"/>
      <c r="Y200" s="3"/>
      <c r="Z200" s="3"/>
      <c r="AA200" s="3"/>
      <c r="AB200" s="3"/>
      <c r="AC200" s="3"/>
      <c r="AD200" s="3"/>
      <c r="AE200" s="3"/>
      <c r="AF200" s="3">
        <v>13</v>
      </c>
      <c r="AG200" s="3"/>
      <c r="AH200" s="3"/>
      <c r="AI200" s="3"/>
      <c r="AJ200" s="3"/>
      <c r="AK200" s="1"/>
      <c r="AL200" s="1"/>
      <c r="AM200" s="1"/>
      <c r="AN200" s="1"/>
      <c r="AO200" s="3">
        <v>12</v>
      </c>
      <c r="AP200" s="3"/>
      <c r="AQ200" s="3">
        <v>12</v>
      </c>
      <c r="AR200" s="3"/>
      <c r="AS200" s="3"/>
      <c r="AT200" s="3">
        <v>12</v>
      </c>
      <c r="AU200" s="3">
        <v>12</v>
      </c>
      <c r="AV200" s="3">
        <v>12</v>
      </c>
      <c r="AW200" s="3">
        <v>12</v>
      </c>
      <c r="AX200" s="3">
        <v>12</v>
      </c>
      <c r="AY200" s="3">
        <v>12</v>
      </c>
      <c r="AZ200" s="3">
        <v>12</v>
      </c>
      <c r="BA200" s="3">
        <v>12</v>
      </c>
      <c r="BB200" s="3"/>
      <c r="BC200" s="3">
        <v>12</v>
      </c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>
        <v>13</v>
      </c>
      <c r="BP200" s="1"/>
      <c r="BQ200" s="1"/>
      <c r="BR200" s="1"/>
      <c r="BS200" s="1"/>
      <c r="BT200" s="1"/>
      <c r="BU200" s="1"/>
      <c r="BV200" s="1"/>
      <c r="BW200" s="1"/>
      <c r="BX200" s="3">
        <f>J200</f>
        <v>12</v>
      </c>
      <c r="BY200" s="72"/>
      <c r="BZ200" s="72">
        <v>13.5</v>
      </c>
      <c r="CA200" s="72"/>
      <c r="CB200" s="72"/>
      <c r="CC200" s="72"/>
      <c r="CD200" s="72"/>
      <c r="CE200" s="72"/>
      <c r="CF200" s="72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DA200" s="139">
        <f>H200</f>
        <v>9.3000000000000007</v>
      </c>
    </row>
    <row r="201" spans="1:105" ht="20.25" customHeight="1" x14ac:dyDescent="0.35">
      <c r="A201" s="65"/>
      <c r="B201" s="79" t="s">
        <v>694</v>
      </c>
      <c r="C201" s="79" t="s">
        <v>390</v>
      </c>
      <c r="D201" s="88" t="s">
        <v>461</v>
      </c>
      <c r="E201" s="65" t="s">
        <v>304</v>
      </c>
      <c r="F201" s="65" t="s">
        <v>33</v>
      </c>
      <c r="G201" s="65" t="s">
        <v>41</v>
      </c>
      <c r="H201" s="73">
        <v>11.8</v>
      </c>
      <c r="I201" s="89"/>
      <c r="J201" s="3">
        <v>16</v>
      </c>
      <c r="K201" s="3"/>
      <c r="L201" s="3">
        <v>17</v>
      </c>
      <c r="M201" s="3">
        <v>16</v>
      </c>
      <c r="N201" s="89">
        <v>16</v>
      </c>
      <c r="O201" s="3">
        <v>17</v>
      </c>
      <c r="P201" s="89">
        <v>16</v>
      </c>
      <c r="Q201" s="3">
        <v>16</v>
      </c>
      <c r="R201" s="3">
        <v>16</v>
      </c>
      <c r="S201" s="3">
        <v>17</v>
      </c>
      <c r="T201" s="3"/>
      <c r="U201" s="3"/>
      <c r="V201" s="87">
        <v>17</v>
      </c>
      <c r="W201" s="3"/>
      <c r="X201" s="3"/>
      <c r="Y201" s="3"/>
      <c r="Z201" s="3"/>
      <c r="AA201" s="3"/>
      <c r="AB201" s="3">
        <v>16</v>
      </c>
      <c r="AC201" s="3"/>
      <c r="AD201" s="3"/>
      <c r="AE201" s="3"/>
      <c r="AF201" s="3"/>
      <c r="AG201" s="3"/>
      <c r="AH201" s="3"/>
      <c r="AI201" s="3"/>
      <c r="AJ201" s="3"/>
      <c r="AK201" s="1"/>
      <c r="AL201" s="1"/>
      <c r="AM201" s="1"/>
      <c r="AN201" s="1"/>
      <c r="AO201" s="1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1"/>
      <c r="BE201" s="1"/>
      <c r="BF201" s="1"/>
      <c r="BG201" s="1"/>
      <c r="BH201" s="1"/>
      <c r="BI201" s="1"/>
      <c r="BJ201" s="1"/>
      <c r="BK201" s="11">
        <v>18</v>
      </c>
      <c r="BL201" s="1"/>
      <c r="BM201" s="1"/>
      <c r="BN201" s="1"/>
      <c r="BO201" s="1"/>
      <c r="BP201" s="1"/>
      <c r="BQ201" s="1"/>
      <c r="BR201" s="1"/>
      <c r="BS201" s="1"/>
      <c r="BT201" s="1"/>
      <c r="BU201" s="1">
        <v>16</v>
      </c>
      <c r="BV201" s="1"/>
      <c r="BW201" s="1"/>
      <c r="BX201" s="3">
        <f>J201</f>
        <v>16</v>
      </c>
      <c r="BY201" s="72"/>
      <c r="BZ201" s="72"/>
      <c r="CA201" s="72"/>
      <c r="CB201" s="72"/>
      <c r="CC201" s="72"/>
      <c r="CD201" s="72"/>
      <c r="CE201" s="72"/>
      <c r="CF201" s="72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DA201" s="139">
        <f>H201</f>
        <v>11.8</v>
      </c>
    </row>
    <row r="202" spans="1:105" ht="20.25" customHeight="1" x14ac:dyDescent="0.35">
      <c r="A202" s="65"/>
      <c r="B202" s="79" t="s">
        <v>695</v>
      </c>
      <c r="C202" s="79"/>
      <c r="D202" s="91"/>
      <c r="E202" s="65"/>
      <c r="F202" s="65"/>
      <c r="G202" s="65"/>
      <c r="H202" s="145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87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1"/>
      <c r="AL202" s="1"/>
      <c r="AM202" s="1"/>
      <c r="AN202" s="1"/>
      <c r="AO202" s="1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3"/>
      <c r="BY202" s="72"/>
      <c r="BZ202" s="72"/>
      <c r="CA202" s="72"/>
      <c r="CB202" s="72"/>
      <c r="CC202" s="72"/>
      <c r="CD202" s="72"/>
      <c r="CE202" s="72"/>
      <c r="CF202" s="72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</row>
    <row r="203" spans="1:105" ht="20.25" customHeight="1" x14ac:dyDescent="0.35">
      <c r="A203" s="65" t="s">
        <v>112</v>
      </c>
      <c r="B203" s="79" t="s">
        <v>696</v>
      </c>
      <c r="C203" s="79" t="s">
        <v>391</v>
      </c>
      <c r="D203" s="91" t="s">
        <v>461</v>
      </c>
      <c r="E203" s="65" t="s">
        <v>304</v>
      </c>
      <c r="F203" s="65" t="s">
        <v>33</v>
      </c>
      <c r="G203" s="65" t="s">
        <v>41</v>
      </c>
      <c r="H203" s="73">
        <v>11</v>
      </c>
      <c r="I203" s="3">
        <v>16</v>
      </c>
      <c r="J203" s="3">
        <v>16</v>
      </c>
      <c r="K203" s="3"/>
      <c r="L203" s="3"/>
      <c r="M203" s="3">
        <v>16</v>
      </c>
      <c r="N203" s="3"/>
      <c r="O203" s="3"/>
      <c r="P203" s="3"/>
      <c r="Q203" s="3"/>
      <c r="R203" s="3"/>
      <c r="S203" s="3"/>
      <c r="T203" s="3"/>
      <c r="U203" s="3"/>
      <c r="V203" s="87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1"/>
      <c r="AL203" s="1"/>
      <c r="AM203" s="1"/>
      <c r="AN203" s="1"/>
      <c r="AO203" s="1"/>
      <c r="AP203" s="3">
        <v>16</v>
      </c>
      <c r="AQ203" s="3">
        <v>16</v>
      </c>
      <c r="AR203" s="3">
        <v>16</v>
      </c>
      <c r="AS203" s="3"/>
      <c r="AT203" s="3">
        <v>16</v>
      </c>
      <c r="AU203" s="3">
        <v>16</v>
      </c>
      <c r="AV203" s="3">
        <v>16</v>
      </c>
      <c r="AW203" s="3">
        <v>16</v>
      </c>
      <c r="AX203" s="3">
        <v>16</v>
      </c>
      <c r="AY203" s="3">
        <v>16</v>
      </c>
      <c r="AZ203" s="3">
        <v>16</v>
      </c>
      <c r="BA203" s="3">
        <v>16</v>
      </c>
      <c r="BB203" s="3"/>
      <c r="BC203" s="3">
        <v>16</v>
      </c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3">
        <v>16</v>
      </c>
      <c r="BY203" s="72"/>
      <c r="BZ203" s="72">
        <v>17</v>
      </c>
      <c r="CA203" s="72"/>
      <c r="CB203" s="72"/>
      <c r="CC203" s="72"/>
      <c r="CD203" s="72"/>
      <c r="CE203" s="72"/>
      <c r="CF203" s="72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DA203" s="139">
        <f>H203</f>
        <v>11</v>
      </c>
    </row>
    <row r="204" spans="1:105" ht="20.25" customHeight="1" x14ac:dyDescent="0.35">
      <c r="A204" s="65" t="s">
        <v>82</v>
      </c>
      <c r="B204" s="79" t="s">
        <v>697</v>
      </c>
      <c r="C204" s="79" t="s">
        <v>252</v>
      </c>
      <c r="D204" s="88" t="s">
        <v>461</v>
      </c>
      <c r="E204" s="65" t="s">
        <v>302</v>
      </c>
      <c r="F204" s="65" t="s">
        <v>33</v>
      </c>
      <c r="G204" s="65" t="s">
        <v>41</v>
      </c>
      <c r="H204" s="73">
        <v>19.5</v>
      </c>
      <c r="I204" s="89">
        <v>23</v>
      </c>
      <c r="J204" s="3">
        <v>22</v>
      </c>
      <c r="K204" s="3"/>
      <c r="L204" s="3"/>
      <c r="M204" s="3"/>
      <c r="N204" s="3"/>
      <c r="O204" s="3"/>
      <c r="P204" s="89">
        <v>23</v>
      </c>
      <c r="Q204" s="3">
        <v>22</v>
      </c>
      <c r="R204" s="3">
        <v>23</v>
      </c>
      <c r="S204" s="3"/>
      <c r="T204" s="3"/>
      <c r="U204" s="3"/>
      <c r="V204" s="87"/>
      <c r="W204" s="3"/>
      <c r="X204" s="3"/>
      <c r="Y204" s="3"/>
      <c r="Z204" s="3"/>
      <c r="AA204" s="3"/>
      <c r="AB204" s="3"/>
      <c r="AC204" s="3">
        <v>23</v>
      </c>
      <c r="AD204" s="3"/>
      <c r="AE204" s="3"/>
      <c r="AF204" s="3"/>
      <c r="AG204" s="3"/>
      <c r="AH204" s="3"/>
      <c r="AI204" s="3"/>
      <c r="AJ204" s="3"/>
      <c r="AK204" s="1"/>
      <c r="AL204" s="1"/>
      <c r="AM204" s="1"/>
      <c r="AN204" s="1"/>
      <c r="AO204" s="1"/>
      <c r="AP204" s="3">
        <v>22</v>
      </c>
      <c r="AQ204" s="3">
        <v>22</v>
      </c>
      <c r="AR204" s="3">
        <v>22</v>
      </c>
      <c r="AS204" s="3"/>
      <c r="AT204" s="3">
        <v>22</v>
      </c>
      <c r="AU204" s="3">
        <v>22</v>
      </c>
      <c r="AV204" s="3">
        <v>22</v>
      </c>
      <c r="AW204" s="3">
        <v>22</v>
      </c>
      <c r="AX204" s="3">
        <v>22</v>
      </c>
      <c r="AY204" s="3">
        <v>22</v>
      </c>
      <c r="AZ204" s="3">
        <v>22</v>
      </c>
      <c r="BA204" s="3">
        <v>22</v>
      </c>
      <c r="BB204" s="3"/>
      <c r="BC204" s="3">
        <v>22</v>
      </c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3"/>
      <c r="BY204" s="72"/>
      <c r="BZ204" s="72">
        <v>24</v>
      </c>
      <c r="CA204" s="72"/>
      <c r="CB204" s="72"/>
      <c r="CC204" s="72"/>
      <c r="CD204" s="72"/>
      <c r="CE204" s="72"/>
      <c r="CF204" s="72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DA204" s="139">
        <f>H204</f>
        <v>19.5</v>
      </c>
    </row>
    <row r="205" spans="1:105" ht="20.25" customHeight="1" x14ac:dyDescent="0.35">
      <c r="A205" s="65"/>
      <c r="B205" s="79" t="s">
        <v>698</v>
      </c>
      <c r="C205" s="79" t="s">
        <v>252</v>
      </c>
      <c r="D205" s="91"/>
      <c r="E205" s="65" t="s">
        <v>302</v>
      </c>
      <c r="F205" s="65" t="s">
        <v>422</v>
      </c>
      <c r="G205" s="65"/>
      <c r="H205" s="73">
        <f>H204/1000*100</f>
        <v>1.95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87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1"/>
      <c r="AL205" s="1"/>
      <c r="AM205" s="1"/>
      <c r="AN205" s="1"/>
      <c r="AO205" s="1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>
        <v>2.7</v>
      </c>
      <c r="BP205" s="1"/>
      <c r="BQ205" s="1"/>
      <c r="BR205" s="1"/>
      <c r="BS205" s="1"/>
      <c r="BT205" s="1"/>
      <c r="BU205" s="1"/>
      <c r="BV205" s="1"/>
      <c r="BW205" s="1"/>
      <c r="BX205" s="3"/>
      <c r="BY205" s="72"/>
      <c r="BZ205" s="72"/>
      <c r="CA205" s="72"/>
      <c r="CB205" s="72"/>
      <c r="CC205" s="72"/>
      <c r="CD205" s="72"/>
      <c r="CE205" s="72"/>
      <c r="CF205" s="72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DA205" s="139">
        <f>H205</f>
        <v>1.95</v>
      </c>
    </row>
    <row r="206" spans="1:105" ht="20.25" customHeight="1" x14ac:dyDescent="0.35">
      <c r="A206" s="65" t="s">
        <v>106</v>
      </c>
      <c r="B206" s="79" t="s">
        <v>699</v>
      </c>
      <c r="C206" s="79" t="s">
        <v>924</v>
      </c>
      <c r="D206" s="88" t="s">
        <v>461</v>
      </c>
      <c r="E206" s="65" t="s">
        <v>35</v>
      </c>
      <c r="F206" s="65" t="s">
        <v>33</v>
      </c>
      <c r="G206" s="65" t="s">
        <v>41</v>
      </c>
      <c r="H206" s="73">
        <v>4.3</v>
      </c>
      <c r="I206" s="89">
        <v>5.5</v>
      </c>
      <c r="J206" s="3">
        <v>5</v>
      </c>
      <c r="K206" s="3"/>
      <c r="L206" s="3"/>
      <c r="M206" s="3"/>
      <c r="N206" s="3"/>
      <c r="O206" s="3"/>
      <c r="P206" s="89">
        <v>5.3</v>
      </c>
      <c r="Q206" s="3">
        <v>5.5</v>
      </c>
      <c r="R206" s="3"/>
      <c r="S206" s="3">
        <v>6</v>
      </c>
      <c r="T206" s="3"/>
      <c r="U206" s="3"/>
      <c r="V206" s="87">
        <v>6</v>
      </c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1"/>
      <c r="AL206" s="1"/>
      <c r="AM206" s="1">
        <v>5.5</v>
      </c>
      <c r="AN206" s="1"/>
      <c r="AO206" s="3">
        <v>5</v>
      </c>
      <c r="AP206" s="3">
        <v>5</v>
      </c>
      <c r="AQ206" s="3">
        <v>5</v>
      </c>
      <c r="AR206" s="3">
        <v>5</v>
      </c>
      <c r="AS206" s="3"/>
      <c r="AT206" s="3">
        <v>5</v>
      </c>
      <c r="AU206" s="3">
        <v>5</v>
      </c>
      <c r="AV206" s="3">
        <v>5</v>
      </c>
      <c r="AW206" s="3">
        <v>5</v>
      </c>
      <c r="AX206" s="3">
        <v>5</v>
      </c>
      <c r="AY206" s="3">
        <v>5</v>
      </c>
      <c r="AZ206" s="3">
        <v>5</v>
      </c>
      <c r="BA206" s="3">
        <v>5</v>
      </c>
      <c r="BB206" s="3"/>
      <c r="BC206" s="3">
        <v>5</v>
      </c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>
        <v>5.5</v>
      </c>
      <c r="BV206" s="1"/>
      <c r="BW206" s="1"/>
      <c r="BX206" s="3">
        <f>J206</f>
        <v>5</v>
      </c>
      <c r="BY206" s="72"/>
      <c r="BZ206" s="72">
        <v>0</v>
      </c>
      <c r="CA206" s="72"/>
      <c r="CB206" s="72"/>
      <c r="CC206" s="72"/>
      <c r="CD206" s="72"/>
      <c r="CE206" s="72"/>
      <c r="CF206" s="72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DA206" s="138">
        <f>H206</f>
        <v>4.3</v>
      </c>
    </row>
    <row r="207" spans="1:105" ht="20.25" customHeight="1" x14ac:dyDescent="0.35">
      <c r="A207" s="65"/>
      <c r="B207" s="79" t="s">
        <v>700</v>
      </c>
      <c r="C207" s="79" t="s">
        <v>195</v>
      </c>
      <c r="D207" s="91"/>
      <c r="E207" s="5" t="s">
        <v>35</v>
      </c>
      <c r="F207" s="65" t="s">
        <v>433</v>
      </c>
      <c r="G207" s="65" t="s">
        <v>41</v>
      </c>
      <c r="H207" s="73">
        <f>3.8*2.5</f>
        <v>9.5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87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1"/>
      <c r="AL207" s="1"/>
      <c r="AM207" s="1"/>
      <c r="AN207" s="1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3"/>
      <c r="BY207" s="72"/>
      <c r="BZ207" s="72">
        <v>12</v>
      </c>
      <c r="CA207" s="72"/>
      <c r="CB207" s="72"/>
      <c r="CC207" s="72"/>
      <c r="CD207" s="72"/>
      <c r="CE207" s="72"/>
      <c r="CF207" s="72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DA207" s="66">
        <f>H207</f>
        <v>9.5</v>
      </c>
    </row>
    <row r="208" spans="1:105" ht="20.25" customHeight="1" x14ac:dyDescent="0.35">
      <c r="A208" s="65"/>
      <c r="B208" s="79" t="s">
        <v>1037</v>
      </c>
      <c r="C208" s="79" t="s">
        <v>195</v>
      </c>
      <c r="D208" s="91"/>
      <c r="E208" s="5" t="s">
        <v>35</v>
      </c>
      <c r="F208" s="65" t="s">
        <v>1162</v>
      </c>
      <c r="G208" s="65" t="s">
        <v>41</v>
      </c>
      <c r="H208" s="86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87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1"/>
      <c r="AL208" s="1"/>
      <c r="AM208" s="1"/>
      <c r="AN208" s="1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3"/>
      <c r="BY208" s="72"/>
      <c r="BZ208" s="72"/>
      <c r="CA208" s="72"/>
      <c r="CB208" s="72"/>
      <c r="CC208" s="72"/>
      <c r="CD208" s="72"/>
      <c r="CE208" s="72"/>
      <c r="CF208" s="72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DA208" s="66"/>
    </row>
    <row r="209" spans="1:105" ht="20.25" customHeight="1" x14ac:dyDescent="0.35">
      <c r="A209" s="65" t="s">
        <v>116</v>
      </c>
      <c r="B209" s="79" t="s">
        <v>701</v>
      </c>
      <c r="C209" s="79" t="s">
        <v>196</v>
      </c>
      <c r="D209" s="88" t="s">
        <v>461</v>
      </c>
      <c r="E209" s="65" t="s">
        <v>56</v>
      </c>
      <c r="F209" s="65" t="s">
        <v>1162</v>
      </c>
      <c r="G209" s="65" t="s">
        <v>504</v>
      </c>
      <c r="H209" s="73">
        <v>4.8</v>
      </c>
      <c r="I209" s="89">
        <v>6.5</v>
      </c>
      <c r="J209" s="3">
        <v>6.5</v>
      </c>
      <c r="K209" s="3"/>
      <c r="L209" s="3"/>
      <c r="M209" s="3"/>
      <c r="N209" s="3"/>
      <c r="O209" s="3"/>
      <c r="P209" s="3"/>
      <c r="Q209" s="3"/>
      <c r="R209" s="3"/>
      <c r="S209" s="3">
        <v>9</v>
      </c>
      <c r="T209" s="3"/>
      <c r="U209" s="3"/>
      <c r="V209" s="87">
        <v>9</v>
      </c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1"/>
      <c r="AL209" s="1"/>
      <c r="AM209" s="1"/>
      <c r="AN209" s="1"/>
      <c r="AO209" s="1"/>
      <c r="AP209" s="3">
        <v>6.5</v>
      </c>
      <c r="AQ209" s="3">
        <v>6.5</v>
      </c>
      <c r="AR209" s="3">
        <v>6.5</v>
      </c>
      <c r="AS209" s="3"/>
      <c r="AT209" s="3">
        <v>6.5</v>
      </c>
      <c r="AU209" s="3">
        <v>6.5</v>
      </c>
      <c r="AV209" s="3">
        <v>6.5</v>
      </c>
      <c r="AW209" s="3">
        <v>6.5</v>
      </c>
      <c r="AX209" s="3">
        <v>6.5</v>
      </c>
      <c r="AY209" s="3">
        <v>6.5</v>
      </c>
      <c r="AZ209" s="3">
        <v>6.5</v>
      </c>
      <c r="BA209" s="3">
        <v>6.5</v>
      </c>
      <c r="BB209" s="3"/>
      <c r="BC209" s="3">
        <v>6.5</v>
      </c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3"/>
      <c r="BY209" s="72"/>
      <c r="BZ209" s="72"/>
      <c r="CA209" s="72"/>
      <c r="CB209" s="72"/>
      <c r="CC209" s="72"/>
      <c r="CD209" s="72"/>
      <c r="CE209" s="72"/>
      <c r="CF209" s="72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DA209" s="66">
        <f>H209</f>
        <v>4.8</v>
      </c>
    </row>
    <row r="210" spans="1:105" ht="20.25" customHeight="1" x14ac:dyDescent="0.35">
      <c r="A210" s="5"/>
      <c r="B210" s="79" t="s">
        <v>702</v>
      </c>
      <c r="C210" s="79" t="s">
        <v>239</v>
      </c>
      <c r="D210" s="79"/>
      <c r="E210" s="5" t="s">
        <v>35</v>
      </c>
      <c r="F210" s="5" t="s">
        <v>53</v>
      </c>
      <c r="G210" s="65" t="s">
        <v>41</v>
      </c>
      <c r="H210" s="73">
        <f>2.9*5</f>
        <v>14.5</v>
      </c>
      <c r="I210" s="3"/>
      <c r="J210" s="3"/>
      <c r="K210" s="3"/>
      <c r="L210" s="3">
        <v>19</v>
      </c>
      <c r="M210" s="3">
        <v>19</v>
      </c>
      <c r="N210" s="3"/>
      <c r="O210" s="3">
        <v>19</v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>
        <v>19</v>
      </c>
      <c r="AD210" s="3"/>
      <c r="AE210" s="3"/>
      <c r="AF210" s="3"/>
      <c r="AG210" s="3"/>
      <c r="AH210" s="3"/>
      <c r="AI210" s="3"/>
      <c r="AJ210" s="3"/>
      <c r="AK210" s="1"/>
      <c r="AL210" s="1"/>
      <c r="AM210" s="1"/>
      <c r="AN210" s="1"/>
      <c r="AO210" s="1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3"/>
      <c r="BY210" s="72"/>
      <c r="BZ210" s="72"/>
      <c r="CA210" s="72"/>
      <c r="CB210" s="72"/>
      <c r="CC210" s="72"/>
      <c r="CD210" s="72"/>
      <c r="CE210" s="72"/>
      <c r="CF210" s="72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DA210" s="142">
        <f>H210</f>
        <v>14.5</v>
      </c>
    </row>
    <row r="211" spans="1:105" ht="20.25" customHeight="1" x14ac:dyDescent="0.35">
      <c r="A211" s="5"/>
      <c r="B211" s="79" t="s">
        <v>898</v>
      </c>
      <c r="C211" s="79" t="s">
        <v>239</v>
      </c>
      <c r="D211" s="79"/>
      <c r="E211" s="5" t="s">
        <v>35</v>
      </c>
      <c r="F211" s="5" t="s">
        <v>256</v>
      </c>
      <c r="G211" s="65" t="s">
        <v>41</v>
      </c>
      <c r="H211" s="73">
        <f>2.9*2</f>
        <v>5.8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1"/>
      <c r="AL211" s="1"/>
      <c r="AM211" s="1"/>
      <c r="AN211" s="1"/>
      <c r="AO211" s="1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3"/>
      <c r="BY211" s="72"/>
      <c r="BZ211" s="72"/>
      <c r="CA211" s="72"/>
      <c r="CB211" s="72"/>
      <c r="CC211" s="72"/>
      <c r="CD211" s="72"/>
      <c r="CE211" s="72"/>
      <c r="CF211" s="72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DA211" s="142">
        <f>H211</f>
        <v>5.8</v>
      </c>
    </row>
    <row r="212" spans="1:105" ht="20.25" customHeight="1" x14ac:dyDescent="0.35">
      <c r="A212" s="5"/>
      <c r="B212" s="79" t="s">
        <v>703</v>
      </c>
      <c r="C212" s="79" t="s">
        <v>704</v>
      </c>
      <c r="D212" s="65" t="s">
        <v>461</v>
      </c>
      <c r="E212" s="5"/>
      <c r="F212" s="5" t="s">
        <v>73</v>
      </c>
      <c r="G212" s="65" t="s">
        <v>50</v>
      </c>
      <c r="H212" s="86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1"/>
      <c r="AL212" s="1"/>
      <c r="AM212" s="1"/>
      <c r="AN212" s="1"/>
      <c r="AO212" s="1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3"/>
      <c r="BY212" s="72"/>
      <c r="BZ212" s="72"/>
      <c r="CA212" s="72"/>
      <c r="CB212" s="72"/>
      <c r="CC212" s="72"/>
      <c r="CD212" s="72"/>
      <c r="CE212" s="72"/>
      <c r="CF212" s="72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DA212" s="66"/>
    </row>
    <row r="213" spans="1:105" ht="20.25" customHeight="1" x14ac:dyDescent="0.35">
      <c r="A213" s="65" t="s">
        <v>115</v>
      </c>
      <c r="B213" s="79" t="s">
        <v>705</v>
      </c>
      <c r="C213" s="79" t="s">
        <v>200</v>
      </c>
      <c r="D213" s="88" t="s">
        <v>461</v>
      </c>
      <c r="E213" s="65" t="s">
        <v>35</v>
      </c>
      <c r="F213" s="65" t="s">
        <v>33</v>
      </c>
      <c r="G213" s="65" t="s">
        <v>41</v>
      </c>
      <c r="H213" s="73">
        <v>19.5</v>
      </c>
      <c r="I213" s="89">
        <v>25</v>
      </c>
      <c r="J213" s="3"/>
      <c r="K213" s="3"/>
      <c r="L213" s="3"/>
      <c r="M213" s="3"/>
      <c r="N213" s="3"/>
      <c r="O213" s="3">
        <v>26</v>
      </c>
      <c r="P213" s="3"/>
      <c r="Q213" s="3"/>
      <c r="R213" s="3">
        <v>25</v>
      </c>
      <c r="S213" s="3"/>
      <c r="T213" s="3"/>
      <c r="U213" s="3"/>
      <c r="V213" s="87">
        <v>25</v>
      </c>
      <c r="W213" s="3"/>
      <c r="X213" s="3"/>
      <c r="Y213" s="3"/>
      <c r="Z213" s="3"/>
      <c r="AA213" s="3"/>
      <c r="AB213" s="3"/>
      <c r="AC213" s="3">
        <v>24</v>
      </c>
      <c r="AD213" s="3"/>
      <c r="AE213" s="3"/>
      <c r="AF213" s="3"/>
      <c r="AG213" s="3"/>
      <c r="AH213" s="3"/>
      <c r="AI213" s="3"/>
      <c r="AJ213" s="3"/>
      <c r="AK213" s="1"/>
      <c r="AL213" s="1"/>
      <c r="AM213" s="1"/>
      <c r="AN213" s="1"/>
      <c r="AO213" s="1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3"/>
      <c r="BY213" s="72"/>
      <c r="BZ213" s="72">
        <v>25</v>
      </c>
      <c r="CA213" s="72"/>
      <c r="CB213" s="72"/>
      <c r="CC213" s="72"/>
      <c r="CD213" s="72"/>
      <c r="CE213" s="72"/>
      <c r="CF213" s="72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DA213" s="66">
        <f>H213</f>
        <v>19.5</v>
      </c>
    </row>
    <row r="214" spans="1:105" ht="20.25" customHeight="1" x14ac:dyDescent="0.35">
      <c r="A214" s="65"/>
      <c r="B214" s="79" t="s">
        <v>706</v>
      </c>
      <c r="C214" s="79" t="s">
        <v>202</v>
      </c>
      <c r="D214" s="91" t="s">
        <v>461</v>
      </c>
      <c r="E214" s="65" t="s">
        <v>150</v>
      </c>
      <c r="F214" s="65" t="s">
        <v>707</v>
      </c>
      <c r="G214" s="65" t="s">
        <v>34</v>
      </c>
      <c r="H214" s="73">
        <v>128</v>
      </c>
      <c r="I214" s="89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87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1"/>
      <c r="AL214" s="1"/>
      <c r="AM214" s="1"/>
      <c r="AN214" s="1"/>
      <c r="AO214" s="1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3"/>
      <c r="BY214" s="72"/>
      <c r="BZ214" s="72"/>
      <c r="CA214" s="72"/>
      <c r="CB214" s="72"/>
      <c r="CC214" s="72"/>
      <c r="CD214" s="72"/>
      <c r="CE214" s="72"/>
      <c r="CF214" s="72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DA214" s="138">
        <f>H214</f>
        <v>128</v>
      </c>
    </row>
    <row r="215" spans="1:105" ht="20.25" customHeight="1" x14ac:dyDescent="0.35">
      <c r="A215" s="65" t="s">
        <v>99</v>
      </c>
      <c r="B215" s="79" t="s">
        <v>708</v>
      </c>
      <c r="C215" s="79" t="s">
        <v>202</v>
      </c>
      <c r="D215" s="91" t="s">
        <v>461</v>
      </c>
      <c r="E215" s="65" t="s">
        <v>150</v>
      </c>
      <c r="F215" s="65" t="s">
        <v>326</v>
      </c>
      <c r="G215" s="65" t="s">
        <v>41</v>
      </c>
      <c r="H215" s="73">
        <f>H214/60</f>
        <v>2.1333333333333333</v>
      </c>
      <c r="I215" s="3"/>
      <c r="J215" s="3">
        <v>2.2000000000000002</v>
      </c>
      <c r="K215" s="3"/>
      <c r="L215" s="3">
        <v>2.6</v>
      </c>
      <c r="M215" s="3"/>
      <c r="N215" s="3"/>
      <c r="O215" s="3"/>
      <c r="P215" s="3"/>
      <c r="Q215" s="3"/>
      <c r="R215" s="3"/>
      <c r="S215" s="3">
        <v>2.6</v>
      </c>
      <c r="T215" s="3"/>
      <c r="U215" s="3"/>
      <c r="V215" s="87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1"/>
      <c r="AL215" s="1"/>
      <c r="AM215" s="1"/>
      <c r="AN215" s="1"/>
      <c r="AO215" s="3">
        <v>2.2000000000000002</v>
      </c>
      <c r="AP215" s="3">
        <v>2.2000000000000002</v>
      </c>
      <c r="AQ215" s="3">
        <v>2.2000000000000002</v>
      </c>
      <c r="AR215" s="3">
        <v>2.2000000000000002</v>
      </c>
      <c r="AS215" s="3">
        <v>2.2000000000000002</v>
      </c>
      <c r="AT215" s="3">
        <v>2.2000000000000002</v>
      </c>
      <c r="AU215" s="3">
        <v>2.2000000000000002</v>
      </c>
      <c r="AV215" s="3">
        <v>2.2000000000000002</v>
      </c>
      <c r="AW215" s="3">
        <v>2.2000000000000002</v>
      </c>
      <c r="AX215" s="3">
        <v>2.2000000000000002</v>
      </c>
      <c r="AY215" s="3">
        <v>2.2000000000000002</v>
      </c>
      <c r="AZ215" s="3">
        <v>2.2000000000000002</v>
      </c>
      <c r="BA215" s="3">
        <v>2.2000000000000002</v>
      </c>
      <c r="BB215" s="3">
        <v>2.2000000000000002</v>
      </c>
      <c r="BC215" s="3">
        <v>2.2000000000000002</v>
      </c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3">
        <f>J215</f>
        <v>2.2000000000000002</v>
      </c>
      <c r="BY215" s="72"/>
      <c r="BZ215" s="72"/>
      <c r="CA215" s="72"/>
      <c r="CB215" s="72"/>
      <c r="CC215" s="72"/>
      <c r="CD215" s="72"/>
      <c r="CE215" s="72"/>
      <c r="CF215" s="72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DA215" s="138">
        <f>H215</f>
        <v>2.1333333333333333</v>
      </c>
    </row>
    <row r="216" spans="1:105" ht="20.25" customHeight="1" x14ac:dyDescent="0.35">
      <c r="A216" s="65">
        <v>4000001591</v>
      </c>
      <c r="B216" s="79" t="s">
        <v>904</v>
      </c>
      <c r="C216" s="79" t="s">
        <v>202</v>
      </c>
      <c r="D216" s="91" t="s">
        <v>461</v>
      </c>
      <c r="E216" s="65" t="s">
        <v>150</v>
      </c>
      <c r="F216" s="65" t="s">
        <v>326</v>
      </c>
      <c r="G216" s="65" t="s">
        <v>41</v>
      </c>
      <c r="H216" s="73">
        <v>2.13</v>
      </c>
      <c r="I216" s="3"/>
      <c r="J216" s="3"/>
      <c r="K216" s="3">
        <v>2.5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87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1"/>
      <c r="AL216" s="1"/>
      <c r="AM216" s="1"/>
      <c r="AN216" s="1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3"/>
      <c r="BY216" s="72"/>
      <c r="BZ216" s="72"/>
      <c r="CA216" s="72"/>
      <c r="CB216" s="72"/>
      <c r="CC216" s="72"/>
      <c r="CD216" s="72"/>
      <c r="CE216" s="72"/>
      <c r="CF216" s="72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DA216" s="148">
        <f>H216</f>
        <v>2.13</v>
      </c>
    </row>
    <row r="217" spans="1:105" ht="20.25" customHeight="1" x14ac:dyDescent="0.35">
      <c r="A217" s="65"/>
      <c r="B217" s="79" t="s">
        <v>710</v>
      </c>
      <c r="C217" s="79" t="s">
        <v>202</v>
      </c>
      <c r="D217" s="91"/>
      <c r="E217" s="65" t="s">
        <v>432</v>
      </c>
      <c r="F217" s="65" t="s">
        <v>709</v>
      </c>
      <c r="G217" s="65" t="s">
        <v>41</v>
      </c>
      <c r="H217" s="73">
        <v>100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87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1"/>
      <c r="AL217" s="1"/>
      <c r="AM217" s="1"/>
      <c r="AN217" s="1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3"/>
      <c r="BY217" s="72"/>
      <c r="BZ217" s="72"/>
      <c r="CA217" s="72"/>
      <c r="CB217" s="72"/>
      <c r="CC217" s="72"/>
      <c r="CD217" s="72"/>
      <c r="CE217" s="72"/>
      <c r="CF217" s="72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DA217" s="138">
        <f t="shared" ref="DA217:DA218" si="21">H217</f>
        <v>100</v>
      </c>
    </row>
    <row r="218" spans="1:105" ht="20.25" customHeight="1" x14ac:dyDescent="0.35">
      <c r="A218" s="65">
        <v>4000005669</v>
      </c>
      <c r="B218" s="79" t="s">
        <v>711</v>
      </c>
      <c r="C218" s="79" t="s">
        <v>202</v>
      </c>
      <c r="D218" s="65"/>
      <c r="E218" s="65" t="s">
        <v>432</v>
      </c>
      <c r="F218" s="65" t="s">
        <v>326</v>
      </c>
      <c r="G218" s="65" t="s">
        <v>41</v>
      </c>
      <c r="H218" s="73">
        <f>H217/40</f>
        <v>2.5</v>
      </c>
      <c r="I218" s="3">
        <v>3</v>
      </c>
      <c r="J218" s="3"/>
      <c r="K218" s="3">
        <v>3.1</v>
      </c>
      <c r="L218" s="3"/>
      <c r="M218" s="3"/>
      <c r="N218" s="89">
        <v>3.1</v>
      </c>
      <c r="O218" s="3">
        <v>3.1</v>
      </c>
      <c r="P218" s="89">
        <v>3.1</v>
      </c>
      <c r="Q218" s="3"/>
      <c r="R218" s="3">
        <v>3.1</v>
      </c>
      <c r="S218" s="3"/>
      <c r="T218" s="3"/>
      <c r="U218" s="3"/>
      <c r="V218" s="87"/>
      <c r="W218" s="3"/>
      <c r="X218" s="3"/>
      <c r="Y218" s="3"/>
      <c r="Z218" s="3"/>
      <c r="AA218" s="3"/>
      <c r="AB218" s="3"/>
      <c r="AC218" s="72">
        <v>3.1</v>
      </c>
      <c r="AD218" s="3"/>
      <c r="AE218" s="3"/>
      <c r="AF218" s="3">
        <v>3.1</v>
      </c>
      <c r="AG218" s="3"/>
      <c r="AH218" s="3"/>
      <c r="AI218" s="3"/>
      <c r="AJ218" s="3">
        <v>3.1</v>
      </c>
      <c r="AK218" s="1"/>
      <c r="AL218" s="1"/>
      <c r="AM218" s="1"/>
      <c r="AN218" s="1"/>
      <c r="AO218" s="1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3"/>
      <c r="BY218" s="72"/>
      <c r="BZ218" s="72">
        <v>3.1</v>
      </c>
      <c r="CA218" s="72"/>
      <c r="CB218" s="72"/>
      <c r="CC218" s="72"/>
      <c r="CD218" s="72"/>
      <c r="CE218" s="72"/>
      <c r="CF218" s="72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DA218" s="138">
        <f t="shared" si="21"/>
        <v>2.5</v>
      </c>
    </row>
    <row r="219" spans="1:105" ht="20.25" customHeight="1" x14ac:dyDescent="0.35">
      <c r="A219" s="65"/>
      <c r="B219" s="79" t="s">
        <v>712</v>
      </c>
      <c r="C219" s="79" t="s">
        <v>178</v>
      </c>
      <c r="D219" s="88" t="s">
        <v>425</v>
      </c>
      <c r="E219" s="65" t="s">
        <v>51</v>
      </c>
      <c r="F219" s="65" t="s">
        <v>713</v>
      </c>
      <c r="G219" s="65" t="s">
        <v>34</v>
      </c>
      <c r="H219" s="73">
        <v>140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87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1"/>
      <c r="AL219" s="1"/>
      <c r="AM219" s="1"/>
      <c r="AN219" s="1"/>
      <c r="AO219" s="1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3"/>
      <c r="BY219" s="72"/>
      <c r="BZ219" s="72"/>
      <c r="CA219" s="72"/>
      <c r="CB219" s="72"/>
      <c r="CC219" s="72"/>
      <c r="CD219" s="72"/>
      <c r="CE219" s="72"/>
      <c r="CF219" s="72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DA219" s="139">
        <f>H219</f>
        <v>140</v>
      </c>
    </row>
    <row r="220" spans="1:105" ht="20.25" customHeight="1" x14ac:dyDescent="0.35">
      <c r="A220" s="65" t="s">
        <v>63</v>
      </c>
      <c r="B220" s="79" t="s">
        <v>714</v>
      </c>
      <c r="C220" s="79" t="s">
        <v>178</v>
      </c>
      <c r="D220" s="88" t="s">
        <v>425</v>
      </c>
      <c r="E220" s="65" t="s">
        <v>51</v>
      </c>
      <c r="F220" s="65" t="s">
        <v>64</v>
      </c>
      <c r="G220" s="65" t="s">
        <v>50</v>
      </c>
      <c r="H220" s="73">
        <f>H219/10</f>
        <v>14</v>
      </c>
      <c r="I220" s="89">
        <v>18</v>
      </c>
      <c r="J220" s="3"/>
      <c r="K220" s="3"/>
      <c r="L220" s="3">
        <v>19</v>
      </c>
      <c r="M220" s="3"/>
      <c r="N220" s="3"/>
      <c r="O220" s="3">
        <v>19</v>
      </c>
      <c r="P220" s="89">
        <v>19</v>
      </c>
      <c r="Q220" s="3">
        <v>19</v>
      </c>
      <c r="R220" s="3">
        <v>19</v>
      </c>
      <c r="S220" s="3">
        <v>20</v>
      </c>
      <c r="T220" s="3"/>
      <c r="U220" s="3"/>
      <c r="V220" s="3">
        <v>20</v>
      </c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>
        <v>20</v>
      </c>
      <c r="AI220" s="3"/>
      <c r="AJ220" s="3"/>
      <c r="AK220" s="1"/>
      <c r="AL220" s="1"/>
      <c r="AM220" s="1"/>
      <c r="AN220" s="1"/>
      <c r="AO220" s="1"/>
      <c r="AP220" s="3">
        <v>13</v>
      </c>
      <c r="AQ220" s="3">
        <v>13</v>
      </c>
      <c r="AR220" s="3">
        <v>13</v>
      </c>
      <c r="AS220" s="3"/>
      <c r="AT220" s="3">
        <v>13</v>
      </c>
      <c r="AU220" s="3">
        <v>13</v>
      </c>
      <c r="AV220" s="3">
        <v>13</v>
      </c>
      <c r="AW220" s="3">
        <v>13</v>
      </c>
      <c r="AX220" s="3">
        <v>13</v>
      </c>
      <c r="AY220" s="3">
        <v>13</v>
      </c>
      <c r="AZ220" s="3">
        <v>13</v>
      </c>
      <c r="BA220" s="3">
        <v>13</v>
      </c>
      <c r="BB220" s="3"/>
      <c r="BC220" s="3">
        <v>13</v>
      </c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3"/>
      <c r="BY220" s="72"/>
      <c r="BZ220" s="72"/>
      <c r="CA220" s="72"/>
      <c r="CB220" s="72"/>
      <c r="CC220" s="72"/>
      <c r="CD220" s="72"/>
      <c r="CE220" s="72"/>
      <c r="CF220" s="72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DA220" s="139">
        <f t="shared" ref="DA220:DA221" si="22">H220</f>
        <v>14</v>
      </c>
    </row>
    <row r="221" spans="1:105" ht="20.25" customHeight="1" x14ac:dyDescent="0.35">
      <c r="A221" s="65"/>
      <c r="B221" s="79" t="s">
        <v>989</v>
      </c>
      <c r="C221" s="79" t="s">
        <v>990</v>
      </c>
      <c r="D221" s="88" t="s">
        <v>425</v>
      </c>
      <c r="E221" s="65" t="s">
        <v>51</v>
      </c>
      <c r="F221" s="65" t="s">
        <v>64</v>
      </c>
      <c r="G221" s="65" t="s">
        <v>50</v>
      </c>
      <c r="H221" s="73">
        <f>H220</f>
        <v>14</v>
      </c>
      <c r="I221" s="89"/>
      <c r="J221" s="3"/>
      <c r="K221" s="3"/>
      <c r="L221" s="3"/>
      <c r="M221" s="3"/>
      <c r="N221" s="3"/>
      <c r="O221" s="3"/>
      <c r="P221" s="89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>
        <v>18</v>
      </c>
      <c r="AD221" s="3"/>
      <c r="AE221" s="3"/>
      <c r="AF221" s="3"/>
      <c r="AG221" s="3"/>
      <c r="AH221" s="3"/>
      <c r="AI221" s="3"/>
      <c r="AJ221" s="3"/>
      <c r="AK221" s="1"/>
      <c r="AL221" s="1"/>
      <c r="AM221" s="1"/>
      <c r="AN221" s="1"/>
      <c r="AO221" s="1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3"/>
      <c r="BY221" s="72"/>
      <c r="BZ221" s="72"/>
      <c r="CA221" s="72"/>
      <c r="CB221" s="72"/>
      <c r="CC221" s="72"/>
      <c r="CD221" s="72"/>
      <c r="CE221" s="72"/>
      <c r="CF221" s="72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DA221" s="139">
        <f t="shared" si="22"/>
        <v>14</v>
      </c>
    </row>
    <row r="222" spans="1:105" ht="20.25" customHeight="1" x14ac:dyDescent="0.35">
      <c r="A222" s="65" t="s">
        <v>344</v>
      </c>
      <c r="B222" s="79" t="s">
        <v>715</v>
      </c>
      <c r="C222" s="79" t="s">
        <v>296</v>
      </c>
      <c r="D222" s="88" t="s">
        <v>461</v>
      </c>
      <c r="E222" s="65" t="s">
        <v>35</v>
      </c>
      <c r="F222" s="65" t="s">
        <v>495</v>
      </c>
      <c r="G222" s="65" t="s">
        <v>39</v>
      </c>
      <c r="H222" s="73">
        <f>6*2</f>
        <v>12</v>
      </c>
      <c r="I222" s="89">
        <v>16</v>
      </c>
      <c r="J222" s="3">
        <v>16</v>
      </c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87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1"/>
      <c r="AL222" s="1"/>
      <c r="AM222" s="1"/>
      <c r="AN222" s="1"/>
      <c r="AO222" s="1"/>
      <c r="AP222" s="3">
        <v>16</v>
      </c>
      <c r="AQ222" s="3">
        <v>16</v>
      </c>
      <c r="AR222" s="3">
        <v>16</v>
      </c>
      <c r="AS222" s="3"/>
      <c r="AT222" s="3">
        <v>16</v>
      </c>
      <c r="AU222" s="3">
        <v>16</v>
      </c>
      <c r="AV222" s="3">
        <v>16</v>
      </c>
      <c r="AW222" s="3">
        <v>16</v>
      </c>
      <c r="AX222" s="3">
        <v>16</v>
      </c>
      <c r="AY222" s="3">
        <v>16</v>
      </c>
      <c r="AZ222" s="3">
        <v>16</v>
      </c>
      <c r="BA222" s="3">
        <v>16</v>
      </c>
      <c r="BB222" s="3"/>
      <c r="BC222" s="3">
        <v>16</v>
      </c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3"/>
      <c r="BY222" s="72"/>
      <c r="BZ222" s="72"/>
      <c r="CA222" s="72"/>
      <c r="CB222" s="72"/>
      <c r="CC222" s="72"/>
      <c r="CD222" s="72"/>
      <c r="CE222" s="72"/>
      <c r="CF222" s="72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DA222" s="139">
        <f>H222</f>
        <v>12</v>
      </c>
    </row>
    <row r="223" spans="1:105" ht="20.25" customHeight="1" x14ac:dyDescent="0.35">
      <c r="A223" s="5"/>
      <c r="B223" s="79" t="s">
        <v>716</v>
      </c>
      <c r="C223" s="79" t="s">
        <v>217</v>
      </c>
      <c r="D223" s="5"/>
      <c r="E223" s="65"/>
      <c r="F223" s="65" t="s">
        <v>346</v>
      </c>
      <c r="G223" s="5" t="s">
        <v>34</v>
      </c>
      <c r="H223" s="73">
        <v>70</v>
      </c>
      <c r="I223" s="3"/>
      <c r="J223" s="3"/>
      <c r="K223" s="3"/>
      <c r="L223" s="3">
        <v>90</v>
      </c>
      <c r="M223" s="3">
        <v>90</v>
      </c>
      <c r="N223" s="3"/>
      <c r="O223" s="3"/>
      <c r="P223" s="3"/>
      <c r="Q223" s="3"/>
      <c r="R223" s="3">
        <v>90</v>
      </c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1"/>
      <c r="AL223" s="1"/>
      <c r="AM223" s="1"/>
      <c r="AN223" s="1"/>
      <c r="AO223" s="1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3"/>
      <c r="BY223" s="72"/>
      <c r="BZ223" s="72"/>
      <c r="CA223" s="72"/>
      <c r="CB223" s="72"/>
      <c r="CC223" s="72"/>
      <c r="CD223" s="72"/>
      <c r="CE223" s="72"/>
      <c r="CF223" s="72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DA223" s="139">
        <f>H223</f>
        <v>70</v>
      </c>
    </row>
    <row r="224" spans="1:105" ht="20.25" customHeight="1" x14ac:dyDescent="0.35">
      <c r="A224" s="65"/>
      <c r="B224" s="79" t="s">
        <v>717</v>
      </c>
      <c r="C224" s="79" t="s">
        <v>217</v>
      </c>
      <c r="D224" s="88" t="s">
        <v>461</v>
      </c>
      <c r="E224" s="65" t="s">
        <v>35</v>
      </c>
      <c r="F224" s="65" t="s">
        <v>261</v>
      </c>
      <c r="G224" s="65" t="s">
        <v>41</v>
      </c>
      <c r="H224" s="73">
        <f>H223/2</f>
        <v>35</v>
      </c>
      <c r="I224" s="89">
        <v>44</v>
      </c>
      <c r="J224" s="3"/>
      <c r="K224" s="3"/>
      <c r="L224" s="3">
        <v>45</v>
      </c>
      <c r="M224" s="3">
        <v>45</v>
      </c>
      <c r="N224" s="3"/>
      <c r="O224" s="3"/>
      <c r="P224" s="89">
        <v>45</v>
      </c>
      <c r="Q224" s="3"/>
      <c r="R224" s="3">
        <v>45</v>
      </c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1"/>
      <c r="AL224" s="1"/>
      <c r="AM224" s="1"/>
      <c r="AN224" s="1"/>
      <c r="AO224" s="1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3"/>
      <c r="BY224" s="72"/>
      <c r="BZ224" s="72"/>
      <c r="CA224" s="72"/>
      <c r="CB224" s="72"/>
      <c r="CC224" s="72"/>
      <c r="CD224" s="72"/>
      <c r="CE224" s="72"/>
      <c r="CF224" s="72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DA224" s="139">
        <f>H224</f>
        <v>35</v>
      </c>
    </row>
    <row r="225" spans="1:105" ht="20.25" customHeight="1" x14ac:dyDescent="0.35">
      <c r="A225" s="65"/>
      <c r="B225" s="79" t="s">
        <v>1198</v>
      </c>
      <c r="C225" s="79" t="s">
        <v>217</v>
      </c>
      <c r="D225" s="88" t="s">
        <v>380</v>
      </c>
      <c r="E225" s="65" t="s">
        <v>35</v>
      </c>
      <c r="F225" s="65" t="s">
        <v>73</v>
      </c>
      <c r="G225" s="65" t="s">
        <v>387</v>
      </c>
      <c r="H225" s="73">
        <v>5.5</v>
      </c>
      <c r="I225" s="89">
        <v>7.5</v>
      </c>
      <c r="J225" s="3"/>
      <c r="K225" s="3"/>
      <c r="L225" s="3"/>
      <c r="M225" s="3"/>
      <c r="N225" s="3"/>
      <c r="O225" s="3"/>
      <c r="P225" s="89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1"/>
      <c r="AL225" s="1"/>
      <c r="AM225" s="1"/>
      <c r="AN225" s="1"/>
      <c r="AO225" s="1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3"/>
      <c r="BY225" s="72"/>
      <c r="BZ225" s="72"/>
      <c r="CA225" s="72"/>
      <c r="CB225" s="72"/>
      <c r="CC225" s="72"/>
      <c r="CD225" s="72"/>
      <c r="CE225" s="72"/>
      <c r="CF225" s="72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DA225" s="139">
        <f>H225</f>
        <v>5.5</v>
      </c>
    </row>
    <row r="226" spans="1:105" ht="20.25" customHeight="1" x14ac:dyDescent="0.35">
      <c r="A226" s="65"/>
      <c r="B226" s="79" t="s">
        <v>718</v>
      </c>
      <c r="C226" s="79" t="s">
        <v>473</v>
      </c>
      <c r="D226" s="88" t="s">
        <v>461</v>
      </c>
      <c r="E226" s="65" t="s">
        <v>35</v>
      </c>
      <c r="F226" s="65" t="s">
        <v>33</v>
      </c>
      <c r="G226" s="65" t="s">
        <v>41</v>
      </c>
      <c r="H226" s="86">
        <v>3.8</v>
      </c>
      <c r="I226" s="89">
        <v>6</v>
      </c>
      <c r="J226" s="3">
        <v>6.5</v>
      </c>
      <c r="K226" s="3"/>
      <c r="L226" s="3"/>
      <c r="M226" s="3"/>
      <c r="N226" s="3"/>
      <c r="O226" s="3"/>
      <c r="P226" s="89">
        <v>7</v>
      </c>
      <c r="Q226" s="3"/>
      <c r="R226" s="3"/>
      <c r="S226" s="3"/>
      <c r="T226" s="3"/>
      <c r="U226" s="3"/>
      <c r="V226" s="3">
        <v>7</v>
      </c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1"/>
      <c r="AL226" s="1"/>
      <c r="AM226" s="1"/>
      <c r="AN226" s="1"/>
      <c r="AO226" s="1"/>
      <c r="AP226" s="3"/>
      <c r="AQ226" s="3"/>
      <c r="AR226" s="3"/>
      <c r="AS226" s="3"/>
      <c r="AT226" s="3">
        <v>6.5</v>
      </c>
      <c r="AU226" s="3"/>
      <c r="AV226" s="3"/>
      <c r="AW226" s="3"/>
      <c r="AX226" s="3"/>
      <c r="AY226" s="3"/>
      <c r="AZ226" s="3"/>
      <c r="BA226" s="3"/>
      <c r="BB226" s="3"/>
      <c r="BC226" s="3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3"/>
      <c r="BY226" s="72"/>
      <c r="BZ226" s="72"/>
      <c r="CA226" s="72"/>
      <c r="CB226" s="72"/>
      <c r="CC226" s="72"/>
      <c r="CD226" s="72"/>
      <c r="CE226" s="72"/>
      <c r="CF226" s="72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DA226" s="66">
        <f>H226</f>
        <v>3.8</v>
      </c>
    </row>
    <row r="227" spans="1:105" ht="20.25" customHeight="1" x14ac:dyDescent="0.35">
      <c r="A227" s="65"/>
      <c r="B227" s="79" t="s">
        <v>1072</v>
      </c>
      <c r="C227" s="79" t="s">
        <v>473</v>
      </c>
      <c r="D227" s="88" t="s">
        <v>461</v>
      </c>
      <c r="E227" s="65" t="s">
        <v>35</v>
      </c>
      <c r="F227" s="65" t="s">
        <v>420</v>
      </c>
      <c r="G227" s="65"/>
      <c r="H227" s="86">
        <v>1.9</v>
      </c>
      <c r="I227" s="89"/>
      <c r="J227" s="3"/>
      <c r="K227" s="3"/>
      <c r="L227" s="3"/>
      <c r="M227" s="3"/>
      <c r="N227" s="3"/>
      <c r="O227" s="3"/>
      <c r="P227" s="89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1"/>
      <c r="AL227" s="1"/>
      <c r="AM227" s="1"/>
      <c r="AN227" s="1"/>
      <c r="AO227" s="1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3"/>
      <c r="BY227" s="72"/>
      <c r="BZ227" s="72"/>
      <c r="CA227" s="72"/>
      <c r="CB227" s="72"/>
      <c r="CC227" s="72"/>
      <c r="CD227" s="72"/>
      <c r="CE227" s="72"/>
      <c r="CF227" s="72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DA227" s="66">
        <f t="shared" ref="DA227:DA228" si="23">H227</f>
        <v>1.9</v>
      </c>
    </row>
    <row r="228" spans="1:105" ht="20.25" customHeight="1" x14ac:dyDescent="0.35">
      <c r="A228" s="5"/>
      <c r="B228" s="79" t="s">
        <v>719</v>
      </c>
      <c r="C228" s="79" t="s">
        <v>325</v>
      </c>
      <c r="D228" s="65" t="s">
        <v>923</v>
      </c>
      <c r="E228" s="65" t="s">
        <v>137</v>
      </c>
      <c r="F228" s="65" t="s">
        <v>120</v>
      </c>
      <c r="G228" s="65" t="s">
        <v>118</v>
      </c>
      <c r="H228" s="73">
        <f>74/24</f>
        <v>3.0833333333333335</v>
      </c>
      <c r="I228" s="3">
        <v>5</v>
      </c>
      <c r="J228" s="3">
        <v>4</v>
      </c>
      <c r="K228" s="3"/>
      <c r="L228" s="3"/>
      <c r="M228" s="3"/>
      <c r="N228" s="3"/>
      <c r="O228" s="3">
        <v>4</v>
      </c>
      <c r="P228" s="89">
        <v>4</v>
      </c>
      <c r="Q228" s="3">
        <v>0</v>
      </c>
      <c r="R228" s="3"/>
      <c r="S228" s="3"/>
      <c r="T228" s="3"/>
      <c r="U228" s="3"/>
      <c r="V228" s="87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1"/>
      <c r="AL228" s="1"/>
      <c r="AM228" s="1"/>
      <c r="AN228" s="1"/>
      <c r="AO228" s="1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>
        <v>4.5</v>
      </c>
      <c r="BV228" s="1"/>
      <c r="BW228" s="1"/>
      <c r="BX228" s="3"/>
      <c r="BY228" s="72"/>
      <c r="BZ228" s="72">
        <v>4.5</v>
      </c>
      <c r="CA228" s="72"/>
      <c r="CB228" s="72"/>
      <c r="CC228" s="72"/>
      <c r="CD228" s="72"/>
      <c r="CE228" s="72"/>
      <c r="CF228" s="72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DA228" s="66">
        <f t="shared" si="23"/>
        <v>3.0833333333333335</v>
      </c>
    </row>
    <row r="229" spans="1:105" ht="20.25" customHeight="1" x14ac:dyDescent="0.35">
      <c r="A229" s="65" t="s">
        <v>475</v>
      </c>
      <c r="B229" s="79" t="s">
        <v>720</v>
      </c>
      <c r="C229" s="79" t="s">
        <v>164</v>
      </c>
      <c r="D229" s="88" t="s">
        <v>447</v>
      </c>
      <c r="E229" s="65" t="s">
        <v>476</v>
      </c>
      <c r="F229" s="65" t="s">
        <v>259</v>
      </c>
      <c r="G229" s="65"/>
      <c r="H229" s="73">
        <f>42/6</f>
        <v>7</v>
      </c>
      <c r="I229" s="89">
        <v>9</v>
      </c>
      <c r="J229" s="3"/>
      <c r="K229" s="3"/>
      <c r="L229" s="3"/>
      <c r="M229" s="3"/>
      <c r="N229" s="3"/>
      <c r="O229" s="3"/>
      <c r="P229" s="3"/>
      <c r="Q229" s="3">
        <v>9</v>
      </c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>
        <v>10</v>
      </c>
      <c r="AF229" s="3"/>
      <c r="AG229" s="3"/>
      <c r="AH229" s="3"/>
      <c r="AI229" s="3"/>
      <c r="AJ229" s="3"/>
      <c r="AK229" s="1"/>
      <c r="AL229" s="1"/>
      <c r="AM229" s="1"/>
      <c r="AN229" s="1"/>
      <c r="AO229" s="1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>
        <v>9</v>
      </c>
      <c r="BR229" s="1">
        <v>9</v>
      </c>
      <c r="BS229" s="1">
        <f>9.9/110*100</f>
        <v>9</v>
      </c>
      <c r="BT229" s="1"/>
      <c r="BU229" s="1">
        <v>9.5</v>
      </c>
      <c r="BV229" s="1"/>
      <c r="BW229" s="1"/>
      <c r="BX229" s="3"/>
      <c r="BY229" s="72"/>
      <c r="BZ229" s="72"/>
      <c r="CA229" s="72"/>
      <c r="CB229" s="72"/>
      <c r="CC229" s="72"/>
      <c r="CD229" s="72"/>
      <c r="CE229" s="72"/>
      <c r="CF229" s="72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DA229" s="139">
        <f>H229</f>
        <v>7</v>
      </c>
    </row>
    <row r="230" spans="1:105" ht="20.25" customHeight="1" x14ac:dyDescent="0.35">
      <c r="A230" s="65"/>
      <c r="B230" s="79" t="s">
        <v>987</v>
      </c>
      <c r="C230" s="79" t="s">
        <v>164</v>
      </c>
      <c r="D230" s="88" t="s">
        <v>447</v>
      </c>
      <c r="E230" s="65" t="s">
        <v>988</v>
      </c>
      <c r="F230" s="65" t="s">
        <v>259</v>
      </c>
      <c r="G230" s="65"/>
      <c r="H230" s="86">
        <v>7.2</v>
      </c>
      <c r="I230" s="89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1"/>
      <c r="AL230" s="1"/>
      <c r="AM230" s="1"/>
      <c r="AN230" s="1"/>
      <c r="AO230" s="1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>
        <v>9.5</v>
      </c>
      <c r="BV230" s="1"/>
      <c r="BW230" s="1"/>
      <c r="BX230" s="3"/>
      <c r="BY230" s="72"/>
      <c r="BZ230" s="72"/>
      <c r="CA230" s="72"/>
      <c r="CB230" s="72"/>
      <c r="CC230" s="72"/>
      <c r="CD230" s="72"/>
      <c r="CE230" s="72"/>
      <c r="CF230" s="72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DA230" s="66">
        <f>H230</f>
        <v>7.2</v>
      </c>
    </row>
    <row r="231" spans="1:105" ht="20.25" customHeight="1" x14ac:dyDescent="0.35">
      <c r="A231" s="65"/>
      <c r="B231" s="79" t="s">
        <v>721</v>
      </c>
      <c r="C231" s="79" t="s">
        <v>443</v>
      </c>
      <c r="D231" s="88" t="s">
        <v>447</v>
      </c>
      <c r="E231" s="65"/>
      <c r="F231" s="65" t="s">
        <v>259</v>
      </c>
      <c r="G231" s="65"/>
      <c r="H231" s="86">
        <v>7.2</v>
      </c>
      <c r="I231" s="89">
        <v>9.5</v>
      </c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1"/>
      <c r="AL231" s="1"/>
      <c r="AM231" s="1"/>
      <c r="AN231" s="1"/>
      <c r="AO231" s="1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>
        <v>10</v>
      </c>
      <c r="BR231" s="1"/>
      <c r="BS231" s="1"/>
      <c r="BT231" s="1"/>
      <c r="BU231" s="1"/>
      <c r="BV231" s="1"/>
      <c r="BW231" s="1"/>
      <c r="BX231" s="3"/>
      <c r="BY231" s="72"/>
      <c r="BZ231" s="72"/>
      <c r="CA231" s="72"/>
      <c r="CB231" s="72"/>
      <c r="CC231" s="72"/>
      <c r="CD231" s="72"/>
      <c r="CE231" s="72"/>
      <c r="CF231" s="72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DA231" s="66">
        <f>H231</f>
        <v>7.2</v>
      </c>
    </row>
    <row r="232" spans="1:105" ht="20.25" customHeight="1" x14ac:dyDescent="0.35">
      <c r="A232" s="65" t="s">
        <v>109</v>
      </c>
      <c r="B232" s="79" t="s">
        <v>722</v>
      </c>
      <c r="C232" s="79" t="s">
        <v>212</v>
      </c>
      <c r="D232" s="88" t="s">
        <v>463</v>
      </c>
      <c r="E232" s="65" t="s">
        <v>35</v>
      </c>
      <c r="F232" s="65" t="s">
        <v>96</v>
      </c>
      <c r="G232" s="65" t="s">
        <v>32</v>
      </c>
      <c r="H232" s="86">
        <v>0.32</v>
      </c>
      <c r="I232" s="89">
        <v>0.8</v>
      </c>
      <c r="J232" s="3"/>
      <c r="K232" s="3"/>
      <c r="L232" s="3"/>
      <c r="M232" s="3"/>
      <c r="N232" s="3"/>
      <c r="O232" s="3"/>
      <c r="P232" s="89">
        <v>0.6</v>
      </c>
      <c r="Q232" s="3"/>
      <c r="R232" s="3"/>
      <c r="S232" s="3">
        <v>0.9</v>
      </c>
      <c r="T232" s="3"/>
      <c r="U232" s="3"/>
      <c r="V232" s="87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1"/>
      <c r="AL232" s="1"/>
      <c r="AM232" s="1"/>
      <c r="AN232" s="1"/>
      <c r="AO232" s="1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>
        <v>0.6</v>
      </c>
      <c r="BP232" s="1"/>
      <c r="BQ232" s="1"/>
      <c r="BR232" s="1"/>
      <c r="BS232" s="1"/>
      <c r="BT232" s="1"/>
      <c r="BU232" s="1"/>
      <c r="BV232" s="1"/>
      <c r="BW232" s="1"/>
      <c r="BX232" s="3"/>
      <c r="BY232" s="72"/>
      <c r="BZ232" s="72">
        <v>0.8</v>
      </c>
      <c r="CA232" s="72"/>
      <c r="CB232" s="72"/>
      <c r="CC232" s="72"/>
      <c r="CD232" s="72"/>
      <c r="CE232" s="72"/>
      <c r="CF232" s="72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DA232" s="66">
        <f t="shared" ref="DA232:DA236" si="24">H232</f>
        <v>0.32</v>
      </c>
    </row>
    <row r="233" spans="1:105" ht="20.25" customHeight="1" x14ac:dyDescent="0.35">
      <c r="A233" s="65" t="s">
        <v>114</v>
      </c>
      <c r="B233" s="79" t="s">
        <v>723</v>
      </c>
      <c r="C233" s="79" t="s">
        <v>214</v>
      </c>
      <c r="D233" s="88" t="s">
        <v>463</v>
      </c>
      <c r="E233" s="65" t="s">
        <v>35</v>
      </c>
      <c r="F233" s="65" t="s">
        <v>259</v>
      </c>
      <c r="G233" s="65" t="s">
        <v>41</v>
      </c>
      <c r="H233" s="86">
        <v>0.86</v>
      </c>
      <c r="I233" s="89">
        <v>1</v>
      </c>
      <c r="J233" s="3">
        <v>1.5</v>
      </c>
      <c r="K233" s="3"/>
      <c r="L233" s="3"/>
      <c r="M233" s="3"/>
      <c r="N233" s="3"/>
      <c r="O233" s="3"/>
      <c r="P233" s="3"/>
      <c r="Q233" s="3"/>
      <c r="R233" s="3">
        <v>1.2</v>
      </c>
      <c r="S233" s="3">
        <v>1.2</v>
      </c>
      <c r="T233" s="3"/>
      <c r="U233" s="3"/>
      <c r="V233" s="151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1"/>
      <c r="AL233" s="1"/>
      <c r="AM233" s="1"/>
      <c r="AN233" s="1"/>
      <c r="AO233" s="1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>
        <v>1.5</v>
      </c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3"/>
      <c r="BY233" s="72"/>
      <c r="BZ233" s="72"/>
      <c r="CA233" s="72"/>
      <c r="CB233" s="72">
        <v>1.1000000000000001</v>
      </c>
      <c r="CC233" s="72"/>
      <c r="CD233" s="72"/>
      <c r="CE233" s="72"/>
      <c r="CF233" s="72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DA233" s="66">
        <f t="shared" si="24"/>
        <v>0.86</v>
      </c>
    </row>
    <row r="234" spans="1:105" ht="20.25" customHeight="1" x14ac:dyDescent="0.35">
      <c r="A234" s="65"/>
      <c r="B234" s="79" t="s">
        <v>724</v>
      </c>
      <c r="C234" s="79" t="s">
        <v>725</v>
      </c>
      <c r="D234" s="65" t="s">
        <v>380</v>
      </c>
      <c r="E234" s="65" t="s">
        <v>35</v>
      </c>
      <c r="F234" s="79"/>
      <c r="G234" s="65" t="s">
        <v>34</v>
      </c>
      <c r="H234" s="86">
        <v>33.5</v>
      </c>
      <c r="I234" s="89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151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1"/>
      <c r="AL234" s="1"/>
      <c r="AM234" s="1"/>
      <c r="AN234" s="1"/>
      <c r="AO234" s="1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3"/>
      <c r="BY234" s="72"/>
      <c r="BZ234" s="72"/>
      <c r="CA234" s="72"/>
      <c r="CB234" s="72"/>
      <c r="CC234" s="72"/>
      <c r="CD234" s="72"/>
      <c r="CE234" s="72"/>
      <c r="CF234" s="72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DA234" s="66">
        <f t="shared" si="24"/>
        <v>33.5</v>
      </c>
    </row>
    <row r="235" spans="1:105" ht="20.25" customHeight="1" x14ac:dyDescent="0.35">
      <c r="A235" s="65"/>
      <c r="B235" s="79" t="s">
        <v>726</v>
      </c>
      <c r="C235" s="79" t="s">
        <v>262</v>
      </c>
      <c r="D235" s="65" t="s">
        <v>380</v>
      </c>
      <c r="E235" s="65" t="s">
        <v>35</v>
      </c>
      <c r="F235" s="55"/>
      <c r="G235" s="65"/>
      <c r="H235" s="86">
        <v>33.5</v>
      </c>
      <c r="I235" s="89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151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1"/>
      <c r="AL235" s="1"/>
      <c r="AM235" s="1"/>
      <c r="AN235" s="1"/>
      <c r="AO235" s="1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3"/>
      <c r="BY235" s="72"/>
      <c r="BZ235" s="72"/>
      <c r="CA235" s="72"/>
      <c r="CB235" s="72"/>
      <c r="CC235" s="72"/>
      <c r="CD235" s="72"/>
      <c r="CE235" s="72"/>
      <c r="CF235" s="72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DA235" s="66">
        <f t="shared" si="24"/>
        <v>33.5</v>
      </c>
    </row>
    <row r="236" spans="1:105" ht="20.25" customHeight="1" x14ac:dyDescent="0.35">
      <c r="A236" s="5"/>
      <c r="B236" s="79" t="s">
        <v>727</v>
      </c>
      <c r="C236" s="79" t="s">
        <v>215</v>
      </c>
      <c r="D236" s="88" t="s">
        <v>447</v>
      </c>
      <c r="E236" s="65" t="s">
        <v>35</v>
      </c>
      <c r="F236" s="65" t="s">
        <v>421</v>
      </c>
      <c r="G236" s="65" t="s">
        <v>41</v>
      </c>
      <c r="H236" s="86">
        <v>6.25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87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1"/>
      <c r="AL236" s="1"/>
      <c r="AM236" s="1"/>
      <c r="AN236" s="1"/>
      <c r="AO236" s="1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72">
        <v>8</v>
      </c>
      <c r="BV236" s="1"/>
      <c r="BW236" s="1"/>
      <c r="BX236" s="3"/>
      <c r="BY236" s="72">
        <v>8</v>
      </c>
      <c r="BZ236" s="72">
        <v>8</v>
      </c>
      <c r="CA236" s="72"/>
      <c r="CB236" s="72"/>
      <c r="CC236" s="72"/>
      <c r="CD236" s="72"/>
      <c r="CE236" s="72"/>
      <c r="CF236" s="72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DA236" s="66">
        <f t="shared" si="24"/>
        <v>6.25</v>
      </c>
    </row>
    <row r="237" spans="1:105" ht="20.25" customHeight="1" x14ac:dyDescent="0.35">
      <c r="A237" s="65" t="s">
        <v>352</v>
      </c>
      <c r="B237" s="79" t="s">
        <v>728</v>
      </c>
      <c r="C237" s="79" t="s">
        <v>257</v>
      </c>
      <c r="D237" s="88" t="s">
        <v>425</v>
      </c>
      <c r="E237" s="65" t="s">
        <v>35</v>
      </c>
      <c r="F237" s="65" t="s">
        <v>33</v>
      </c>
      <c r="G237" s="65" t="s">
        <v>41</v>
      </c>
      <c r="H237" s="73">
        <f>218/15</f>
        <v>14.533333333333333</v>
      </c>
      <c r="I237" s="89">
        <v>22</v>
      </c>
      <c r="J237" s="3">
        <v>18.5</v>
      </c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87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1"/>
      <c r="AL237" s="1"/>
      <c r="AM237" s="1"/>
      <c r="AN237" s="1"/>
      <c r="AO237" s="1">
        <v>18.5</v>
      </c>
      <c r="AP237" s="3"/>
      <c r="AQ237" s="3"/>
      <c r="AR237" s="3"/>
      <c r="AS237" s="3"/>
      <c r="AT237" s="3">
        <v>18.5</v>
      </c>
      <c r="AU237" s="3"/>
      <c r="AV237" s="3"/>
      <c r="AW237" s="3"/>
      <c r="AX237" s="3"/>
      <c r="AY237" s="3"/>
      <c r="AZ237" s="3"/>
      <c r="BA237" s="3"/>
      <c r="BB237" s="3"/>
      <c r="BC237" s="3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>
        <v>22</v>
      </c>
      <c r="BV237" s="1"/>
      <c r="BW237" s="1"/>
      <c r="BX237" s="3"/>
      <c r="BY237" s="72">
        <v>0</v>
      </c>
      <c r="BZ237" s="72">
        <v>0</v>
      </c>
      <c r="CA237" s="72"/>
      <c r="CB237" s="72"/>
      <c r="CC237" s="72"/>
      <c r="CD237" s="72"/>
      <c r="CE237" s="72"/>
      <c r="CF237" s="72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DA237" s="139">
        <f>H237</f>
        <v>14.533333333333333</v>
      </c>
    </row>
    <row r="238" spans="1:105" ht="20.25" customHeight="1" x14ac:dyDescent="0.35">
      <c r="A238" s="5"/>
      <c r="B238" s="79" t="s">
        <v>729</v>
      </c>
      <c r="C238" s="79" t="s">
        <v>218</v>
      </c>
      <c r="D238" s="65"/>
      <c r="E238" s="65" t="s">
        <v>35</v>
      </c>
      <c r="F238" s="65" t="s">
        <v>55</v>
      </c>
      <c r="G238" s="65" t="s">
        <v>39</v>
      </c>
      <c r="H238" s="86">
        <v>8.3000000000000007</v>
      </c>
      <c r="I238" s="3"/>
      <c r="J238" s="3"/>
      <c r="K238" s="3"/>
      <c r="L238" s="3"/>
      <c r="M238" s="3"/>
      <c r="N238" s="3"/>
      <c r="O238" s="3">
        <v>10</v>
      </c>
      <c r="P238" s="89">
        <v>9</v>
      </c>
      <c r="Q238" s="3">
        <v>9</v>
      </c>
      <c r="R238" s="3">
        <v>9</v>
      </c>
      <c r="S238" s="3">
        <v>9</v>
      </c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1"/>
      <c r="AL238" s="1"/>
      <c r="AM238" s="1"/>
      <c r="AN238" s="1"/>
      <c r="AO238" s="1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3"/>
      <c r="BY238" s="72"/>
      <c r="BZ238" s="72">
        <v>9</v>
      </c>
      <c r="CA238" s="72"/>
      <c r="CB238" s="72"/>
      <c r="CC238" s="72"/>
      <c r="CD238" s="72"/>
      <c r="CE238" s="72"/>
      <c r="CF238" s="72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DA238" s="66">
        <f>H238</f>
        <v>8.3000000000000007</v>
      </c>
    </row>
    <row r="239" spans="1:105" ht="20.25" customHeight="1" x14ac:dyDescent="0.35">
      <c r="A239" s="5"/>
      <c r="B239" s="79" t="s">
        <v>730</v>
      </c>
      <c r="C239" s="79" t="s">
        <v>219</v>
      </c>
      <c r="D239" s="65"/>
      <c r="E239" s="65" t="s">
        <v>35</v>
      </c>
      <c r="F239" s="65" t="s">
        <v>55</v>
      </c>
      <c r="G239" s="5" t="s">
        <v>39</v>
      </c>
      <c r="H239" s="86">
        <v>8</v>
      </c>
      <c r="I239" s="3"/>
      <c r="J239" s="3"/>
      <c r="K239" s="3"/>
      <c r="L239" s="3"/>
      <c r="M239" s="3"/>
      <c r="N239" s="3"/>
      <c r="O239" s="3">
        <v>8</v>
      </c>
      <c r="P239" s="3"/>
      <c r="Q239" s="3">
        <v>8</v>
      </c>
      <c r="R239" s="3">
        <v>8</v>
      </c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1"/>
      <c r="AL239" s="1"/>
      <c r="AM239" s="1"/>
      <c r="AN239" s="1"/>
      <c r="AO239" s="1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3"/>
      <c r="BY239" s="72"/>
      <c r="BZ239" s="72"/>
      <c r="CA239" s="72"/>
      <c r="CB239" s="72"/>
      <c r="CC239" s="72"/>
      <c r="CD239" s="72"/>
      <c r="CE239" s="72"/>
      <c r="CF239" s="72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DA239" s="66">
        <f>H239</f>
        <v>8</v>
      </c>
    </row>
    <row r="240" spans="1:105" ht="20.25" customHeight="1" x14ac:dyDescent="0.45">
      <c r="A240" s="5"/>
      <c r="B240" s="79" t="s">
        <v>731</v>
      </c>
      <c r="C240" s="79" t="s">
        <v>732</v>
      </c>
      <c r="D240" s="95"/>
      <c r="E240" s="93"/>
      <c r="F240" s="55" t="s">
        <v>55</v>
      </c>
      <c r="G240" s="55" t="s">
        <v>39</v>
      </c>
      <c r="H240" s="140">
        <v>10.5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1"/>
      <c r="AL240" s="1"/>
      <c r="AM240" s="1"/>
      <c r="AN240" s="1"/>
      <c r="AO240" s="1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3"/>
      <c r="BY240" s="72"/>
      <c r="BZ240" s="72"/>
      <c r="CA240" s="72"/>
      <c r="CB240" s="72"/>
      <c r="CC240" s="72"/>
      <c r="CD240" s="72"/>
      <c r="CE240" s="72"/>
      <c r="CF240" s="72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DA240" s="139">
        <f>H240</f>
        <v>10.5</v>
      </c>
    </row>
    <row r="241" spans="1:105" ht="20.25" customHeight="1" x14ac:dyDescent="0.45">
      <c r="A241" s="5"/>
      <c r="B241" s="79" t="s">
        <v>733</v>
      </c>
      <c r="C241" s="79" t="s">
        <v>734</v>
      </c>
      <c r="D241" s="95"/>
      <c r="E241" s="93"/>
      <c r="F241" s="55" t="s">
        <v>55</v>
      </c>
      <c r="G241" s="55" t="s">
        <v>39</v>
      </c>
      <c r="H241" s="86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1"/>
      <c r="AL241" s="1"/>
      <c r="AM241" s="1"/>
      <c r="AN241" s="1"/>
      <c r="AO241" s="1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3"/>
      <c r="BY241" s="72"/>
      <c r="BZ241" s="72"/>
      <c r="CA241" s="72"/>
      <c r="CB241" s="72"/>
      <c r="CC241" s="72"/>
      <c r="CD241" s="72"/>
      <c r="CE241" s="72"/>
      <c r="CF241" s="72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DA241" s="66"/>
    </row>
    <row r="242" spans="1:105" ht="20.25" customHeight="1" x14ac:dyDescent="0.45">
      <c r="A242" s="5"/>
      <c r="B242" s="79" t="s">
        <v>735</v>
      </c>
      <c r="C242" s="79" t="s">
        <v>736</v>
      </c>
      <c r="D242" s="95"/>
      <c r="E242" s="93"/>
      <c r="F242" s="55" t="s">
        <v>55</v>
      </c>
      <c r="G242" s="55" t="s">
        <v>39</v>
      </c>
      <c r="H242" s="86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1"/>
      <c r="AL242" s="1"/>
      <c r="AM242" s="1"/>
      <c r="AN242" s="1"/>
      <c r="AO242" s="1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3"/>
      <c r="BY242" s="72"/>
      <c r="BZ242" s="72"/>
      <c r="CA242" s="72"/>
      <c r="CB242" s="72"/>
      <c r="CC242" s="72"/>
      <c r="CD242" s="72"/>
      <c r="CE242" s="72"/>
      <c r="CF242" s="72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DA242" s="66"/>
    </row>
    <row r="243" spans="1:105" ht="20.25" customHeight="1" x14ac:dyDescent="0.45">
      <c r="A243" s="5"/>
      <c r="B243" s="79" t="s">
        <v>737</v>
      </c>
      <c r="C243" s="79" t="s">
        <v>738</v>
      </c>
      <c r="D243" s="95"/>
      <c r="E243" s="93"/>
      <c r="F243" s="55" t="s">
        <v>55</v>
      </c>
      <c r="G243" s="55" t="s">
        <v>39</v>
      </c>
      <c r="H243" s="86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1"/>
      <c r="AL243" s="1"/>
      <c r="AM243" s="1"/>
      <c r="AN243" s="1"/>
      <c r="AO243" s="1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3"/>
      <c r="BY243" s="72"/>
      <c r="BZ243" s="72"/>
      <c r="CA243" s="72"/>
      <c r="CB243" s="72"/>
      <c r="CC243" s="72"/>
      <c r="CD243" s="72"/>
      <c r="CE243" s="72"/>
      <c r="CF243" s="72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DA243" s="66"/>
    </row>
    <row r="244" spans="1:105" ht="20.25" customHeight="1" x14ac:dyDescent="0.45">
      <c r="A244" s="5"/>
      <c r="B244" s="79" t="s">
        <v>739</v>
      </c>
      <c r="C244" s="79" t="s">
        <v>740</v>
      </c>
      <c r="D244" s="95"/>
      <c r="E244" s="93"/>
      <c r="F244" s="55" t="s">
        <v>55</v>
      </c>
      <c r="G244" s="55" t="s">
        <v>39</v>
      </c>
      <c r="H244" s="86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1"/>
      <c r="AL244" s="1"/>
      <c r="AM244" s="1"/>
      <c r="AN244" s="1"/>
      <c r="AO244" s="1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3"/>
      <c r="BY244" s="72"/>
      <c r="BZ244" s="72"/>
      <c r="CA244" s="72"/>
      <c r="CB244" s="72"/>
      <c r="CC244" s="72"/>
      <c r="CD244" s="72"/>
      <c r="CE244" s="72"/>
      <c r="CF244" s="72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DA244" s="66"/>
    </row>
    <row r="245" spans="1:105" ht="20.25" customHeight="1" x14ac:dyDescent="0.45">
      <c r="A245" s="5"/>
      <c r="B245" s="79" t="s">
        <v>741</v>
      </c>
      <c r="C245" s="79" t="s">
        <v>742</v>
      </c>
      <c r="D245" s="95"/>
      <c r="E245" s="93"/>
      <c r="F245" s="55" t="s">
        <v>55</v>
      </c>
      <c r="G245" s="55" t="s">
        <v>39</v>
      </c>
      <c r="H245" s="86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1"/>
      <c r="AL245" s="1"/>
      <c r="AM245" s="1"/>
      <c r="AN245" s="1"/>
      <c r="AO245" s="1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3"/>
      <c r="BY245" s="72"/>
      <c r="BZ245" s="72"/>
      <c r="CA245" s="72"/>
      <c r="CB245" s="72"/>
      <c r="CC245" s="72"/>
      <c r="CD245" s="72"/>
      <c r="CE245" s="72"/>
      <c r="CF245" s="72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DA245" s="66"/>
    </row>
    <row r="246" spans="1:105" ht="20.25" customHeight="1" x14ac:dyDescent="0.45">
      <c r="A246" s="5"/>
      <c r="B246" s="79" t="s">
        <v>743</v>
      </c>
      <c r="C246" s="79" t="s">
        <v>744</v>
      </c>
      <c r="D246" s="95"/>
      <c r="E246" s="93"/>
      <c r="F246" s="55" t="s">
        <v>55</v>
      </c>
      <c r="G246" s="55" t="s">
        <v>39</v>
      </c>
      <c r="H246" s="86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1"/>
      <c r="AL246" s="1"/>
      <c r="AM246" s="1"/>
      <c r="AN246" s="1"/>
      <c r="AO246" s="1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3"/>
      <c r="BY246" s="72"/>
      <c r="BZ246" s="72"/>
      <c r="CA246" s="72"/>
      <c r="CB246" s="72"/>
      <c r="CC246" s="72"/>
      <c r="CD246" s="72"/>
      <c r="CE246" s="72"/>
      <c r="CF246" s="72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DA246" s="66"/>
    </row>
    <row r="247" spans="1:105" ht="20.25" customHeight="1" x14ac:dyDescent="0.45">
      <c r="A247" s="5"/>
      <c r="B247" s="79" t="s">
        <v>745</v>
      </c>
      <c r="C247" s="79" t="s">
        <v>746</v>
      </c>
      <c r="D247" s="95"/>
      <c r="E247" s="93"/>
      <c r="F247" s="55" t="s">
        <v>55</v>
      </c>
      <c r="G247" s="55" t="s">
        <v>39</v>
      </c>
      <c r="H247" s="86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1"/>
      <c r="AL247" s="1"/>
      <c r="AM247" s="1"/>
      <c r="AN247" s="1"/>
      <c r="AO247" s="1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3"/>
      <c r="BY247" s="72"/>
      <c r="BZ247" s="72"/>
      <c r="CA247" s="72"/>
      <c r="CB247" s="72"/>
      <c r="CC247" s="72"/>
      <c r="CD247" s="72"/>
      <c r="CE247" s="72"/>
      <c r="CF247" s="72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DA247" s="66"/>
    </row>
    <row r="248" spans="1:105" ht="20.25" customHeight="1" x14ac:dyDescent="0.45">
      <c r="A248" s="5"/>
      <c r="B248" s="79" t="s">
        <v>747</v>
      </c>
      <c r="C248" s="79" t="s">
        <v>748</v>
      </c>
      <c r="D248" s="95"/>
      <c r="E248" s="93"/>
      <c r="F248" s="55" t="s">
        <v>55</v>
      </c>
      <c r="G248" s="55" t="s">
        <v>39</v>
      </c>
      <c r="H248" s="150">
        <f>14</f>
        <v>14</v>
      </c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1"/>
      <c r="AL248" s="1"/>
      <c r="AM248" s="1"/>
      <c r="AN248" s="1"/>
      <c r="AO248" s="1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3"/>
      <c r="BY248" s="72"/>
      <c r="BZ248" s="72"/>
      <c r="CA248" s="72"/>
      <c r="CB248" s="72"/>
      <c r="CC248" s="72"/>
      <c r="CD248" s="72"/>
      <c r="CE248" s="72"/>
      <c r="CF248" s="72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DA248" s="66">
        <f>H248</f>
        <v>14</v>
      </c>
    </row>
    <row r="249" spans="1:105" ht="20.25" customHeight="1" x14ac:dyDescent="0.45">
      <c r="A249" s="5"/>
      <c r="B249" s="79" t="s">
        <v>749</v>
      </c>
      <c r="C249" s="79" t="s">
        <v>750</v>
      </c>
      <c r="D249" s="95"/>
      <c r="E249" s="93"/>
      <c r="F249" s="55" t="s">
        <v>55</v>
      </c>
      <c r="G249" s="55" t="s">
        <v>39</v>
      </c>
      <c r="H249" s="86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1"/>
      <c r="AL249" s="1"/>
      <c r="AM249" s="1"/>
      <c r="AN249" s="1"/>
      <c r="AO249" s="1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3"/>
      <c r="BY249" s="72"/>
      <c r="BZ249" s="72"/>
      <c r="CA249" s="72"/>
      <c r="CB249" s="72"/>
      <c r="CC249" s="72"/>
      <c r="CD249" s="72"/>
      <c r="CE249" s="72"/>
      <c r="CF249" s="72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DA249" s="66"/>
    </row>
    <row r="250" spans="1:105" ht="20.25" customHeight="1" x14ac:dyDescent="0.45">
      <c r="A250" s="5"/>
      <c r="B250" s="79" t="s">
        <v>751</v>
      </c>
      <c r="C250" s="79" t="s">
        <v>752</v>
      </c>
      <c r="D250" s="95"/>
      <c r="E250" s="93"/>
      <c r="F250" s="55" t="s">
        <v>55</v>
      </c>
      <c r="G250" s="55" t="s">
        <v>39</v>
      </c>
      <c r="H250" s="150">
        <v>6.5</v>
      </c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1"/>
      <c r="AL250" s="1"/>
      <c r="AM250" s="1"/>
      <c r="AN250" s="1"/>
      <c r="AO250" s="1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3"/>
      <c r="BY250" s="72"/>
      <c r="BZ250" s="72"/>
      <c r="CA250" s="72"/>
      <c r="CB250" s="72"/>
      <c r="CC250" s="72"/>
      <c r="CD250" s="72"/>
      <c r="CE250" s="72"/>
      <c r="CF250" s="72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DA250" s="66">
        <f>H250</f>
        <v>6.5</v>
      </c>
    </row>
    <row r="251" spans="1:105" ht="20.25" customHeight="1" x14ac:dyDescent="0.45">
      <c r="A251" s="5"/>
      <c r="B251" s="79" t="s">
        <v>753</v>
      </c>
      <c r="C251" s="79" t="s">
        <v>754</v>
      </c>
      <c r="D251" s="95"/>
      <c r="E251" s="93"/>
      <c r="F251" s="55" t="s">
        <v>55</v>
      </c>
      <c r="G251" s="55" t="s">
        <v>39</v>
      </c>
      <c r="H251" s="86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1"/>
      <c r="AL251" s="1"/>
      <c r="AM251" s="1"/>
      <c r="AN251" s="1"/>
      <c r="AO251" s="1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3"/>
      <c r="BY251" s="72"/>
      <c r="BZ251" s="72"/>
      <c r="CA251" s="72"/>
      <c r="CB251" s="72"/>
      <c r="CC251" s="72"/>
      <c r="CD251" s="72"/>
      <c r="CE251" s="72"/>
      <c r="CF251" s="72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DA251" s="66"/>
    </row>
    <row r="252" spans="1:105" ht="20.25" customHeight="1" x14ac:dyDescent="0.45">
      <c r="A252" s="5"/>
      <c r="B252" s="79" t="s">
        <v>914</v>
      </c>
      <c r="C252" s="79" t="s">
        <v>1042</v>
      </c>
      <c r="D252" s="136" t="s">
        <v>380</v>
      </c>
      <c r="E252" s="95"/>
      <c r="F252" s="55" t="s">
        <v>404</v>
      </c>
      <c r="G252" s="55" t="s">
        <v>139</v>
      </c>
      <c r="H252" s="86">
        <v>37.5</v>
      </c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1"/>
      <c r="AL252" s="1"/>
      <c r="AM252" s="1"/>
      <c r="AN252" s="1"/>
      <c r="AO252" s="1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3"/>
      <c r="BY252" s="72"/>
      <c r="BZ252" s="72">
        <v>25</v>
      </c>
      <c r="CA252" s="72"/>
      <c r="CB252" s="72"/>
      <c r="CC252" s="72"/>
      <c r="CD252" s="72"/>
      <c r="CE252" s="72"/>
      <c r="CF252" s="72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DA252" s="66">
        <f t="shared" ref="DA252:DA257" si="25">H252</f>
        <v>37.5</v>
      </c>
    </row>
    <row r="253" spans="1:105" ht="20.25" customHeight="1" x14ac:dyDescent="0.35">
      <c r="A253" s="5"/>
      <c r="B253" s="79" t="s">
        <v>994</v>
      </c>
      <c r="C253" s="79" t="s">
        <v>995</v>
      </c>
      <c r="D253" s="136" t="s">
        <v>461</v>
      </c>
      <c r="E253" s="65" t="s">
        <v>35</v>
      </c>
      <c r="F253" s="55" t="s">
        <v>996</v>
      </c>
      <c r="G253" s="55" t="s">
        <v>50</v>
      </c>
      <c r="H253" s="86">
        <v>8.9</v>
      </c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>
        <v>15</v>
      </c>
      <c r="AB253" s="3"/>
      <c r="AC253" s="3"/>
      <c r="AD253" s="3"/>
      <c r="AE253" s="3"/>
      <c r="AF253" s="3"/>
      <c r="AG253" s="3"/>
      <c r="AH253" s="3"/>
      <c r="AI253" s="3"/>
      <c r="AJ253" s="3"/>
      <c r="AK253" s="1"/>
      <c r="AL253" s="1"/>
      <c r="AM253" s="1"/>
      <c r="AN253" s="1"/>
      <c r="AO253" s="1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3"/>
      <c r="BY253" s="72"/>
      <c r="BZ253" s="72"/>
      <c r="CA253" s="72"/>
      <c r="CB253" s="72"/>
      <c r="CC253" s="72"/>
      <c r="CD253" s="72"/>
      <c r="CE253" s="72"/>
      <c r="CF253" s="72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DA253" s="66">
        <f t="shared" si="25"/>
        <v>8.9</v>
      </c>
    </row>
    <row r="254" spans="1:105" ht="20.25" customHeight="1" x14ac:dyDescent="0.45">
      <c r="A254" s="5"/>
      <c r="B254" s="79" t="s">
        <v>999</v>
      </c>
      <c r="C254" s="79" t="s">
        <v>998</v>
      </c>
      <c r="D254" s="95"/>
      <c r="E254" s="65" t="s">
        <v>35</v>
      </c>
      <c r="F254" s="55" t="s">
        <v>404</v>
      </c>
      <c r="G254" s="55" t="s">
        <v>50</v>
      </c>
      <c r="H254" s="73">
        <f>5.5/5</f>
        <v>1.1000000000000001</v>
      </c>
      <c r="I254" s="3"/>
      <c r="J254" s="3"/>
      <c r="K254" s="3"/>
      <c r="L254" s="3"/>
      <c r="M254" s="3"/>
      <c r="N254" s="3"/>
      <c r="O254" s="3"/>
      <c r="P254" s="3">
        <v>2.5</v>
      </c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1"/>
      <c r="AL254" s="1"/>
      <c r="AM254" s="1"/>
      <c r="AN254" s="1"/>
      <c r="AO254" s="1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3"/>
      <c r="BY254" s="72"/>
      <c r="BZ254" s="72"/>
      <c r="CA254" s="72"/>
      <c r="CB254" s="72"/>
      <c r="CC254" s="72"/>
      <c r="CD254" s="72"/>
      <c r="CE254" s="72"/>
      <c r="CF254" s="72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DA254" s="139">
        <f t="shared" si="25"/>
        <v>1.1000000000000001</v>
      </c>
    </row>
    <row r="255" spans="1:105" ht="20.25" customHeight="1" x14ac:dyDescent="0.35">
      <c r="A255" s="5" t="s">
        <v>1006</v>
      </c>
      <c r="B255" s="79" t="s">
        <v>1001</v>
      </c>
      <c r="C255" s="79" t="s">
        <v>1002</v>
      </c>
      <c r="D255" s="136" t="s">
        <v>461</v>
      </c>
      <c r="E255" s="136" t="s">
        <v>461</v>
      </c>
      <c r="F255" s="55" t="s">
        <v>73</v>
      </c>
      <c r="G255" s="55" t="s">
        <v>50</v>
      </c>
      <c r="H255" s="73">
        <v>13.5</v>
      </c>
      <c r="I255" s="3">
        <v>20</v>
      </c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1"/>
      <c r="AL255" s="1"/>
      <c r="AM255" s="1"/>
      <c r="AN255" s="1"/>
      <c r="AO255" s="1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3"/>
      <c r="BY255" s="72"/>
      <c r="BZ255" s="72"/>
      <c r="CA255" s="72"/>
      <c r="CB255" s="72"/>
      <c r="CC255" s="72"/>
      <c r="CD255" s="72"/>
      <c r="CE255" s="72">
        <v>20</v>
      </c>
      <c r="CF255" s="72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DA255" s="139">
        <f t="shared" si="25"/>
        <v>13.5</v>
      </c>
    </row>
    <row r="256" spans="1:105" ht="20.25" customHeight="1" x14ac:dyDescent="0.35">
      <c r="A256" s="5"/>
      <c r="B256" s="79" t="s">
        <v>1039</v>
      </c>
      <c r="C256" s="79" t="s">
        <v>1038</v>
      </c>
      <c r="D256" s="136" t="s">
        <v>461</v>
      </c>
      <c r="E256" s="136" t="s">
        <v>461</v>
      </c>
      <c r="F256" s="55" t="s">
        <v>403</v>
      </c>
      <c r="G256" s="55" t="s">
        <v>50</v>
      </c>
      <c r="H256" s="73">
        <f>3.5*25</f>
        <v>87.5</v>
      </c>
      <c r="I256" s="3"/>
      <c r="J256" s="3">
        <v>99.5</v>
      </c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1"/>
      <c r="AL256" s="1"/>
      <c r="AM256" s="1"/>
      <c r="AN256" s="1"/>
      <c r="AO256" s="1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3"/>
      <c r="BY256" s="72"/>
      <c r="BZ256" s="72"/>
      <c r="CA256" s="72"/>
      <c r="CB256" s="72"/>
      <c r="CC256" s="72"/>
      <c r="CD256" s="72"/>
      <c r="CE256" s="72"/>
      <c r="CF256" s="72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DA256" s="139">
        <f t="shared" si="25"/>
        <v>87.5</v>
      </c>
    </row>
    <row r="257" spans="1:105" ht="20.25" customHeight="1" x14ac:dyDescent="0.45">
      <c r="A257" s="5"/>
      <c r="B257" s="79" t="s">
        <v>1090</v>
      </c>
      <c r="C257" s="79" t="s">
        <v>1199</v>
      </c>
      <c r="D257" s="95" t="s">
        <v>1200</v>
      </c>
      <c r="E257" s="136"/>
      <c r="F257" s="55" t="s">
        <v>1201</v>
      </c>
      <c r="G257" s="55" t="s">
        <v>50</v>
      </c>
      <c r="H257" s="145">
        <v>6.9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>
        <v>6</v>
      </c>
      <c r="AE257" s="3"/>
      <c r="AF257" s="3"/>
      <c r="AG257" s="3"/>
      <c r="AH257" s="3"/>
      <c r="AI257" s="3"/>
      <c r="AJ257" s="3"/>
      <c r="AK257" s="1"/>
      <c r="AL257" s="1"/>
      <c r="AM257" s="1"/>
      <c r="AN257" s="1"/>
      <c r="AO257" s="1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3"/>
      <c r="BY257" s="72"/>
      <c r="BZ257" s="72"/>
      <c r="CA257" s="72"/>
      <c r="CB257" s="72"/>
      <c r="CC257" s="72"/>
      <c r="CD257" s="72"/>
      <c r="CE257" s="72"/>
      <c r="CF257" s="72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DA257" s="139">
        <f t="shared" si="25"/>
        <v>6.9</v>
      </c>
    </row>
    <row r="258" spans="1:105" ht="20.25" customHeight="1" x14ac:dyDescent="0.35">
      <c r="A258" s="65"/>
      <c r="B258" s="79" t="s">
        <v>755</v>
      </c>
      <c r="C258" s="79" t="s">
        <v>170</v>
      </c>
      <c r="D258" s="65" t="s">
        <v>463</v>
      </c>
      <c r="E258" s="65" t="s">
        <v>273</v>
      </c>
      <c r="F258" s="65" t="s">
        <v>331</v>
      </c>
      <c r="G258" s="65" t="s">
        <v>34</v>
      </c>
      <c r="H258" s="73">
        <v>25</v>
      </c>
      <c r="I258" s="3">
        <v>32</v>
      </c>
      <c r="J258" s="3">
        <v>29</v>
      </c>
      <c r="K258" s="3"/>
      <c r="L258" s="3"/>
      <c r="M258" s="3">
        <v>27</v>
      </c>
      <c r="N258" s="3"/>
      <c r="O258" s="3"/>
      <c r="P258" s="3"/>
      <c r="Q258" s="3"/>
      <c r="R258" s="3"/>
      <c r="S258" s="3">
        <v>32</v>
      </c>
      <c r="T258" s="3"/>
      <c r="U258" s="3"/>
      <c r="V258" s="87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1"/>
      <c r="AL258" s="1"/>
      <c r="AM258" s="1"/>
      <c r="AN258" s="1"/>
      <c r="AO258" s="72">
        <v>29</v>
      </c>
      <c r="AP258" s="72">
        <v>29</v>
      </c>
      <c r="AQ258" s="72">
        <v>29</v>
      </c>
      <c r="AR258" s="72">
        <v>29</v>
      </c>
      <c r="AS258" s="3"/>
      <c r="AT258" s="72">
        <v>29</v>
      </c>
      <c r="AU258" s="72">
        <v>29</v>
      </c>
      <c r="AV258" s="72">
        <v>29</v>
      </c>
      <c r="AW258" s="72">
        <v>29</v>
      </c>
      <c r="AX258" s="72">
        <v>29</v>
      </c>
      <c r="AY258" s="72">
        <v>29</v>
      </c>
      <c r="AZ258" s="72">
        <v>29</v>
      </c>
      <c r="BA258" s="72">
        <v>29</v>
      </c>
      <c r="BB258" s="3"/>
      <c r="BC258" s="72">
        <v>29</v>
      </c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72">
        <v>29</v>
      </c>
      <c r="BY258" s="72"/>
      <c r="BZ258" s="72"/>
      <c r="CA258" s="72"/>
      <c r="CB258" s="72"/>
      <c r="CC258" s="72"/>
      <c r="CD258" s="72"/>
      <c r="CE258" s="72"/>
      <c r="CF258" s="72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DA258" s="139">
        <f t="shared" ref="DA258:DA265" si="26">H258</f>
        <v>25</v>
      </c>
    </row>
    <row r="259" spans="1:105" ht="20.25" customHeight="1" x14ac:dyDescent="0.35">
      <c r="A259" s="65" t="s">
        <v>89</v>
      </c>
      <c r="B259" s="79" t="s">
        <v>756</v>
      </c>
      <c r="C259" s="79" t="s">
        <v>170</v>
      </c>
      <c r="D259" s="88" t="s">
        <v>463</v>
      </c>
      <c r="E259" s="65" t="s">
        <v>273</v>
      </c>
      <c r="F259" s="65" t="s">
        <v>453</v>
      </c>
      <c r="G259" s="65" t="s">
        <v>34</v>
      </c>
      <c r="H259" s="73">
        <f>H258/2</f>
        <v>12.5</v>
      </c>
      <c r="I259" s="89">
        <v>16</v>
      </c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87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1"/>
      <c r="AL259" s="1"/>
      <c r="AM259" s="1"/>
      <c r="AN259" s="1"/>
      <c r="AO259" s="1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3"/>
      <c r="BY259" s="72"/>
      <c r="BZ259" s="72"/>
      <c r="CA259" s="72"/>
      <c r="CB259" s="72"/>
      <c r="CC259" s="72"/>
      <c r="CD259" s="72"/>
      <c r="CE259" s="72"/>
      <c r="CF259" s="72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DA259" s="139">
        <f t="shared" si="26"/>
        <v>12.5</v>
      </c>
    </row>
    <row r="260" spans="1:105" ht="20.25" customHeight="1" x14ac:dyDescent="0.35">
      <c r="A260" s="5"/>
      <c r="B260" s="79" t="s">
        <v>757</v>
      </c>
      <c r="C260" s="79" t="s">
        <v>170</v>
      </c>
      <c r="D260" s="79"/>
      <c r="E260" s="65" t="s">
        <v>500</v>
      </c>
      <c r="F260" s="65" t="s">
        <v>1093</v>
      </c>
      <c r="G260" s="65" t="s">
        <v>34</v>
      </c>
      <c r="H260" s="73">
        <v>77</v>
      </c>
      <c r="I260" s="3"/>
      <c r="J260" s="3"/>
      <c r="K260" s="3"/>
      <c r="L260" s="3"/>
      <c r="M260" s="3"/>
      <c r="N260" s="89">
        <v>85</v>
      </c>
      <c r="O260" s="3">
        <v>85</v>
      </c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1"/>
      <c r="AL260" s="1"/>
      <c r="AM260" s="1"/>
      <c r="AN260" s="1"/>
      <c r="AO260" s="1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3"/>
      <c r="BY260" s="72"/>
      <c r="BZ260" s="72"/>
      <c r="CA260" s="72"/>
      <c r="CB260" s="72"/>
      <c r="CC260" s="72"/>
      <c r="CD260" s="72"/>
      <c r="CE260" s="72"/>
      <c r="CF260" s="72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DA260" s="139">
        <f t="shared" si="26"/>
        <v>77</v>
      </c>
    </row>
    <row r="261" spans="1:105" ht="20.25" customHeight="1" x14ac:dyDescent="0.35">
      <c r="A261" s="65"/>
      <c r="B261" s="79" t="s">
        <v>758</v>
      </c>
      <c r="C261" s="79" t="s">
        <v>170</v>
      </c>
      <c r="D261" s="88" t="s">
        <v>35</v>
      </c>
      <c r="E261" s="65" t="s">
        <v>500</v>
      </c>
      <c r="F261" s="65" t="s">
        <v>90</v>
      </c>
      <c r="G261" s="65" t="s">
        <v>44</v>
      </c>
      <c r="H261" s="73">
        <f>H260/6</f>
        <v>12.833333333333334</v>
      </c>
      <c r="I261" s="89">
        <v>0</v>
      </c>
      <c r="J261" s="77"/>
      <c r="K261" s="3"/>
      <c r="L261" s="3"/>
      <c r="M261" s="3">
        <v>0</v>
      </c>
      <c r="N261" s="89">
        <v>14.2</v>
      </c>
      <c r="O261" s="3">
        <v>0</v>
      </c>
      <c r="P261" s="3">
        <v>0</v>
      </c>
      <c r="Q261" s="3">
        <v>0</v>
      </c>
      <c r="R261" s="3"/>
      <c r="S261" s="3">
        <v>17</v>
      </c>
      <c r="T261" s="3"/>
      <c r="U261" s="3"/>
      <c r="V261" s="3">
        <v>0</v>
      </c>
      <c r="W261" s="3"/>
      <c r="X261" s="3"/>
      <c r="Y261" s="3"/>
      <c r="Z261" s="3">
        <v>15</v>
      </c>
      <c r="AA261" s="3"/>
      <c r="AB261" s="3"/>
      <c r="AC261" s="3"/>
      <c r="AD261" s="3"/>
      <c r="AE261" s="3">
        <v>17</v>
      </c>
      <c r="AF261" s="3"/>
      <c r="AG261" s="3"/>
      <c r="AH261" s="3"/>
      <c r="AI261" s="3"/>
      <c r="AJ261" s="3"/>
      <c r="AK261" s="1"/>
      <c r="AL261" s="1"/>
      <c r="AM261" s="1"/>
      <c r="AN261" s="1"/>
      <c r="AO261" s="1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3"/>
      <c r="BY261" s="72"/>
      <c r="BZ261" s="72"/>
      <c r="CA261" s="72"/>
      <c r="CB261" s="72"/>
      <c r="CC261" s="72"/>
      <c r="CD261" s="72"/>
      <c r="CE261" s="72"/>
      <c r="CF261" s="72"/>
      <c r="CG261" s="58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DA261" s="139">
        <f t="shared" si="26"/>
        <v>12.833333333333334</v>
      </c>
    </row>
    <row r="262" spans="1:105" ht="20.25" customHeight="1" x14ac:dyDescent="0.35">
      <c r="A262" s="65"/>
      <c r="B262" s="79" t="s">
        <v>760</v>
      </c>
      <c r="C262" s="79" t="s">
        <v>170</v>
      </c>
      <c r="D262" s="88" t="s">
        <v>463</v>
      </c>
      <c r="E262" s="65" t="s">
        <v>43</v>
      </c>
      <c r="F262" s="65" t="s">
        <v>389</v>
      </c>
      <c r="G262" s="65" t="s">
        <v>34</v>
      </c>
      <c r="H262" s="73">
        <v>86</v>
      </c>
      <c r="I262" s="89"/>
      <c r="J262" s="77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1"/>
      <c r="AL262" s="1"/>
      <c r="AM262" s="1"/>
      <c r="AN262" s="1"/>
      <c r="AO262" s="1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3"/>
      <c r="BY262" s="72"/>
      <c r="BZ262" s="72"/>
      <c r="CA262" s="72"/>
      <c r="CB262" s="72"/>
      <c r="CC262" s="72"/>
      <c r="CD262" s="72"/>
      <c r="CE262" s="72"/>
      <c r="CF262" s="72"/>
      <c r="CG262" s="58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DA262" s="139">
        <f t="shared" si="26"/>
        <v>86</v>
      </c>
    </row>
    <row r="263" spans="1:105" ht="20.25" customHeight="1" x14ac:dyDescent="0.35">
      <c r="A263" s="65"/>
      <c r="B263" s="79" t="s">
        <v>761</v>
      </c>
      <c r="C263" s="79" t="s">
        <v>170</v>
      </c>
      <c r="D263" s="88" t="s">
        <v>463</v>
      </c>
      <c r="E263" s="65" t="s">
        <v>43</v>
      </c>
      <c r="F263" s="65" t="s">
        <v>90</v>
      </c>
      <c r="G263" s="65" t="s">
        <v>44</v>
      </c>
      <c r="H263" s="73">
        <f>H262/6</f>
        <v>14.333333333333334</v>
      </c>
      <c r="I263" s="89">
        <v>18</v>
      </c>
      <c r="J263" s="3"/>
      <c r="K263" s="3"/>
      <c r="L263" s="3">
        <v>19</v>
      </c>
      <c r="M263" s="3">
        <v>19</v>
      </c>
      <c r="N263" s="89">
        <v>18</v>
      </c>
      <c r="O263" s="3"/>
      <c r="P263" s="89">
        <v>18</v>
      </c>
      <c r="Q263" s="3">
        <v>19</v>
      </c>
      <c r="R263" s="3">
        <v>19</v>
      </c>
      <c r="S263" s="3"/>
      <c r="T263" s="3"/>
      <c r="U263" s="3"/>
      <c r="V263" s="3">
        <v>18</v>
      </c>
      <c r="W263" s="3"/>
      <c r="X263" s="3"/>
      <c r="Y263" s="3"/>
      <c r="Z263" s="3">
        <v>18</v>
      </c>
      <c r="AA263" s="3"/>
      <c r="AB263" s="3">
        <v>18</v>
      </c>
      <c r="AC263" s="3">
        <v>18</v>
      </c>
      <c r="AD263" s="3"/>
      <c r="AE263" s="3">
        <v>19</v>
      </c>
      <c r="AF263" s="3"/>
      <c r="AG263" s="3"/>
      <c r="AH263" s="3"/>
      <c r="AI263" s="3"/>
      <c r="AJ263" s="3">
        <v>19</v>
      </c>
      <c r="AK263" s="1"/>
      <c r="AL263" s="1"/>
      <c r="AM263" s="1"/>
      <c r="AN263" s="1"/>
      <c r="AO263" s="1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1"/>
      <c r="BE263" s="1"/>
      <c r="BF263" s="1"/>
      <c r="BG263" s="1"/>
      <c r="BH263" s="1"/>
      <c r="BI263" s="1"/>
      <c r="BJ263" s="1"/>
      <c r="BK263" s="1"/>
      <c r="BL263" s="1">
        <v>19</v>
      </c>
      <c r="BM263" s="1"/>
      <c r="BN263" s="1"/>
      <c r="BO263" s="1"/>
      <c r="BP263" s="1"/>
      <c r="BQ263" s="1"/>
      <c r="BR263" s="1"/>
      <c r="BS263" s="1"/>
      <c r="BT263" s="1"/>
      <c r="BU263" s="1">
        <v>19</v>
      </c>
      <c r="BV263" s="1"/>
      <c r="BW263" s="1"/>
      <c r="BX263" s="3"/>
      <c r="BY263" s="72">
        <v>18</v>
      </c>
      <c r="BZ263" s="72">
        <v>19</v>
      </c>
      <c r="CA263" s="72"/>
      <c r="CB263" s="72"/>
      <c r="CC263" s="72"/>
      <c r="CD263" s="72"/>
      <c r="CE263" s="72"/>
      <c r="CF263" s="72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DA263" s="139">
        <f t="shared" si="26"/>
        <v>14.333333333333334</v>
      </c>
    </row>
    <row r="264" spans="1:105" ht="20.25" customHeight="1" x14ac:dyDescent="0.35">
      <c r="A264" s="65"/>
      <c r="B264" s="79" t="s">
        <v>762</v>
      </c>
      <c r="C264" s="79" t="s">
        <v>348</v>
      </c>
      <c r="D264" s="88" t="s">
        <v>463</v>
      </c>
      <c r="E264" s="65" t="s">
        <v>43</v>
      </c>
      <c r="F264" s="65" t="s">
        <v>389</v>
      </c>
      <c r="G264" s="65" t="s">
        <v>34</v>
      </c>
      <c r="H264" s="73">
        <v>41.5</v>
      </c>
      <c r="I264" s="89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1"/>
      <c r="AL264" s="1"/>
      <c r="AM264" s="1"/>
      <c r="AN264" s="1"/>
      <c r="AO264" s="1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3"/>
      <c r="BY264" s="72"/>
      <c r="BZ264" s="72"/>
      <c r="CA264" s="72"/>
      <c r="CB264" s="72"/>
      <c r="CC264" s="72"/>
      <c r="CD264" s="72"/>
      <c r="CE264" s="72"/>
      <c r="CF264" s="72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DA264" s="139">
        <f t="shared" si="26"/>
        <v>41.5</v>
      </c>
    </row>
    <row r="265" spans="1:105" ht="20.25" customHeight="1" x14ac:dyDescent="0.35">
      <c r="A265" s="65" t="s">
        <v>113</v>
      </c>
      <c r="B265" s="79" t="s">
        <v>763</v>
      </c>
      <c r="C265" s="79" t="s">
        <v>348</v>
      </c>
      <c r="D265" s="88" t="s">
        <v>463</v>
      </c>
      <c r="E265" s="65" t="s">
        <v>43</v>
      </c>
      <c r="F265" s="65" t="s">
        <v>90</v>
      </c>
      <c r="G265" s="65" t="s">
        <v>44</v>
      </c>
      <c r="H265" s="73">
        <f>H264/6</f>
        <v>6.916666666666667</v>
      </c>
      <c r="I265" s="89">
        <v>9.5</v>
      </c>
      <c r="J265" s="1">
        <v>9.5</v>
      </c>
      <c r="K265" s="3"/>
      <c r="L265" s="3">
        <v>9</v>
      </c>
      <c r="M265" s="3"/>
      <c r="N265" s="89">
        <v>9</v>
      </c>
      <c r="O265" s="3"/>
      <c r="P265" s="89">
        <v>9</v>
      </c>
      <c r="Q265" s="3">
        <v>9</v>
      </c>
      <c r="R265" s="3">
        <v>9</v>
      </c>
      <c r="S265" s="3">
        <v>9.5</v>
      </c>
      <c r="T265" s="3"/>
      <c r="U265" s="3"/>
      <c r="V265" s="87"/>
      <c r="W265" s="3"/>
      <c r="X265" s="3"/>
      <c r="Y265" s="3"/>
      <c r="Z265" s="3">
        <v>9.5</v>
      </c>
      <c r="AA265" s="3">
        <v>9.5</v>
      </c>
      <c r="AB265" s="3">
        <v>9.5</v>
      </c>
      <c r="AC265" s="3">
        <v>9.5</v>
      </c>
      <c r="AD265" s="3"/>
      <c r="AE265" s="3">
        <v>10</v>
      </c>
      <c r="AF265" s="3"/>
      <c r="AG265" s="3"/>
      <c r="AH265" s="3"/>
      <c r="AI265" s="3"/>
      <c r="AJ265" s="3">
        <v>9.5</v>
      </c>
      <c r="AK265" s="1"/>
      <c r="AL265" s="1"/>
      <c r="AM265" s="1"/>
      <c r="AN265" s="1"/>
      <c r="AO265" s="1">
        <v>9.5</v>
      </c>
      <c r="AP265" s="1">
        <v>9.5</v>
      </c>
      <c r="AQ265" s="1">
        <v>9.5</v>
      </c>
      <c r="AR265" s="1">
        <v>9.5</v>
      </c>
      <c r="AS265" s="3"/>
      <c r="AT265" s="1">
        <v>9.5</v>
      </c>
      <c r="AU265" s="1">
        <v>9.5</v>
      </c>
      <c r="AV265" s="1">
        <v>9.5</v>
      </c>
      <c r="AW265" s="1">
        <v>9.5</v>
      </c>
      <c r="AX265" s="1">
        <v>9.5</v>
      </c>
      <c r="AY265" s="1">
        <v>9.5</v>
      </c>
      <c r="AZ265" s="1">
        <v>9.5</v>
      </c>
      <c r="BA265" s="1">
        <v>9.5</v>
      </c>
      <c r="BB265" s="1">
        <v>9.5</v>
      </c>
      <c r="BC265" s="1">
        <v>9.5</v>
      </c>
      <c r="BD265" s="1"/>
      <c r="BE265" s="1"/>
      <c r="BF265" s="1"/>
      <c r="BG265" s="1"/>
      <c r="BH265" s="1"/>
      <c r="BI265" s="1"/>
      <c r="BJ265" s="1">
        <v>9.5</v>
      </c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3"/>
      <c r="BY265" s="72"/>
      <c r="BZ265" s="72">
        <v>9.5</v>
      </c>
      <c r="CA265" s="72"/>
      <c r="CB265" s="72"/>
      <c r="CC265" s="72"/>
      <c r="CD265" s="72"/>
      <c r="CE265" s="72"/>
      <c r="CF265" s="72"/>
      <c r="CG265" s="58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DA265" s="139">
        <f t="shared" si="26"/>
        <v>6.916666666666667</v>
      </c>
    </row>
    <row r="266" spans="1:105" ht="20.25" customHeight="1" x14ac:dyDescent="0.35">
      <c r="A266" s="65"/>
      <c r="B266" s="79" t="s">
        <v>764</v>
      </c>
      <c r="C266" s="79" t="s">
        <v>236</v>
      </c>
      <c r="D266" s="88" t="s">
        <v>463</v>
      </c>
      <c r="E266" s="65" t="s">
        <v>43</v>
      </c>
      <c r="F266" s="65" t="s">
        <v>389</v>
      </c>
      <c r="G266" s="65" t="s">
        <v>34</v>
      </c>
      <c r="H266" s="73">
        <v>46</v>
      </c>
      <c r="I266" s="89"/>
      <c r="J266" s="77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87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1"/>
      <c r="AL266" s="1"/>
      <c r="AM266" s="1"/>
      <c r="AN266" s="1"/>
      <c r="AO266" s="1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3"/>
      <c r="BY266" s="72"/>
      <c r="BZ266" s="72"/>
      <c r="CA266" s="72"/>
      <c r="CB266" s="72"/>
      <c r="CC266" s="72"/>
      <c r="CD266" s="72"/>
      <c r="CE266" s="72"/>
      <c r="CF266" s="72"/>
      <c r="CG266" s="58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DA266" s="139">
        <f t="shared" ref="DA266:DA270" si="27">H266</f>
        <v>46</v>
      </c>
    </row>
    <row r="267" spans="1:105" ht="20.25" customHeight="1" x14ac:dyDescent="0.35">
      <c r="A267" s="65"/>
      <c r="B267" s="79" t="s">
        <v>765</v>
      </c>
      <c r="C267" s="79" t="s">
        <v>236</v>
      </c>
      <c r="D267" s="88" t="s">
        <v>463</v>
      </c>
      <c r="E267" s="65" t="s">
        <v>43</v>
      </c>
      <c r="F267" s="65" t="s">
        <v>90</v>
      </c>
      <c r="G267" s="65" t="s">
        <v>44</v>
      </c>
      <c r="H267" s="73">
        <f>H266/6</f>
        <v>7.666666666666667</v>
      </c>
      <c r="I267" s="89">
        <v>9.8000000000000007</v>
      </c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>
        <v>10.5</v>
      </c>
      <c r="U267" s="3"/>
      <c r="V267" s="87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1"/>
      <c r="AL267" s="1"/>
      <c r="AM267" s="1"/>
      <c r="AN267" s="1"/>
      <c r="AO267" s="1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3"/>
      <c r="BY267" s="72"/>
      <c r="BZ267" s="72"/>
      <c r="CA267" s="72"/>
      <c r="CB267" s="72"/>
      <c r="CC267" s="72"/>
      <c r="CD267" s="72"/>
      <c r="CE267" s="72"/>
      <c r="CF267" s="72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DA267" s="139">
        <f t="shared" si="27"/>
        <v>7.666666666666667</v>
      </c>
    </row>
    <row r="268" spans="1:105" ht="20.25" customHeight="1" x14ac:dyDescent="0.35">
      <c r="A268" s="65"/>
      <c r="B268" s="79" t="s">
        <v>766</v>
      </c>
      <c r="C268" s="79" t="s">
        <v>347</v>
      </c>
      <c r="D268" s="88" t="s">
        <v>463</v>
      </c>
      <c r="E268" s="65" t="s">
        <v>43</v>
      </c>
      <c r="F268" s="65" t="s">
        <v>389</v>
      </c>
      <c r="G268" s="65" t="s">
        <v>34</v>
      </c>
      <c r="H268" s="73">
        <v>42</v>
      </c>
      <c r="I268" s="89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87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1"/>
      <c r="AL268" s="1"/>
      <c r="AM268" s="1"/>
      <c r="AN268" s="1"/>
      <c r="AO268" s="1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3"/>
      <c r="BY268" s="72"/>
      <c r="BZ268" s="72"/>
      <c r="CA268" s="72"/>
      <c r="CB268" s="72"/>
      <c r="CC268" s="72"/>
      <c r="CD268" s="72"/>
      <c r="CE268" s="72"/>
      <c r="CF268" s="72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DA268" s="139">
        <f t="shared" si="27"/>
        <v>42</v>
      </c>
    </row>
    <row r="269" spans="1:105" ht="20.25" customHeight="1" x14ac:dyDescent="0.35">
      <c r="A269" s="65" t="s">
        <v>1014</v>
      </c>
      <c r="B269" s="79" t="s">
        <v>767</v>
      </c>
      <c r="C269" s="79" t="s">
        <v>347</v>
      </c>
      <c r="D269" s="88" t="s">
        <v>463</v>
      </c>
      <c r="E269" s="65" t="s">
        <v>43</v>
      </c>
      <c r="F269" s="65" t="s">
        <v>90</v>
      </c>
      <c r="G269" s="65" t="s">
        <v>44</v>
      </c>
      <c r="H269" s="73">
        <f>H268/6</f>
        <v>7</v>
      </c>
      <c r="I269" s="89">
        <v>10</v>
      </c>
      <c r="J269" s="3">
        <v>10</v>
      </c>
      <c r="K269" s="3"/>
      <c r="L269" s="3">
        <v>10</v>
      </c>
      <c r="M269" s="3"/>
      <c r="N269" s="3"/>
      <c r="O269" s="3"/>
      <c r="P269" s="89">
        <v>10</v>
      </c>
      <c r="Q269" s="3">
        <v>10</v>
      </c>
      <c r="R269" s="3">
        <v>10</v>
      </c>
      <c r="S269" s="3"/>
      <c r="T269" s="3"/>
      <c r="U269" s="3"/>
      <c r="V269" s="87"/>
      <c r="W269" s="3"/>
      <c r="X269" s="3"/>
      <c r="Y269" s="3"/>
      <c r="Z269" s="3">
        <v>10</v>
      </c>
      <c r="AA269" s="3"/>
      <c r="AB269" s="3">
        <v>10</v>
      </c>
      <c r="AC269" s="3">
        <v>10</v>
      </c>
      <c r="AD269" s="3"/>
      <c r="AE269" s="3"/>
      <c r="AF269" s="3"/>
      <c r="AG269" s="3"/>
      <c r="AH269" s="3"/>
      <c r="AI269" s="3"/>
      <c r="AJ269" s="3"/>
      <c r="AK269" s="1"/>
      <c r="AL269" s="1"/>
      <c r="AM269" s="1"/>
      <c r="AN269" s="1"/>
      <c r="AO269" s="1"/>
      <c r="AP269" s="3">
        <v>10</v>
      </c>
      <c r="AQ269" s="3">
        <v>10</v>
      </c>
      <c r="AR269" s="3">
        <v>10</v>
      </c>
      <c r="AS269" s="3"/>
      <c r="AT269" s="3">
        <v>10</v>
      </c>
      <c r="AU269" s="3">
        <v>10</v>
      </c>
      <c r="AV269" s="3">
        <v>10</v>
      </c>
      <c r="AW269" s="3">
        <v>10</v>
      </c>
      <c r="AX269" s="3">
        <v>10</v>
      </c>
      <c r="AY269" s="3">
        <v>10</v>
      </c>
      <c r="AZ269" s="3">
        <v>10</v>
      </c>
      <c r="BA269" s="3">
        <v>10</v>
      </c>
      <c r="BB269" s="3">
        <v>10</v>
      </c>
      <c r="BC269" s="3">
        <v>10</v>
      </c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>
        <f>11/110*100</f>
        <v>10</v>
      </c>
      <c r="BT269" s="1"/>
      <c r="BU269" s="1"/>
      <c r="BV269" s="1"/>
      <c r="BW269" s="1"/>
      <c r="BX269" s="3"/>
      <c r="BY269" s="72"/>
      <c r="BZ269" s="72">
        <v>10</v>
      </c>
      <c r="CA269" s="72"/>
      <c r="CB269" s="72"/>
      <c r="CC269" s="72"/>
      <c r="CD269" s="72"/>
      <c r="CE269" s="72"/>
      <c r="CF269" s="72">
        <v>10</v>
      </c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DA269" s="139">
        <f t="shared" si="27"/>
        <v>7</v>
      </c>
    </row>
    <row r="270" spans="1:105" ht="20.25" customHeight="1" x14ac:dyDescent="0.35">
      <c r="A270" s="65" t="s">
        <v>81</v>
      </c>
      <c r="B270" s="79" t="s">
        <v>768</v>
      </c>
      <c r="C270" s="79" t="s">
        <v>171</v>
      </c>
      <c r="D270" s="88" t="s">
        <v>461</v>
      </c>
      <c r="E270" s="65" t="s">
        <v>400</v>
      </c>
      <c r="F270" s="65" t="s">
        <v>331</v>
      </c>
      <c r="G270" s="65" t="s">
        <v>34</v>
      </c>
      <c r="H270" s="73">
        <f>4000/218</f>
        <v>18.348623853211009</v>
      </c>
      <c r="I270" s="89">
        <v>23</v>
      </c>
      <c r="J270" s="89">
        <v>24</v>
      </c>
      <c r="K270" s="3"/>
      <c r="L270" s="77">
        <v>23</v>
      </c>
      <c r="M270" s="77"/>
      <c r="N270" s="89">
        <v>23</v>
      </c>
      <c r="O270" s="3"/>
      <c r="P270" s="89">
        <v>23</v>
      </c>
      <c r="Q270" s="77">
        <v>24</v>
      </c>
      <c r="R270" s="77">
        <v>23</v>
      </c>
      <c r="S270" s="3">
        <v>24</v>
      </c>
      <c r="T270" s="77"/>
      <c r="U270" s="3"/>
      <c r="V270" s="90">
        <v>24</v>
      </c>
      <c r="W270" s="3"/>
      <c r="X270" s="77"/>
      <c r="Y270" s="3"/>
      <c r="Z270" s="77">
        <v>24</v>
      </c>
      <c r="AA270" s="3">
        <v>25</v>
      </c>
      <c r="AB270" s="77">
        <v>23</v>
      </c>
      <c r="AC270" s="3"/>
      <c r="AD270" s="3"/>
      <c r="AE270" s="3">
        <v>23</v>
      </c>
      <c r="AF270" s="77">
        <v>23</v>
      </c>
      <c r="AG270" s="3"/>
      <c r="AH270" s="3"/>
      <c r="AI270" s="3"/>
      <c r="AJ270" s="77"/>
      <c r="AK270" s="1"/>
      <c r="AL270" s="1"/>
      <c r="AM270" s="11">
        <v>23</v>
      </c>
      <c r="AN270" s="1"/>
      <c r="AO270" s="1">
        <v>24</v>
      </c>
      <c r="AP270" s="1">
        <v>24</v>
      </c>
      <c r="AQ270" s="1">
        <v>24</v>
      </c>
      <c r="AR270" s="1">
        <v>24</v>
      </c>
      <c r="AS270" s="77"/>
      <c r="AT270" s="1">
        <v>24</v>
      </c>
      <c r="AU270" s="1">
        <v>24</v>
      </c>
      <c r="AV270" s="1">
        <v>24</v>
      </c>
      <c r="AW270" s="1">
        <v>24</v>
      </c>
      <c r="AX270" s="1">
        <v>24</v>
      </c>
      <c r="AY270" s="1">
        <v>24</v>
      </c>
      <c r="AZ270" s="1">
        <v>24</v>
      </c>
      <c r="BA270" s="1">
        <v>24</v>
      </c>
      <c r="BB270" s="77"/>
      <c r="BC270" s="1">
        <v>24</v>
      </c>
      <c r="BD270" s="1"/>
      <c r="BE270" s="1"/>
      <c r="BF270" s="1">
        <v>24</v>
      </c>
      <c r="BG270" s="1"/>
      <c r="BH270" s="1">
        <v>24</v>
      </c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>
        <v>23</v>
      </c>
      <c r="BV270" s="1"/>
      <c r="BW270" s="1"/>
      <c r="BX270" s="77">
        <f>J270</f>
        <v>24</v>
      </c>
      <c r="BY270" s="72">
        <v>23</v>
      </c>
      <c r="BZ270" s="72">
        <v>23</v>
      </c>
      <c r="CA270" s="72"/>
      <c r="CB270" s="72"/>
      <c r="CC270" s="72"/>
      <c r="CD270" s="72"/>
      <c r="CE270" s="72"/>
      <c r="CF270" s="72"/>
      <c r="CG270" s="58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DA270" s="139">
        <f t="shared" si="27"/>
        <v>18.348623853211009</v>
      </c>
    </row>
    <row r="271" spans="1:105" ht="20.25" customHeight="1" x14ac:dyDescent="0.35">
      <c r="A271" s="65"/>
      <c r="B271" s="79" t="s">
        <v>769</v>
      </c>
      <c r="C271" s="79"/>
      <c r="D271" s="88"/>
      <c r="E271" s="65"/>
      <c r="F271" s="65"/>
      <c r="G271" s="65"/>
      <c r="H271" s="145"/>
      <c r="I271" s="89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87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1"/>
      <c r="AL271" s="1"/>
      <c r="AM271" s="1"/>
      <c r="AN271" s="1"/>
      <c r="AO271" s="1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3"/>
      <c r="BY271" s="72"/>
      <c r="BZ271" s="72"/>
      <c r="CA271" s="72"/>
      <c r="CB271" s="72"/>
      <c r="CC271" s="72"/>
      <c r="CD271" s="72"/>
      <c r="CE271" s="72"/>
      <c r="CF271" s="72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</row>
    <row r="272" spans="1:105" ht="20.25" customHeight="1" x14ac:dyDescent="0.35">
      <c r="A272" s="65"/>
      <c r="B272" s="79" t="s">
        <v>770</v>
      </c>
      <c r="C272" s="79" t="s">
        <v>172</v>
      </c>
      <c r="D272" s="88" t="s">
        <v>461</v>
      </c>
      <c r="E272" s="65" t="s">
        <v>378</v>
      </c>
      <c r="F272" s="65" t="s">
        <v>338</v>
      </c>
      <c r="G272" s="65" t="s">
        <v>34</v>
      </c>
      <c r="H272" s="73">
        <v>34.5</v>
      </c>
      <c r="I272" s="89"/>
      <c r="J272" s="3"/>
      <c r="K272" s="3"/>
      <c r="L272" s="3"/>
      <c r="M272" s="3"/>
      <c r="N272" s="3"/>
      <c r="O272" s="3"/>
      <c r="P272" s="77"/>
      <c r="Q272" s="77"/>
      <c r="R272" s="77">
        <v>40</v>
      </c>
      <c r="S272" s="77"/>
      <c r="T272" s="3"/>
      <c r="U272" s="3"/>
      <c r="V272" s="90"/>
      <c r="W272" s="3"/>
      <c r="X272" s="3"/>
      <c r="Y272" s="3"/>
      <c r="Z272" s="3"/>
      <c r="AA272" s="3"/>
      <c r="AB272" s="3"/>
      <c r="AC272" s="77"/>
      <c r="AD272" s="3"/>
      <c r="AE272" s="3"/>
      <c r="AF272" s="3"/>
      <c r="AG272" s="3"/>
      <c r="AH272" s="3"/>
      <c r="AI272" s="3"/>
      <c r="AJ272" s="3"/>
      <c r="AK272" s="1"/>
      <c r="AL272" s="1"/>
      <c r="AM272" s="1"/>
      <c r="AN272" s="1"/>
      <c r="AO272" s="1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3"/>
      <c r="BY272" s="72"/>
      <c r="BZ272" s="72"/>
      <c r="CA272" s="72"/>
      <c r="CB272" s="72"/>
      <c r="CC272" s="72"/>
      <c r="CD272" s="72"/>
      <c r="CE272" s="72"/>
      <c r="CF272" s="72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DA272" s="139">
        <f>H272</f>
        <v>34.5</v>
      </c>
    </row>
    <row r="273" spans="1:105" ht="20.25" customHeight="1" x14ac:dyDescent="0.35">
      <c r="A273" s="65" t="s">
        <v>87</v>
      </c>
      <c r="B273" s="79" t="s">
        <v>771</v>
      </c>
      <c r="C273" s="79" t="s">
        <v>172</v>
      </c>
      <c r="D273" s="88" t="s">
        <v>461</v>
      </c>
      <c r="E273" s="65" t="s">
        <v>378</v>
      </c>
      <c r="F273" s="65" t="s">
        <v>332</v>
      </c>
      <c r="G273" s="65" t="s">
        <v>34</v>
      </c>
      <c r="H273" s="73">
        <f>H272/2</f>
        <v>17.25</v>
      </c>
      <c r="I273" s="89">
        <v>21</v>
      </c>
      <c r="J273" s="3"/>
      <c r="K273" s="3"/>
      <c r="L273" s="3">
        <v>0</v>
      </c>
      <c r="M273" s="3"/>
      <c r="N273" s="3"/>
      <c r="O273" s="3"/>
      <c r="P273" s="77"/>
      <c r="Q273" s="77"/>
      <c r="R273" s="77"/>
      <c r="S273" s="77"/>
      <c r="T273" s="3"/>
      <c r="U273" s="3"/>
      <c r="V273" s="90"/>
      <c r="W273" s="3"/>
      <c r="X273" s="3"/>
      <c r="Y273" s="3"/>
      <c r="Z273" s="3"/>
      <c r="AA273" s="3"/>
      <c r="AB273" s="3"/>
      <c r="AC273" s="77"/>
      <c r="AD273" s="3"/>
      <c r="AE273" s="3"/>
      <c r="AF273" s="3"/>
      <c r="AG273" s="3"/>
      <c r="AH273" s="3"/>
      <c r="AI273" s="3"/>
      <c r="AJ273" s="3"/>
      <c r="AK273" s="1"/>
      <c r="AL273" s="1"/>
      <c r="AM273" s="1"/>
      <c r="AN273" s="1"/>
      <c r="AO273" s="1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3"/>
      <c r="BY273" s="72"/>
      <c r="BZ273" s="72"/>
      <c r="CA273" s="72"/>
      <c r="CB273" s="72"/>
      <c r="CC273" s="72"/>
      <c r="CD273" s="72"/>
      <c r="CE273" s="72"/>
      <c r="CF273" s="72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DA273" s="139">
        <f>H273</f>
        <v>17.25</v>
      </c>
    </row>
    <row r="274" spans="1:105" ht="20.25" customHeight="1" x14ac:dyDescent="0.35">
      <c r="A274" s="65"/>
      <c r="B274" s="79" t="s">
        <v>772</v>
      </c>
      <c r="C274" s="79" t="s">
        <v>172</v>
      </c>
      <c r="D274" s="88" t="s">
        <v>461</v>
      </c>
      <c r="E274" s="65" t="s">
        <v>378</v>
      </c>
      <c r="F274" s="65" t="s">
        <v>773</v>
      </c>
      <c r="G274" s="65" t="s">
        <v>759</v>
      </c>
      <c r="H274" s="73">
        <f>H272/24</f>
        <v>1.4375</v>
      </c>
      <c r="I274" s="89"/>
      <c r="J274" s="3"/>
      <c r="K274" s="3"/>
      <c r="L274" s="3"/>
      <c r="M274" s="3"/>
      <c r="N274" s="3"/>
      <c r="O274" s="3"/>
      <c r="P274" s="77"/>
      <c r="Q274" s="77"/>
      <c r="R274" s="77"/>
      <c r="S274" s="77"/>
      <c r="T274" s="3"/>
      <c r="U274" s="3"/>
      <c r="V274" s="90"/>
      <c r="W274" s="3"/>
      <c r="X274" s="3"/>
      <c r="Y274" s="3"/>
      <c r="Z274" s="3"/>
      <c r="AA274" s="3"/>
      <c r="AB274" s="3"/>
      <c r="AC274" s="77"/>
      <c r="AD274" s="3"/>
      <c r="AE274" s="3"/>
      <c r="AF274" s="3"/>
      <c r="AG274" s="3"/>
      <c r="AH274" s="3"/>
      <c r="AI274" s="3"/>
      <c r="AJ274" s="3"/>
      <c r="AK274" s="1"/>
      <c r="AL274" s="1"/>
      <c r="AM274" s="1"/>
      <c r="AN274" s="1"/>
      <c r="AO274" s="1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3"/>
      <c r="BY274" s="72"/>
      <c r="BZ274" s="72"/>
      <c r="CA274" s="72"/>
      <c r="CB274" s="72"/>
      <c r="CC274" s="72"/>
      <c r="CD274" s="72"/>
      <c r="CE274" s="72"/>
      <c r="CF274" s="72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DA274" s="139">
        <f>H274</f>
        <v>1.4375</v>
      </c>
    </row>
    <row r="275" spans="1:105" ht="20.25" customHeight="1" x14ac:dyDescent="0.35">
      <c r="A275" s="65"/>
      <c r="B275" s="79" t="s">
        <v>774</v>
      </c>
      <c r="C275" s="79" t="s">
        <v>172</v>
      </c>
      <c r="D275" s="88" t="s">
        <v>463</v>
      </c>
      <c r="E275" s="65" t="s">
        <v>273</v>
      </c>
      <c r="F275" s="65" t="s">
        <v>337</v>
      </c>
      <c r="G275" s="65" t="s">
        <v>34</v>
      </c>
      <c r="H275" s="73">
        <v>20</v>
      </c>
      <c r="I275" s="89">
        <v>24</v>
      </c>
      <c r="J275" s="3"/>
      <c r="K275" s="3"/>
      <c r="L275" s="3"/>
      <c r="M275" s="3"/>
      <c r="N275" s="3"/>
      <c r="O275" s="3"/>
      <c r="P275" s="89">
        <v>24</v>
      </c>
      <c r="Q275" s="3">
        <v>24</v>
      </c>
      <c r="R275" s="3">
        <v>24</v>
      </c>
      <c r="S275" s="3">
        <v>26</v>
      </c>
      <c r="T275" s="3"/>
      <c r="U275" s="3"/>
      <c r="V275" s="87">
        <v>26</v>
      </c>
      <c r="W275" s="3"/>
      <c r="X275" s="3"/>
      <c r="Y275" s="3"/>
      <c r="Z275" s="3"/>
      <c r="AA275" s="3">
        <v>26</v>
      </c>
      <c r="AB275" s="3"/>
      <c r="AC275" s="3">
        <v>25</v>
      </c>
      <c r="AD275" s="3"/>
      <c r="AE275" s="3"/>
      <c r="AF275" s="3"/>
      <c r="AG275" s="3"/>
      <c r="AH275" s="3"/>
      <c r="AI275" s="3"/>
      <c r="AJ275" s="3"/>
      <c r="AK275" s="1"/>
      <c r="AL275" s="1"/>
      <c r="AM275" s="1">
        <v>25</v>
      </c>
      <c r="AN275" s="1"/>
      <c r="AO275" s="1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3"/>
      <c r="BY275" s="72"/>
      <c r="BZ275" s="72">
        <v>24</v>
      </c>
      <c r="CA275" s="72"/>
      <c r="CB275" s="72"/>
      <c r="CC275" s="72"/>
      <c r="CD275" s="72"/>
      <c r="CE275" s="72"/>
      <c r="CF275" s="72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DA275" s="139">
        <f>H275</f>
        <v>20</v>
      </c>
    </row>
    <row r="276" spans="1:105" ht="20.25" customHeight="1" x14ac:dyDescent="0.35">
      <c r="A276" s="65"/>
      <c r="B276" s="79" t="s">
        <v>775</v>
      </c>
      <c r="C276" s="79" t="s">
        <v>172</v>
      </c>
      <c r="D276" s="88" t="s">
        <v>461</v>
      </c>
      <c r="E276" s="65" t="s">
        <v>47</v>
      </c>
      <c r="F276" s="65" t="s">
        <v>1115</v>
      </c>
      <c r="G276" s="65" t="s">
        <v>34</v>
      </c>
      <c r="H276" s="86">
        <v>16.5</v>
      </c>
      <c r="I276" s="89"/>
      <c r="J276" s="3">
        <v>18</v>
      </c>
      <c r="K276" s="3"/>
      <c r="L276" s="3"/>
      <c r="M276" s="3"/>
      <c r="N276" s="3"/>
      <c r="O276" s="3"/>
      <c r="P276" s="3">
        <v>0</v>
      </c>
      <c r="Q276" s="3"/>
      <c r="R276" s="3"/>
      <c r="S276" s="3"/>
      <c r="T276" s="3"/>
      <c r="U276" s="3"/>
      <c r="V276" s="87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1"/>
      <c r="AL276" s="1"/>
      <c r="AM276" s="1"/>
      <c r="AN276" s="1"/>
      <c r="AO276" s="1"/>
      <c r="AP276" s="3"/>
      <c r="AQ276" s="3"/>
      <c r="AR276" s="3"/>
      <c r="AS276" s="3"/>
      <c r="AT276" s="3"/>
      <c r="AU276" s="3"/>
      <c r="AV276" s="3">
        <v>18</v>
      </c>
      <c r="AW276" s="3"/>
      <c r="AX276" s="3"/>
      <c r="AY276" s="3"/>
      <c r="AZ276" s="3"/>
      <c r="BA276" s="3"/>
      <c r="BB276" s="3"/>
      <c r="BC276" s="3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3">
        <v>18</v>
      </c>
      <c r="BY276" s="72"/>
      <c r="BZ276" s="72"/>
      <c r="CA276" s="72"/>
      <c r="CB276" s="72"/>
      <c r="CC276" s="72"/>
      <c r="CD276" s="72"/>
      <c r="CE276" s="72"/>
      <c r="CF276" s="72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DA276" s="66">
        <f>H276</f>
        <v>16.5</v>
      </c>
    </row>
    <row r="277" spans="1:105" ht="20.25" customHeight="1" x14ac:dyDescent="0.35">
      <c r="A277" s="65"/>
      <c r="B277" s="79" t="s">
        <v>776</v>
      </c>
      <c r="C277" s="79"/>
      <c r="D277" s="88"/>
      <c r="E277" s="65"/>
      <c r="F277" s="65"/>
      <c r="G277" s="65"/>
      <c r="H277" s="145"/>
      <c r="I277" s="89"/>
      <c r="J277" s="3"/>
      <c r="K277" s="3"/>
      <c r="L277" s="3"/>
      <c r="M277" s="3"/>
      <c r="N277" s="89"/>
      <c r="O277" s="3"/>
      <c r="P277" s="3"/>
      <c r="Q277" s="3"/>
      <c r="R277" s="3"/>
      <c r="S277" s="3"/>
      <c r="T277" s="3"/>
      <c r="U277" s="3"/>
      <c r="V277" s="87"/>
      <c r="W277" s="3"/>
      <c r="X277" s="3"/>
      <c r="Y277" s="3"/>
      <c r="Z277" s="3"/>
      <c r="AA277" s="3"/>
      <c r="AB277" s="3"/>
      <c r="AC277" s="77"/>
      <c r="AD277" s="3"/>
      <c r="AE277" s="3"/>
      <c r="AF277" s="3"/>
      <c r="AG277" s="3"/>
      <c r="AH277" s="3"/>
      <c r="AI277" s="3"/>
      <c r="AJ277" s="77"/>
      <c r="AK277" s="1"/>
      <c r="AL277" s="1"/>
      <c r="AM277" s="1"/>
      <c r="AN277" s="1"/>
      <c r="AO277" s="1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3"/>
      <c r="BY277" s="72"/>
      <c r="BZ277" s="72"/>
      <c r="CA277" s="72"/>
      <c r="CB277" s="72"/>
      <c r="CC277" s="72"/>
      <c r="CD277" s="72"/>
      <c r="CE277" s="72"/>
      <c r="CF277" s="72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</row>
    <row r="278" spans="1:105" ht="20.25" customHeight="1" x14ac:dyDescent="0.35">
      <c r="A278" s="65" t="s">
        <v>78</v>
      </c>
      <c r="B278" s="79" t="s">
        <v>777</v>
      </c>
      <c r="C278" s="79" t="s">
        <v>173</v>
      </c>
      <c r="D278" s="88" t="s">
        <v>463</v>
      </c>
      <c r="E278" s="65" t="s">
        <v>47</v>
      </c>
      <c r="F278" s="65" t="s">
        <v>333</v>
      </c>
      <c r="G278" s="65" t="s">
        <v>34</v>
      </c>
      <c r="H278" s="73">
        <v>29</v>
      </c>
      <c r="I278" s="3">
        <v>35</v>
      </c>
      <c r="J278" s="3"/>
      <c r="K278" s="3"/>
      <c r="L278" s="3">
        <v>33</v>
      </c>
      <c r="M278" s="3">
        <v>33</v>
      </c>
      <c r="N278" s="3"/>
      <c r="O278" s="3"/>
      <c r="P278" s="89">
        <v>32</v>
      </c>
      <c r="Q278" s="3">
        <v>32</v>
      </c>
      <c r="R278" s="3">
        <v>32</v>
      </c>
      <c r="S278" s="77">
        <v>34</v>
      </c>
      <c r="T278" s="3"/>
      <c r="U278" s="3"/>
      <c r="V278" s="87">
        <v>35</v>
      </c>
      <c r="W278" s="3"/>
      <c r="X278" s="3"/>
      <c r="Y278" s="3"/>
      <c r="Z278" s="3"/>
      <c r="AA278" s="3"/>
      <c r="AB278" s="3">
        <v>33</v>
      </c>
      <c r="AC278" s="3">
        <v>35</v>
      </c>
      <c r="AD278" s="3"/>
      <c r="AE278" s="3"/>
      <c r="AF278" s="3"/>
      <c r="AG278" s="3"/>
      <c r="AH278" s="3"/>
      <c r="AI278" s="3"/>
      <c r="AJ278" s="3"/>
      <c r="AK278" s="1">
        <v>32</v>
      </c>
      <c r="AL278" s="1"/>
      <c r="AM278" s="1">
        <v>35</v>
      </c>
      <c r="AN278" s="1"/>
      <c r="AO278" s="1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>
        <v>32</v>
      </c>
      <c r="BV278" s="1"/>
      <c r="BW278" s="1"/>
      <c r="BX278" s="3"/>
      <c r="BY278" s="72"/>
      <c r="BZ278" s="72">
        <v>36</v>
      </c>
      <c r="CA278" s="72"/>
      <c r="CB278" s="72"/>
      <c r="CC278" s="72"/>
      <c r="CD278" s="72"/>
      <c r="CE278" s="72"/>
      <c r="CF278" s="72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DA278" s="139">
        <f>H278</f>
        <v>29</v>
      </c>
    </row>
    <row r="279" spans="1:105" ht="20.25" customHeight="1" x14ac:dyDescent="0.35">
      <c r="A279" s="65"/>
      <c r="B279" s="79" t="s">
        <v>778</v>
      </c>
      <c r="C279" s="79" t="s">
        <v>174</v>
      </c>
      <c r="D279" s="88" t="s">
        <v>463</v>
      </c>
      <c r="E279" s="65" t="s">
        <v>47</v>
      </c>
      <c r="F279" s="65" t="s">
        <v>334</v>
      </c>
      <c r="G279" s="65" t="s">
        <v>34</v>
      </c>
      <c r="H279" s="73">
        <v>16</v>
      </c>
      <c r="I279" s="89">
        <v>21</v>
      </c>
      <c r="J279" s="3">
        <v>20.5</v>
      </c>
      <c r="K279" s="3"/>
      <c r="L279" s="3">
        <v>21</v>
      </c>
      <c r="M279" s="3"/>
      <c r="N279" s="89">
        <v>21</v>
      </c>
      <c r="O279" s="3"/>
      <c r="P279" s="89">
        <v>21</v>
      </c>
      <c r="Q279" s="3">
        <v>22</v>
      </c>
      <c r="R279" s="3">
        <v>21</v>
      </c>
      <c r="S279" s="3">
        <v>22</v>
      </c>
      <c r="T279" s="3"/>
      <c r="U279" s="3">
        <v>22</v>
      </c>
      <c r="V279" s="87">
        <v>22</v>
      </c>
      <c r="W279" s="3"/>
      <c r="X279" s="3"/>
      <c r="Y279" s="3"/>
      <c r="Z279" s="3"/>
      <c r="AA279" s="3"/>
      <c r="AB279" s="3">
        <v>22</v>
      </c>
      <c r="AC279" s="3">
        <v>21</v>
      </c>
      <c r="AD279" s="3"/>
      <c r="AE279" s="3"/>
      <c r="AF279" s="3"/>
      <c r="AG279" s="3"/>
      <c r="AH279" s="3"/>
      <c r="AI279" s="3"/>
      <c r="AJ279" s="3">
        <v>20</v>
      </c>
      <c r="AK279" s="1"/>
      <c r="AL279" s="1"/>
      <c r="AM279" s="1"/>
      <c r="AN279" s="1"/>
      <c r="AO279" s="1"/>
      <c r="AP279" s="3">
        <v>20.5</v>
      </c>
      <c r="AQ279" s="3">
        <v>20.5</v>
      </c>
      <c r="AR279" s="3">
        <v>20.5</v>
      </c>
      <c r="AS279" s="3"/>
      <c r="AT279" s="3">
        <v>20.5</v>
      </c>
      <c r="AU279" s="3">
        <v>20.5</v>
      </c>
      <c r="AV279" s="3">
        <v>20.5</v>
      </c>
      <c r="AW279" s="3">
        <v>20.5</v>
      </c>
      <c r="AX279" s="3">
        <v>20.5</v>
      </c>
      <c r="AY279" s="3">
        <v>20.5</v>
      </c>
      <c r="AZ279" s="3">
        <v>20.5</v>
      </c>
      <c r="BA279" s="3">
        <v>20.5</v>
      </c>
      <c r="BB279" s="3"/>
      <c r="BC279" s="3">
        <v>20.5</v>
      </c>
      <c r="BD279" s="1"/>
      <c r="BE279" s="1"/>
      <c r="BF279" s="1"/>
      <c r="BG279" s="1"/>
      <c r="BH279" s="1">
        <v>23</v>
      </c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>
        <v>22</v>
      </c>
      <c r="BV279" s="1"/>
      <c r="BW279" s="1"/>
      <c r="BX279" s="3">
        <f>J279</f>
        <v>20.5</v>
      </c>
      <c r="BY279" s="72">
        <v>22</v>
      </c>
      <c r="BZ279" s="72">
        <v>21</v>
      </c>
      <c r="CA279" s="72"/>
      <c r="CB279" s="72"/>
      <c r="CC279" s="72"/>
      <c r="CD279" s="72"/>
      <c r="CE279" s="72"/>
      <c r="CF279" s="72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DA279" s="139">
        <f>H279</f>
        <v>16</v>
      </c>
    </row>
    <row r="280" spans="1:105" ht="20.25" customHeight="1" x14ac:dyDescent="0.35">
      <c r="A280" s="65"/>
      <c r="B280" s="79" t="s">
        <v>779</v>
      </c>
      <c r="C280" s="79" t="s">
        <v>174</v>
      </c>
      <c r="D280" s="88" t="s">
        <v>463</v>
      </c>
      <c r="E280" s="65" t="s">
        <v>47</v>
      </c>
      <c r="F280" s="65" t="s">
        <v>780</v>
      </c>
      <c r="G280" s="65" t="s">
        <v>759</v>
      </c>
      <c r="H280" s="145"/>
      <c r="I280" s="89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87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1"/>
      <c r="AL280" s="1"/>
      <c r="AM280" s="1"/>
      <c r="AN280" s="1"/>
      <c r="AO280" s="1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3"/>
      <c r="BY280" s="72"/>
      <c r="BZ280" s="72"/>
      <c r="CA280" s="72"/>
      <c r="CB280" s="72"/>
      <c r="CC280" s="72"/>
      <c r="CD280" s="72"/>
      <c r="CE280" s="72"/>
      <c r="CF280" s="72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</row>
    <row r="281" spans="1:105" ht="20.25" customHeight="1" x14ac:dyDescent="0.35">
      <c r="A281" s="65"/>
      <c r="B281" s="79" t="s">
        <v>781</v>
      </c>
      <c r="C281" s="79" t="s">
        <v>175</v>
      </c>
      <c r="D281" s="88" t="s">
        <v>463</v>
      </c>
      <c r="E281" s="65" t="s">
        <v>47</v>
      </c>
      <c r="F281" s="65" t="s">
        <v>335</v>
      </c>
      <c r="G281" s="65" t="s">
        <v>34</v>
      </c>
      <c r="H281" s="73">
        <v>16</v>
      </c>
      <c r="I281" s="89">
        <v>21</v>
      </c>
      <c r="J281" s="3">
        <v>20.5</v>
      </c>
      <c r="K281" s="3"/>
      <c r="L281" s="3"/>
      <c r="M281" s="3"/>
      <c r="N281" s="89">
        <v>21</v>
      </c>
      <c r="O281" s="3"/>
      <c r="P281" s="89">
        <v>21</v>
      </c>
      <c r="Q281" s="3">
        <v>22</v>
      </c>
      <c r="R281" s="3">
        <v>21</v>
      </c>
      <c r="S281" s="3">
        <v>22</v>
      </c>
      <c r="T281" s="3"/>
      <c r="U281" s="3"/>
      <c r="V281" s="87">
        <v>22</v>
      </c>
      <c r="W281" s="3"/>
      <c r="X281" s="3"/>
      <c r="Y281" s="3"/>
      <c r="Z281" s="3"/>
      <c r="AA281" s="3"/>
      <c r="AB281" s="3"/>
      <c r="AC281" s="3">
        <v>21</v>
      </c>
      <c r="AD281" s="3"/>
      <c r="AE281" s="3"/>
      <c r="AF281" s="3"/>
      <c r="AG281" s="3"/>
      <c r="AH281" s="3"/>
      <c r="AI281" s="3"/>
      <c r="AJ281" s="3"/>
      <c r="AK281" s="1"/>
      <c r="AL281" s="1"/>
      <c r="AM281" s="1">
        <v>21</v>
      </c>
      <c r="AN281" s="1"/>
      <c r="AO281" s="1"/>
      <c r="AP281" s="3">
        <v>20.5</v>
      </c>
      <c r="AQ281" s="3">
        <v>20.5</v>
      </c>
      <c r="AR281" s="3">
        <v>20.5</v>
      </c>
      <c r="AS281" s="3"/>
      <c r="AT281" s="3">
        <v>20.5</v>
      </c>
      <c r="AU281" s="3">
        <v>20.5</v>
      </c>
      <c r="AV281" s="3">
        <v>20.5</v>
      </c>
      <c r="AW281" s="3">
        <v>20.5</v>
      </c>
      <c r="AX281" s="3">
        <v>20.5</v>
      </c>
      <c r="AY281" s="3">
        <v>20.5</v>
      </c>
      <c r="AZ281" s="3">
        <v>20.5</v>
      </c>
      <c r="BA281" s="3">
        <v>20.5</v>
      </c>
      <c r="BB281" s="3"/>
      <c r="BC281" s="3">
        <v>20.5</v>
      </c>
      <c r="BD281" s="1"/>
      <c r="BE281" s="1"/>
      <c r="BF281" s="1"/>
      <c r="BG281" s="1"/>
      <c r="BH281" s="1">
        <v>23</v>
      </c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>
        <v>22</v>
      </c>
      <c r="BV281" s="1"/>
      <c r="BW281" s="1"/>
      <c r="BX281" s="3"/>
      <c r="BY281" s="72"/>
      <c r="BZ281" s="72">
        <v>21</v>
      </c>
      <c r="CA281" s="72"/>
      <c r="CB281" s="72"/>
      <c r="CC281" s="72"/>
      <c r="CD281" s="72"/>
      <c r="CE281" s="72"/>
      <c r="CF281" s="72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DA281" s="139">
        <f>H281</f>
        <v>16</v>
      </c>
    </row>
    <row r="282" spans="1:105" ht="20.25" customHeight="1" x14ac:dyDescent="0.35">
      <c r="A282" s="65"/>
      <c r="B282" s="79" t="s">
        <v>782</v>
      </c>
      <c r="C282" s="79" t="s">
        <v>175</v>
      </c>
      <c r="D282" s="88" t="s">
        <v>463</v>
      </c>
      <c r="E282" s="65" t="s">
        <v>47</v>
      </c>
      <c r="F282" s="65" t="s">
        <v>780</v>
      </c>
      <c r="G282" s="65" t="s">
        <v>759</v>
      </c>
      <c r="H282" s="145"/>
      <c r="I282" s="89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87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1"/>
      <c r="AL282" s="1"/>
      <c r="AM282" s="1"/>
      <c r="AN282" s="1"/>
      <c r="AO282" s="1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3"/>
      <c r="BY282" s="72"/>
      <c r="BZ282" s="72"/>
      <c r="CA282" s="72"/>
      <c r="CB282" s="72"/>
      <c r="CC282" s="72"/>
      <c r="CD282" s="72"/>
      <c r="CE282" s="72"/>
      <c r="CF282" s="72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</row>
    <row r="283" spans="1:105" ht="20.25" customHeight="1" x14ac:dyDescent="0.35">
      <c r="A283" s="65"/>
      <c r="B283" s="79" t="s">
        <v>783</v>
      </c>
      <c r="C283" s="79" t="s">
        <v>216</v>
      </c>
      <c r="D283" s="88" t="s">
        <v>447</v>
      </c>
      <c r="E283" s="65" t="s">
        <v>464</v>
      </c>
      <c r="F283" s="65" t="s">
        <v>785</v>
      </c>
      <c r="G283" s="65" t="s">
        <v>34</v>
      </c>
      <c r="H283" s="73">
        <v>50</v>
      </c>
      <c r="I283" s="89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87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1"/>
      <c r="AL283" s="1"/>
      <c r="AM283" s="1"/>
      <c r="AN283" s="1"/>
      <c r="AO283" s="1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3"/>
      <c r="BY283" s="72"/>
      <c r="BZ283" s="72"/>
      <c r="CA283" s="72"/>
      <c r="CB283" s="72"/>
      <c r="CC283" s="72"/>
      <c r="CD283" s="72"/>
      <c r="CE283" s="72"/>
      <c r="CF283" s="72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DA283" s="139">
        <f t="shared" ref="DA283:DA289" si="28">H283</f>
        <v>50</v>
      </c>
    </row>
    <row r="284" spans="1:105" ht="20.25" customHeight="1" x14ac:dyDescent="0.35">
      <c r="A284" s="65"/>
      <c r="B284" s="79" t="s">
        <v>784</v>
      </c>
      <c r="C284" s="79" t="s">
        <v>216</v>
      </c>
      <c r="D284" s="88" t="s">
        <v>447</v>
      </c>
      <c r="E284" s="65" t="s">
        <v>464</v>
      </c>
      <c r="F284" s="65" t="s">
        <v>270</v>
      </c>
      <c r="G284" s="65" t="s">
        <v>759</v>
      </c>
      <c r="H284" s="73">
        <f>H283/6</f>
        <v>8.3333333333333339</v>
      </c>
      <c r="I284" s="89">
        <v>9.8000000000000007</v>
      </c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>
        <v>11</v>
      </c>
      <c r="V284" s="3"/>
      <c r="W284" s="3"/>
      <c r="X284" s="3"/>
      <c r="Y284" s="3">
        <v>11</v>
      </c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>
        <v>11</v>
      </c>
      <c r="AK284" s="1"/>
      <c r="AL284" s="1"/>
      <c r="AM284" s="1"/>
      <c r="AN284" s="1"/>
      <c r="AO284" s="1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>
        <v>11</v>
      </c>
      <c r="BR284" s="1"/>
      <c r="BS284" s="1"/>
      <c r="BT284" s="1"/>
      <c r="BU284" s="1"/>
      <c r="BV284" s="1"/>
      <c r="BW284" s="1"/>
      <c r="BX284" s="3"/>
      <c r="BY284" s="72">
        <v>11</v>
      </c>
      <c r="BZ284" s="72">
        <v>11</v>
      </c>
      <c r="CA284" s="72"/>
      <c r="CB284" s="72"/>
      <c r="CC284" s="72">
        <v>11</v>
      </c>
      <c r="CD284" s="72"/>
      <c r="CE284" s="72"/>
      <c r="CF284" s="72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DA284" s="139">
        <f t="shared" si="28"/>
        <v>8.3333333333333339</v>
      </c>
    </row>
    <row r="285" spans="1:105" ht="20.25" customHeight="1" x14ac:dyDescent="0.35">
      <c r="A285" s="65"/>
      <c r="B285" s="79" t="s">
        <v>920</v>
      </c>
      <c r="C285" s="79" t="s">
        <v>508</v>
      </c>
      <c r="D285" s="79"/>
      <c r="E285" s="65" t="s">
        <v>509</v>
      </c>
      <c r="F285" s="65" t="s">
        <v>510</v>
      </c>
      <c r="G285" s="65" t="s">
        <v>34</v>
      </c>
      <c r="H285" s="86">
        <v>45</v>
      </c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87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1"/>
      <c r="AL285" s="1"/>
      <c r="AM285" s="1"/>
      <c r="AN285" s="1"/>
      <c r="AO285" s="1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3"/>
      <c r="BY285" s="72"/>
      <c r="BZ285" s="72"/>
      <c r="CA285" s="72"/>
      <c r="CB285" s="72"/>
      <c r="CC285" s="72"/>
      <c r="CD285" s="72"/>
      <c r="CE285" s="72"/>
      <c r="CF285" s="72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DA285" s="66">
        <f t="shared" si="28"/>
        <v>45</v>
      </c>
    </row>
    <row r="286" spans="1:105" ht="20.25" customHeight="1" x14ac:dyDescent="0.35">
      <c r="A286" s="65"/>
      <c r="B286" s="79" t="s">
        <v>911</v>
      </c>
      <c r="C286" s="79" t="s">
        <v>508</v>
      </c>
      <c r="D286" s="79"/>
      <c r="E286" s="65" t="s">
        <v>509</v>
      </c>
      <c r="F286" s="65" t="s">
        <v>73</v>
      </c>
      <c r="G286" s="65" t="s">
        <v>786</v>
      </c>
      <c r="H286" s="86">
        <f>H285/12</f>
        <v>3.75</v>
      </c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87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1"/>
      <c r="AL286" s="1"/>
      <c r="AM286" s="1"/>
      <c r="AN286" s="1"/>
      <c r="AO286" s="1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3"/>
      <c r="BY286" s="72"/>
      <c r="BZ286" s="72">
        <v>4.5</v>
      </c>
      <c r="CA286" s="72"/>
      <c r="CB286" s="72"/>
      <c r="CC286" s="72"/>
      <c r="CD286" s="72"/>
      <c r="CE286" s="72"/>
      <c r="CF286" s="72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DA286" s="66">
        <f t="shared" si="28"/>
        <v>3.75</v>
      </c>
    </row>
    <row r="287" spans="1:105" ht="20.25" customHeight="1" x14ac:dyDescent="0.35">
      <c r="A287" s="65"/>
      <c r="B287" s="79" t="s">
        <v>787</v>
      </c>
      <c r="C287" s="79" t="s">
        <v>506</v>
      </c>
      <c r="D287" s="88" t="s">
        <v>463</v>
      </c>
      <c r="E287" s="65" t="s">
        <v>507</v>
      </c>
      <c r="F287" s="65" t="s">
        <v>457</v>
      </c>
      <c r="G287" s="65" t="s">
        <v>34</v>
      </c>
      <c r="H287" s="73">
        <v>52</v>
      </c>
      <c r="I287" s="89">
        <v>56</v>
      </c>
      <c r="J287" s="3"/>
      <c r="K287" s="3"/>
      <c r="L287" s="3"/>
      <c r="M287" s="3"/>
      <c r="N287" s="3"/>
      <c r="O287" s="3">
        <v>58</v>
      </c>
      <c r="P287" s="3"/>
      <c r="Q287" s="3"/>
      <c r="R287" s="3">
        <v>58</v>
      </c>
      <c r="S287" s="3"/>
      <c r="T287" s="3"/>
      <c r="U287" s="3"/>
      <c r="V287" s="87"/>
      <c r="W287" s="3"/>
      <c r="X287" s="3"/>
      <c r="Y287" s="3"/>
      <c r="Z287" s="3"/>
      <c r="AA287" s="3"/>
      <c r="AB287" s="3"/>
      <c r="AC287" s="3">
        <v>58</v>
      </c>
      <c r="AD287" s="3"/>
      <c r="AE287" s="3"/>
      <c r="AF287" s="3"/>
      <c r="AG287" s="3"/>
      <c r="AH287" s="3"/>
      <c r="AI287" s="3"/>
      <c r="AJ287" s="3"/>
      <c r="AK287" s="1">
        <v>60</v>
      </c>
      <c r="AL287" s="1"/>
      <c r="AM287" s="1">
        <v>58</v>
      </c>
      <c r="AN287" s="1"/>
      <c r="AO287" s="1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1"/>
      <c r="BE287" s="1"/>
      <c r="BF287" s="1"/>
      <c r="BG287" s="1"/>
      <c r="BH287" s="1">
        <v>60</v>
      </c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>
        <v>60</v>
      </c>
      <c r="BU287" s="1"/>
      <c r="BV287" s="1"/>
      <c r="BW287" s="1"/>
      <c r="BX287" s="3"/>
      <c r="BY287" s="72"/>
      <c r="BZ287" s="72">
        <v>58</v>
      </c>
      <c r="CA287" s="72"/>
      <c r="CB287" s="72"/>
      <c r="CC287" s="72"/>
      <c r="CD287" s="72"/>
      <c r="CE287" s="72"/>
      <c r="CF287" s="72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DA287" s="139">
        <f t="shared" si="28"/>
        <v>52</v>
      </c>
    </row>
    <row r="288" spans="1:105" ht="20.25" customHeight="1" x14ac:dyDescent="0.35">
      <c r="A288" s="5"/>
      <c r="B288" s="79" t="s">
        <v>788</v>
      </c>
      <c r="C288" s="79" t="s">
        <v>506</v>
      </c>
      <c r="D288" s="88" t="s">
        <v>463</v>
      </c>
      <c r="E288" s="65" t="s">
        <v>507</v>
      </c>
      <c r="F288" s="65" t="s">
        <v>322</v>
      </c>
      <c r="G288" s="65" t="s">
        <v>323</v>
      </c>
      <c r="H288" s="73">
        <f>H287/48</f>
        <v>1.0833333333333333</v>
      </c>
      <c r="I288" s="3">
        <v>0</v>
      </c>
      <c r="J288" s="3"/>
      <c r="K288" s="3"/>
      <c r="L288" s="3"/>
      <c r="M288" s="3"/>
      <c r="N288" s="152">
        <v>1.3</v>
      </c>
      <c r="O288" s="3"/>
      <c r="P288" s="3"/>
      <c r="Q288" s="3"/>
      <c r="R288" s="3"/>
      <c r="S288" s="3"/>
      <c r="T288" s="3"/>
      <c r="U288" s="3">
        <v>1.3</v>
      </c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1"/>
      <c r="AL288" s="1"/>
      <c r="AM288" s="1"/>
      <c r="AN288" s="1"/>
      <c r="AO288" s="1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>
        <v>1.3</v>
      </c>
      <c r="BU288" s="1"/>
      <c r="BV288" s="1"/>
      <c r="BW288" s="1"/>
      <c r="BX288" s="3"/>
      <c r="BY288" s="72"/>
      <c r="BZ288" s="72">
        <v>1.3</v>
      </c>
      <c r="CA288" s="72"/>
      <c r="CB288" s="72"/>
      <c r="CC288" s="72"/>
      <c r="CD288" s="72"/>
      <c r="CE288" s="72"/>
      <c r="CF288" s="72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DA288" s="139">
        <f t="shared" si="28"/>
        <v>1.0833333333333333</v>
      </c>
    </row>
    <row r="289" spans="1:105" ht="20.25" customHeight="1" x14ac:dyDescent="0.35">
      <c r="A289" s="65"/>
      <c r="B289" s="79" t="s">
        <v>789</v>
      </c>
      <c r="C289" s="79" t="s">
        <v>505</v>
      </c>
      <c r="D289" s="88" t="s">
        <v>463</v>
      </c>
      <c r="E289" s="65" t="s">
        <v>320</v>
      </c>
      <c r="F289" s="65" t="s">
        <v>456</v>
      </c>
      <c r="G289" s="65" t="s">
        <v>34</v>
      </c>
      <c r="H289" s="73">
        <v>47.5</v>
      </c>
      <c r="I289" s="89">
        <v>52</v>
      </c>
      <c r="J289" s="3"/>
      <c r="K289" s="3"/>
      <c r="L289" s="3"/>
      <c r="M289" s="3"/>
      <c r="N289" s="3"/>
      <c r="O289" s="3"/>
      <c r="P289" s="89">
        <v>54</v>
      </c>
      <c r="Q289" s="3"/>
      <c r="R289" s="3"/>
      <c r="S289" s="3"/>
      <c r="T289" s="3"/>
      <c r="U289" s="3"/>
      <c r="V289" s="87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1">
        <v>52</v>
      </c>
      <c r="AL289" s="1"/>
      <c r="AM289" s="1"/>
      <c r="AN289" s="1"/>
      <c r="AO289" s="1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3"/>
      <c r="BY289" s="72">
        <v>52</v>
      </c>
      <c r="BZ289" s="72"/>
      <c r="CA289" s="72"/>
      <c r="CB289" s="72">
        <v>52</v>
      </c>
      <c r="CC289" s="72"/>
      <c r="CD289" s="72"/>
      <c r="CE289" s="72"/>
      <c r="CF289" s="72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DA289" s="139">
        <f t="shared" si="28"/>
        <v>47.5</v>
      </c>
    </row>
    <row r="290" spans="1:105" ht="20.25" customHeight="1" x14ac:dyDescent="0.35">
      <c r="A290" s="65"/>
      <c r="B290" s="79" t="s">
        <v>790</v>
      </c>
      <c r="C290" s="79" t="s">
        <v>505</v>
      </c>
      <c r="D290" s="88" t="s">
        <v>463</v>
      </c>
      <c r="E290" s="65" t="s">
        <v>320</v>
      </c>
      <c r="F290" s="65" t="s">
        <v>485</v>
      </c>
      <c r="G290" s="65" t="s">
        <v>34</v>
      </c>
      <c r="H290" s="73">
        <f>H289/48</f>
        <v>0.98958333333333337</v>
      </c>
      <c r="I290" s="89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87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1"/>
      <c r="AL290" s="1"/>
      <c r="AM290" s="1"/>
      <c r="AN290" s="1"/>
      <c r="AO290" s="1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3"/>
      <c r="BY290" s="72"/>
      <c r="BZ290" s="72"/>
      <c r="CA290" s="72"/>
      <c r="CB290" s="72"/>
      <c r="CC290" s="72"/>
      <c r="CD290" s="72"/>
      <c r="CE290" s="72"/>
      <c r="CF290" s="72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DA290" s="139">
        <f t="shared" ref="DA290:DA292" si="29">H290</f>
        <v>0.98958333333333337</v>
      </c>
    </row>
    <row r="291" spans="1:105" ht="20.25" customHeight="1" x14ac:dyDescent="0.35">
      <c r="A291" s="65"/>
      <c r="B291" s="79" t="s">
        <v>792</v>
      </c>
      <c r="C291" s="79" t="s">
        <v>791</v>
      </c>
      <c r="D291" s="88" t="s">
        <v>463</v>
      </c>
      <c r="E291" s="65" t="s">
        <v>324</v>
      </c>
      <c r="F291" s="65" t="s">
        <v>458</v>
      </c>
      <c r="G291" s="65" t="s">
        <v>34</v>
      </c>
      <c r="H291" s="73">
        <v>37</v>
      </c>
      <c r="I291" s="89">
        <v>43</v>
      </c>
      <c r="J291" s="3"/>
      <c r="K291" s="3"/>
      <c r="L291" s="3"/>
      <c r="M291" s="3"/>
      <c r="N291" s="3"/>
      <c r="O291" s="3"/>
      <c r="P291" s="89">
        <v>46</v>
      </c>
      <c r="Q291" s="3"/>
      <c r="R291" s="3">
        <v>45</v>
      </c>
      <c r="S291" s="3"/>
      <c r="T291" s="3"/>
      <c r="U291" s="3">
        <v>45</v>
      </c>
      <c r="V291" s="87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1"/>
      <c r="AL291" s="1"/>
      <c r="AM291" s="1"/>
      <c r="AN291" s="1"/>
      <c r="AO291" s="1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1"/>
      <c r="BE291" s="1"/>
      <c r="BF291" s="1"/>
      <c r="BG291" s="1"/>
      <c r="BH291" s="1">
        <v>45</v>
      </c>
      <c r="BI291" s="1">
        <v>45</v>
      </c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>
        <v>44</v>
      </c>
      <c r="BU291" s="1"/>
      <c r="BV291" s="1"/>
      <c r="BW291" s="1"/>
      <c r="BX291" s="3"/>
      <c r="BY291" s="72"/>
      <c r="BZ291" s="72">
        <v>44</v>
      </c>
      <c r="CA291" s="72"/>
      <c r="CB291" s="72">
        <v>44</v>
      </c>
      <c r="CC291" s="72"/>
      <c r="CD291" s="72"/>
      <c r="CE291" s="72"/>
      <c r="CF291" s="72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DA291" s="139">
        <f t="shared" si="29"/>
        <v>37</v>
      </c>
    </row>
    <row r="292" spans="1:105" ht="20.25" customHeight="1" x14ac:dyDescent="0.35">
      <c r="A292" s="65"/>
      <c r="B292" s="79" t="s">
        <v>793</v>
      </c>
      <c r="C292" s="79" t="s">
        <v>791</v>
      </c>
      <c r="D292" s="88" t="s">
        <v>463</v>
      </c>
      <c r="E292" s="65" t="s">
        <v>324</v>
      </c>
      <c r="F292" s="65" t="s">
        <v>794</v>
      </c>
      <c r="G292" s="65" t="s">
        <v>759</v>
      </c>
      <c r="H292" s="73">
        <f>H291/48</f>
        <v>0.77083333333333337</v>
      </c>
      <c r="I292" s="89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72">
        <v>1</v>
      </c>
      <c r="V292" s="87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1"/>
      <c r="AL292" s="1"/>
      <c r="AM292" s="1"/>
      <c r="AN292" s="1"/>
      <c r="AO292" s="1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3"/>
      <c r="BY292" s="72"/>
      <c r="BZ292" s="72"/>
      <c r="CA292" s="72"/>
      <c r="CB292" s="72">
        <v>1</v>
      </c>
      <c r="CC292" s="72"/>
      <c r="CD292" s="72"/>
      <c r="CE292" s="72"/>
      <c r="CF292" s="72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DA292" s="139">
        <f t="shared" si="29"/>
        <v>0.77083333333333337</v>
      </c>
    </row>
    <row r="293" spans="1:105" ht="20.25" customHeight="1" x14ac:dyDescent="0.35">
      <c r="A293" s="65"/>
      <c r="B293" s="79" t="s">
        <v>795</v>
      </c>
      <c r="C293" s="79" t="s">
        <v>319</v>
      </c>
      <c r="D293" s="88" t="s">
        <v>425</v>
      </c>
      <c r="E293" s="65" t="s">
        <v>320</v>
      </c>
      <c r="F293" s="65" t="s">
        <v>460</v>
      </c>
      <c r="G293" s="65" t="s">
        <v>34</v>
      </c>
      <c r="H293" s="145"/>
      <c r="I293" s="89">
        <v>25</v>
      </c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1"/>
      <c r="AL293" s="1"/>
      <c r="AM293" s="1"/>
      <c r="AN293" s="1"/>
      <c r="AO293" s="1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3"/>
      <c r="BY293" s="72"/>
      <c r="BZ293" s="72"/>
      <c r="CA293" s="72"/>
      <c r="CB293" s="72"/>
      <c r="CC293" s="72"/>
      <c r="CD293" s="72"/>
      <c r="CE293" s="72"/>
      <c r="CF293" s="72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DA293" s="100">
        <v>0</v>
      </c>
    </row>
    <row r="294" spans="1:105" ht="20.25" customHeight="1" x14ac:dyDescent="0.35">
      <c r="A294" s="65"/>
      <c r="B294" s="79" t="s">
        <v>796</v>
      </c>
      <c r="C294" s="79" t="s">
        <v>329</v>
      </c>
      <c r="D294" s="88" t="s">
        <v>425</v>
      </c>
      <c r="E294" s="65" t="s">
        <v>330</v>
      </c>
      <c r="F294" s="65" t="s">
        <v>460</v>
      </c>
      <c r="G294" s="65" t="s">
        <v>34</v>
      </c>
      <c r="H294" s="145"/>
      <c r="I294" s="89">
        <v>25</v>
      </c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>
        <v>22.8</v>
      </c>
      <c r="AG294" s="3"/>
      <c r="AH294" s="3"/>
      <c r="AI294" s="3"/>
      <c r="AJ294" s="3"/>
      <c r="AK294" s="1"/>
      <c r="AL294" s="1"/>
      <c r="AM294" s="1"/>
      <c r="AN294" s="1"/>
      <c r="AO294" s="1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3"/>
      <c r="BY294" s="72"/>
      <c r="BZ294" s="72"/>
      <c r="CA294" s="72"/>
      <c r="CB294" s="72"/>
      <c r="CC294" s="72"/>
      <c r="CD294" s="72"/>
      <c r="CE294" s="72"/>
      <c r="CF294" s="72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DA294" s="100">
        <v>0</v>
      </c>
    </row>
    <row r="295" spans="1:105" ht="20.25" customHeight="1" x14ac:dyDescent="0.35">
      <c r="A295" s="5"/>
      <c r="B295" s="79" t="s">
        <v>797</v>
      </c>
      <c r="C295" s="79" t="s">
        <v>321</v>
      </c>
      <c r="D295" s="79"/>
      <c r="E295" s="5" t="s">
        <v>395</v>
      </c>
      <c r="F295" s="5" t="s">
        <v>396</v>
      </c>
      <c r="G295" s="5" t="s">
        <v>34</v>
      </c>
      <c r="H295" s="145"/>
      <c r="I295" s="3"/>
      <c r="J295" s="3"/>
      <c r="K295" s="3"/>
      <c r="L295" s="3"/>
      <c r="M295" s="3"/>
      <c r="N295" s="3"/>
      <c r="O295" s="3"/>
      <c r="P295" s="3"/>
      <c r="Q295" s="3"/>
      <c r="R295" s="3">
        <v>66</v>
      </c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1"/>
      <c r="AL295" s="1"/>
      <c r="AM295" s="1"/>
      <c r="AN295" s="1"/>
      <c r="AO295" s="1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1"/>
      <c r="BE295" s="1"/>
      <c r="BF295" s="1"/>
      <c r="BG295" s="1"/>
      <c r="BH295" s="1"/>
      <c r="BI295" s="1">
        <v>66</v>
      </c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3"/>
      <c r="BY295" s="72"/>
      <c r="BZ295" s="72"/>
      <c r="CA295" s="72"/>
      <c r="CB295" s="72"/>
      <c r="CC295" s="72"/>
      <c r="CD295" s="72"/>
      <c r="CE295" s="72"/>
      <c r="CF295" s="72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DA295" s="100">
        <v>0</v>
      </c>
    </row>
    <row r="296" spans="1:105" ht="20.25" customHeight="1" x14ac:dyDescent="0.35">
      <c r="A296" s="65"/>
      <c r="B296" s="79" t="s">
        <v>798</v>
      </c>
      <c r="C296" s="79" t="s">
        <v>237</v>
      </c>
      <c r="D296" s="88" t="s">
        <v>461</v>
      </c>
      <c r="E296" s="65" t="s">
        <v>273</v>
      </c>
      <c r="F296" s="65" t="s">
        <v>336</v>
      </c>
      <c r="G296" s="65" t="s">
        <v>37</v>
      </c>
      <c r="H296" s="73">
        <v>21</v>
      </c>
      <c r="I296" s="89">
        <v>30</v>
      </c>
      <c r="J296" s="3">
        <v>32</v>
      </c>
      <c r="K296" s="3"/>
      <c r="L296" s="3">
        <v>32</v>
      </c>
      <c r="M296" s="3"/>
      <c r="N296" s="3"/>
      <c r="O296" s="3"/>
      <c r="P296" s="89">
        <v>30</v>
      </c>
      <c r="Q296" s="3">
        <v>32</v>
      </c>
      <c r="R296" s="3">
        <v>30</v>
      </c>
      <c r="S296" s="3">
        <v>32</v>
      </c>
      <c r="T296" s="3"/>
      <c r="U296" s="3"/>
      <c r="V296" s="87"/>
      <c r="W296" s="3"/>
      <c r="X296" s="3"/>
      <c r="Y296" s="3"/>
      <c r="Z296" s="3"/>
      <c r="AA296" s="3"/>
      <c r="AB296" s="3"/>
      <c r="AC296" s="3"/>
      <c r="AD296" s="3"/>
      <c r="AE296" s="3"/>
      <c r="AF296" s="3">
        <v>32</v>
      </c>
      <c r="AG296" s="3"/>
      <c r="AH296" s="3"/>
      <c r="AI296" s="3"/>
      <c r="AJ296" s="3"/>
      <c r="AK296" s="1">
        <v>32</v>
      </c>
      <c r="AL296" s="1"/>
      <c r="AM296" s="1">
        <v>32</v>
      </c>
      <c r="AN296" s="1"/>
      <c r="AO296" s="72">
        <v>32</v>
      </c>
      <c r="AP296" s="3">
        <v>32</v>
      </c>
      <c r="AQ296" s="3"/>
      <c r="AR296" s="3">
        <v>32</v>
      </c>
      <c r="AS296" s="3"/>
      <c r="AT296" s="3">
        <v>32</v>
      </c>
      <c r="AU296" s="3">
        <v>32</v>
      </c>
      <c r="AV296" s="3">
        <v>32</v>
      </c>
      <c r="AW296" s="3">
        <v>32</v>
      </c>
      <c r="AX296" s="3">
        <v>32</v>
      </c>
      <c r="AY296" s="3">
        <v>32</v>
      </c>
      <c r="AZ296" s="3">
        <v>32</v>
      </c>
      <c r="BA296" s="3">
        <v>32</v>
      </c>
      <c r="BB296" s="3"/>
      <c r="BC296" s="3">
        <v>32</v>
      </c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3">
        <f>J296</f>
        <v>32</v>
      </c>
      <c r="BY296" s="72"/>
      <c r="BZ296" s="72">
        <v>32</v>
      </c>
      <c r="CA296" s="72"/>
      <c r="CB296" s="72"/>
      <c r="CC296" s="72"/>
      <c r="CD296" s="72"/>
      <c r="CE296" s="72"/>
      <c r="CF296" s="72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DA296" s="139">
        <f>H296</f>
        <v>21</v>
      </c>
    </row>
    <row r="297" spans="1:105" ht="20.25" customHeight="1" x14ac:dyDescent="0.35">
      <c r="A297" s="65"/>
      <c r="B297" s="79" t="s">
        <v>799</v>
      </c>
      <c r="C297" s="79" t="s">
        <v>176</v>
      </c>
      <c r="D297" s="88" t="s">
        <v>461</v>
      </c>
      <c r="E297" s="65" t="s">
        <v>240</v>
      </c>
      <c r="F297" s="65" t="s">
        <v>337</v>
      </c>
      <c r="G297" s="65" t="s">
        <v>34</v>
      </c>
      <c r="H297" s="86">
        <v>17</v>
      </c>
      <c r="I297" s="89">
        <v>24</v>
      </c>
      <c r="J297" s="3">
        <v>24</v>
      </c>
      <c r="K297" s="3"/>
      <c r="L297" s="3"/>
      <c r="M297" s="3"/>
      <c r="N297" s="3"/>
      <c r="O297" s="3"/>
      <c r="P297" s="89">
        <v>24</v>
      </c>
      <c r="Q297" s="3">
        <v>24</v>
      </c>
      <c r="R297" s="3">
        <v>24</v>
      </c>
      <c r="S297" s="3"/>
      <c r="T297" s="3"/>
      <c r="U297" s="3"/>
      <c r="V297" s="87"/>
      <c r="W297" s="3"/>
      <c r="X297" s="3"/>
      <c r="Y297" s="3"/>
      <c r="Z297" s="3"/>
      <c r="AA297" s="3"/>
      <c r="AB297" s="3"/>
      <c r="AC297" s="3">
        <v>24</v>
      </c>
      <c r="AD297" s="3"/>
      <c r="AE297" s="3"/>
      <c r="AF297" s="3"/>
      <c r="AG297" s="3"/>
      <c r="AH297" s="3"/>
      <c r="AI297" s="3"/>
      <c r="AJ297" s="3"/>
      <c r="AK297" s="1"/>
      <c r="AL297" s="1"/>
      <c r="AM297" s="1"/>
      <c r="AN297" s="1"/>
      <c r="AO297" s="1"/>
      <c r="AP297" s="3">
        <v>24</v>
      </c>
      <c r="AQ297" s="3">
        <v>24</v>
      </c>
      <c r="AR297" s="3">
        <v>24</v>
      </c>
      <c r="AS297" s="3"/>
      <c r="AT297" s="3">
        <v>24</v>
      </c>
      <c r="AU297" s="3">
        <v>24</v>
      </c>
      <c r="AV297" s="3">
        <v>24</v>
      </c>
      <c r="AW297" s="3">
        <v>24</v>
      </c>
      <c r="AX297" s="3">
        <v>24</v>
      </c>
      <c r="AY297" s="3">
        <v>24</v>
      </c>
      <c r="AZ297" s="3">
        <v>24</v>
      </c>
      <c r="BA297" s="3">
        <v>24</v>
      </c>
      <c r="BB297" s="3"/>
      <c r="BC297" s="3">
        <v>24</v>
      </c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3"/>
      <c r="BY297" s="72"/>
      <c r="BZ297" s="72"/>
      <c r="CA297" s="72"/>
      <c r="CB297" s="72"/>
      <c r="CC297" s="72"/>
      <c r="CD297" s="72"/>
      <c r="CE297" s="72"/>
      <c r="CF297" s="72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DA297" s="66">
        <f>H297</f>
        <v>17</v>
      </c>
    </row>
    <row r="298" spans="1:105" ht="20.25" customHeight="1" x14ac:dyDescent="0.35">
      <c r="A298" s="65"/>
      <c r="B298" s="79" t="s">
        <v>804</v>
      </c>
      <c r="C298" s="79" t="s">
        <v>800</v>
      </c>
      <c r="D298" s="65" t="s">
        <v>801</v>
      </c>
      <c r="E298" s="65" t="s">
        <v>802</v>
      </c>
      <c r="F298" s="55" t="s">
        <v>803</v>
      </c>
      <c r="G298" s="55" t="s">
        <v>34</v>
      </c>
      <c r="H298" s="73">
        <v>31.2</v>
      </c>
      <c r="I298" s="89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87"/>
      <c r="W298" s="3"/>
      <c r="X298" s="3"/>
      <c r="Y298" s="3"/>
      <c r="Z298" s="3"/>
      <c r="AA298" s="3">
        <v>41</v>
      </c>
      <c r="AB298" s="3"/>
      <c r="AC298" s="3"/>
      <c r="AD298" s="3"/>
      <c r="AE298" s="3"/>
      <c r="AF298" s="3"/>
      <c r="AG298" s="3"/>
      <c r="AH298" s="3"/>
      <c r="AI298" s="3"/>
      <c r="AJ298" s="3"/>
      <c r="AK298" s="1"/>
      <c r="AL298" s="1"/>
      <c r="AM298" s="1"/>
      <c r="AN298" s="1"/>
      <c r="AO298" s="1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3"/>
      <c r="BY298" s="72"/>
      <c r="BZ298" s="72"/>
      <c r="CA298" s="72"/>
      <c r="CB298" s="72"/>
      <c r="CC298" s="72"/>
      <c r="CD298" s="72"/>
      <c r="CE298" s="72"/>
      <c r="CF298" s="72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DA298" s="139">
        <f>H298</f>
        <v>31.2</v>
      </c>
    </row>
    <row r="299" spans="1:105" ht="20.25" customHeight="1" x14ac:dyDescent="0.35">
      <c r="A299" s="65"/>
      <c r="B299" s="79" t="s">
        <v>805</v>
      </c>
      <c r="C299" s="79" t="s">
        <v>289</v>
      </c>
      <c r="D299" s="88" t="s">
        <v>461</v>
      </c>
      <c r="E299" s="65" t="s">
        <v>273</v>
      </c>
      <c r="F299" s="65" t="s">
        <v>338</v>
      </c>
      <c r="G299" s="65" t="s">
        <v>34</v>
      </c>
      <c r="H299" s="73">
        <v>30</v>
      </c>
      <c r="I299" s="89">
        <v>34</v>
      </c>
      <c r="J299" s="3"/>
      <c r="K299" s="3"/>
      <c r="L299" s="3"/>
      <c r="M299" s="3"/>
      <c r="N299" s="89">
        <v>38</v>
      </c>
      <c r="O299" s="3">
        <v>38</v>
      </c>
      <c r="P299" s="89">
        <v>38</v>
      </c>
      <c r="Q299" s="3"/>
      <c r="R299" s="3">
        <v>38</v>
      </c>
      <c r="S299" s="3"/>
      <c r="T299" s="3"/>
      <c r="U299" s="3"/>
      <c r="V299" s="87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1"/>
      <c r="AL299" s="1"/>
      <c r="AM299" s="1"/>
      <c r="AN299" s="1"/>
      <c r="AO299" s="1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3"/>
      <c r="BY299" s="72"/>
      <c r="BZ299" s="72"/>
      <c r="CA299" s="72"/>
      <c r="CB299" s="72"/>
      <c r="CC299" s="72"/>
      <c r="CD299" s="72"/>
      <c r="CE299" s="72"/>
      <c r="CF299" s="72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DA299" s="139">
        <f>H299</f>
        <v>30</v>
      </c>
    </row>
    <row r="300" spans="1:105" ht="20.25" customHeight="1" x14ac:dyDescent="0.35">
      <c r="A300" s="65"/>
      <c r="B300" s="79" t="s">
        <v>806</v>
      </c>
      <c r="C300" s="79" t="s">
        <v>229</v>
      </c>
      <c r="D300" s="65"/>
      <c r="E300" s="65" t="s">
        <v>35</v>
      </c>
      <c r="F300" s="55" t="s">
        <v>38</v>
      </c>
      <c r="G300" s="55" t="s">
        <v>32</v>
      </c>
      <c r="H300" s="86"/>
      <c r="I300" s="89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87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1"/>
      <c r="AL300" s="1"/>
      <c r="AM300" s="1"/>
      <c r="AN300" s="1"/>
      <c r="AO300" s="1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3"/>
      <c r="BY300" s="72"/>
      <c r="BZ300" s="72"/>
      <c r="CA300" s="72"/>
      <c r="CB300" s="72"/>
      <c r="CC300" s="72"/>
      <c r="CD300" s="72"/>
      <c r="CE300" s="72"/>
      <c r="CF300" s="72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DA300" s="66">
        <v>0</v>
      </c>
    </row>
    <row r="301" spans="1:105" ht="20.25" customHeight="1" x14ac:dyDescent="0.35">
      <c r="A301" s="5"/>
      <c r="B301" s="79" t="s">
        <v>807</v>
      </c>
      <c r="C301" s="79" t="s">
        <v>246</v>
      </c>
      <c r="D301" s="5"/>
      <c r="E301" s="5" t="s">
        <v>47</v>
      </c>
      <c r="F301" s="65" t="s">
        <v>334</v>
      </c>
      <c r="G301" s="5" t="s">
        <v>37</v>
      </c>
      <c r="H301" s="86">
        <v>16</v>
      </c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1"/>
      <c r="AL301" s="1"/>
      <c r="AM301" s="1"/>
      <c r="AN301" s="1"/>
      <c r="AO301" s="1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3"/>
      <c r="BY301" s="72"/>
      <c r="BZ301" s="72"/>
      <c r="CA301" s="72"/>
      <c r="CB301" s="72"/>
      <c r="CC301" s="72"/>
      <c r="CD301" s="72"/>
      <c r="CE301" s="72"/>
      <c r="CF301" s="72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DA301" s="66">
        <f>H301</f>
        <v>16</v>
      </c>
    </row>
    <row r="302" spans="1:105" ht="20.25" customHeight="1" x14ac:dyDescent="0.35">
      <c r="A302" s="65"/>
      <c r="B302" s="79" t="s">
        <v>808</v>
      </c>
      <c r="C302" s="79" t="s">
        <v>208</v>
      </c>
      <c r="D302" s="88" t="s">
        <v>250</v>
      </c>
      <c r="E302" s="65" t="s">
        <v>57</v>
      </c>
      <c r="F302" s="65" t="s">
        <v>339</v>
      </c>
      <c r="G302" s="65" t="s">
        <v>37</v>
      </c>
      <c r="H302" s="73">
        <v>35.799999999999997</v>
      </c>
      <c r="I302" s="89">
        <v>42</v>
      </c>
      <c r="J302" s="3">
        <v>42</v>
      </c>
      <c r="K302" s="3"/>
      <c r="L302" s="3"/>
      <c r="M302" s="3"/>
      <c r="N302" s="3"/>
      <c r="O302" s="3">
        <v>41</v>
      </c>
      <c r="P302" s="89">
        <v>41</v>
      </c>
      <c r="Q302" s="3">
        <v>41</v>
      </c>
      <c r="R302" s="3"/>
      <c r="S302" s="3">
        <v>42</v>
      </c>
      <c r="T302" s="3"/>
      <c r="U302" s="3"/>
      <c r="V302" s="87">
        <v>42</v>
      </c>
      <c r="W302" s="3"/>
      <c r="X302" s="3"/>
      <c r="Y302" s="3">
        <v>41</v>
      </c>
      <c r="Z302" s="3">
        <v>41</v>
      </c>
      <c r="AA302" s="3"/>
      <c r="AB302" s="3"/>
      <c r="AC302" s="3">
        <v>41</v>
      </c>
      <c r="AD302" s="3"/>
      <c r="AE302" s="3"/>
      <c r="AF302" s="3">
        <v>41</v>
      </c>
      <c r="AG302" s="3"/>
      <c r="AH302" s="3"/>
      <c r="AI302" s="3"/>
      <c r="AJ302" s="3">
        <v>42</v>
      </c>
      <c r="AK302" s="1"/>
      <c r="AL302" s="1"/>
      <c r="AM302" s="1"/>
      <c r="AN302" s="1"/>
      <c r="AO302" s="3">
        <v>42</v>
      </c>
      <c r="AP302" s="3">
        <v>42</v>
      </c>
      <c r="AQ302" s="3">
        <v>42</v>
      </c>
      <c r="AR302" s="3">
        <v>42</v>
      </c>
      <c r="AS302" s="3"/>
      <c r="AT302" s="3">
        <v>42</v>
      </c>
      <c r="AU302" s="3">
        <v>42</v>
      </c>
      <c r="AV302" s="3">
        <v>42</v>
      </c>
      <c r="AW302" s="3">
        <v>42</v>
      </c>
      <c r="AX302" s="3">
        <v>42</v>
      </c>
      <c r="AY302" s="3">
        <v>42</v>
      </c>
      <c r="AZ302" s="3">
        <v>42</v>
      </c>
      <c r="BA302" s="3">
        <v>42</v>
      </c>
      <c r="BB302" s="3"/>
      <c r="BC302" s="3">
        <v>42</v>
      </c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3">
        <f>J302</f>
        <v>42</v>
      </c>
      <c r="BY302" s="72"/>
      <c r="BZ302" s="72">
        <v>42</v>
      </c>
      <c r="CA302" s="72"/>
      <c r="CB302" s="72"/>
      <c r="CC302" s="72"/>
      <c r="CD302" s="72"/>
      <c r="CE302" s="72"/>
      <c r="CF302" s="72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DA302" s="139">
        <f>H302</f>
        <v>35.799999999999997</v>
      </c>
    </row>
    <row r="303" spans="1:105" ht="20.25" customHeight="1" x14ac:dyDescent="0.35">
      <c r="A303" s="65"/>
      <c r="B303" s="79" t="s">
        <v>809</v>
      </c>
      <c r="C303" s="79" t="s">
        <v>208</v>
      </c>
      <c r="D303" s="88" t="s">
        <v>250</v>
      </c>
      <c r="E303" s="65" t="s">
        <v>57</v>
      </c>
      <c r="F303" s="65" t="s">
        <v>340</v>
      </c>
      <c r="G303" s="65" t="s">
        <v>37</v>
      </c>
      <c r="H303" s="73">
        <v>21.5</v>
      </c>
      <c r="I303" s="89">
        <v>24</v>
      </c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>
        <v>26</v>
      </c>
      <c r="V303" s="87"/>
      <c r="W303" s="3"/>
      <c r="X303" s="3"/>
      <c r="Y303" s="3"/>
      <c r="Z303" s="3">
        <v>23</v>
      </c>
      <c r="AA303" s="3"/>
      <c r="AB303" s="3">
        <v>23</v>
      </c>
      <c r="AC303" s="3">
        <v>22</v>
      </c>
      <c r="AD303" s="3"/>
      <c r="AE303" s="3"/>
      <c r="AF303" s="3"/>
      <c r="AG303" s="3"/>
      <c r="AH303" s="3"/>
      <c r="AI303" s="3"/>
      <c r="AJ303" s="3"/>
      <c r="AK303" s="1"/>
      <c r="AL303" s="1"/>
      <c r="AM303" s="1"/>
      <c r="AN303" s="1"/>
      <c r="AO303" s="1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>
        <v>24</v>
      </c>
      <c r="BP303" s="1"/>
      <c r="BQ303" s="1"/>
      <c r="BR303" s="1"/>
      <c r="BS303" s="1"/>
      <c r="BT303" s="1"/>
      <c r="BU303" s="1">
        <v>23</v>
      </c>
      <c r="BV303" s="1"/>
      <c r="BW303" s="1"/>
      <c r="BX303" s="3"/>
      <c r="BY303" s="72">
        <v>23</v>
      </c>
      <c r="BZ303" s="72"/>
      <c r="CA303" s="72">
        <v>23</v>
      </c>
      <c r="CB303" s="72"/>
      <c r="CC303" s="72"/>
      <c r="CD303" s="72"/>
      <c r="CE303" s="72"/>
      <c r="CF303" s="72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DA303" s="139">
        <f>H303</f>
        <v>21.5</v>
      </c>
    </row>
    <row r="304" spans="1:105" ht="20.25" customHeight="1" x14ac:dyDescent="0.35">
      <c r="A304" s="65"/>
      <c r="B304" s="101" t="s">
        <v>1185</v>
      </c>
      <c r="C304" s="79" t="s">
        <v>208</v>
      </c>
      <c r="D304" s="65"/>
      <c r="E304" s="65" t="s">
        <v>57</v>
      </c>
      <c r="F304" s="55" t="s">
        <v>1186</v>
      </c>
      <c r="G304" s="55" t="s">
        <v>39</v>
      </c>
      <c r="H304" s="73"/>
      <c r="I304" s="89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87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1"/>
      <c r="AL304" s="1"/>
      <c r="AM304" s="1"/>
      <c r="AN304" s="1"/>
      <c r="AO304" s="1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3"/>
      <c r="BY304" s="72"/>
      <c r="BZ304" s="72"/>
      <c r="CA304" s="72"/>
      <c r="CB304" s="72"/>
      <c r="CC304" s="72"/>
      <c r="CD304" s="72"/>
      <c r="CE304" s="72"/>
      <c r="CF304" s="72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DA304" s="139"/>
    </row>
    <row r="305" spans="1:105" ht="20.25" customHeight="1" x14ac:dyDescent="0.35">
      <c r="A305" s="65"/>
      <c r="B305" s="79" t="s">
        <v>810</v>
      </c>
      <c r="C305" s="79"/>
      <c r="D305" s="65"/>
      <c r="E305" s="65"/>
      <c r="F305" s="55"/>
      <c r="G305" s="65"/>
      <c r="H305" s="145"/>
      <c r="I305" s="89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87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1"/>
      <c r="AL305" s="1"/>
      <c r="AM305" s="1"/>
      <c r="AN305" s="1"/>
      <c r="AO305" s="1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3"/>
      <c r="BY305" s="72"/>
      <c r="BZ305" s="72"/>
      <c r="CA305" s="72"/>
      <c r="CB305" s="72"/>
      <c r="CC305" s="72"/>
      <c r="CD305" s="72"/>
      <c r="CE305" s="72"/>
      <c r="CF305" s="72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</row>
    <row r="306" spans="1:105" ht="20.25" customHeight="1" x14ac:dyDescent="0.35">
      <c r="A306" s="65"/>
      <c r="B306" s="79" t="s">
        <v>811</v>
      </c>
      <c r="C306" s="79" t="s">
        <v>208</v>
      </c>
      <c r="D306" s="88" t="s">
        <v>250</v>
      </c>
      <c r="E306" s="65" t="s">
        <v>136</v>
      </c>
      <c r="F306" s="65" t="s">
        <v>339</v>
      </c>
      <c r="G306" s="65" t="s">
        <v>37</v>
      </c>
      <c r="H306" s="73">
        <f>3450/113</f>
        <v>30.530973451327434</v>
      </c>
      <c r="I306" s="89">
        <v>40</v>
      </c>
      <c r="J306" s="3"/>
      <c r="K306" s="3"/>
      <c r="L306" s="3"/>
      <c r="M306" s="3"/>
      <c r="N306" s="3"/>
      <c r="O306" s="3">
        <v>38</v>
      </c>
      <c r="P306" s="3"/>
      <c r="Q306" s="3"/>
      <c r="R306" s="3"/>
      <c r="S306" s="3"/>
      <c r="T306" s="3"/>
      <c r="U306" s="3"/>
      <c r="V306" s="87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1"/>
      <c r="AL306" s="1"/>
      <c r="AM306" s="1">
        <f>228/6</f>
        <v>38</v>
      </c>
      <c r="AN306" s="1"/>
      <c r="AO306" s="1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3"/>
      <c r="BY306" s="72"/>
      <c r="BZ306" s="72"/>
      <c r="CA306" s="72"/>
      <c r="CB306" s="72"/>
      <c r="CC306" s="72"/>
      <c r="CD306" s="72"/>
      <c r="CE306" s="72"/>
      <c r="CF306" s="72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DA306" s="139">
        <f>H306</f>
        <v>30.530973451327434</v>
      </c>
    </row>
    <row r="307" spans="1:105" ht="20.25" customHeight="1" x14ac:dyDescent="0.35">
      <c r="A307" s="65"/>
      <c r="B307" s="79" t="s">
        <v>812</v>
      </c>
      <c r="C307" s="79" t="s">
        <v>248</v>
      </c>
      <c r="D307" s="88" t="s">
        <v>425</v>
      </c>
      <c r="E307" s="65" t="s">
        <v>35</v>
      </c>
      <c r="F307" s="65" t="s">
        <v>129</v>
      </c>
      <c r="G307" s="65" t="s">
        <v>50</v>
      </c>
      <c r="H307" s="73">
        <v>6.5</v>
      </c>
      <c r="I307" s="89">
        <v>8</v>
      </c>
      <c r="J307" s="3"/>
      <c r="K307" s="3"/>
      <c r="L307" s="3">
        <f>1.8*6</f>
        <v>10.8</v>
      </c>
      <c r="M307" s="3"/>
      <c r="N307" s="3"/>
      <c r="O307" s="3"/>
      <c r="P307" s="3"/>
      <c r="Q307" s="3"/>
      <c r="R307" s="3">
        <v>21</v>
      </c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1"/>
      <c r="AL307" s="1"/>
      <c r="AM307" s="1"/>
      <c r="AN307" s="1"/>
      <c r="AO307" s="1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3"/>
      <c r="BY307" s="72"/>
      <c r="BZ307" s="72"/>
      <c r="CA307" s="72"/>
      <c r="CB307" s="72"/>
      <c r="CC307" s="72"/>
      <c r="CD307" s="72"/>
      <c r="CE307" s="72"/>
      <c r="CF307" s="72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DA307" s="139">
        <f>H307</f>
        <v>6.5</v>
      </c>
    </row>
    <row r="308" spans="1:105" ht="20.25" customHeight="1" x14ac:dyDescent="0.35">
      <c r="A308" s="65"/>
      <c r="B308" s="79" t="s">
        <v>813</v>
      </c>
      <c r="C308" s="79" t="s">
        <v>221</v>
      </c>
      <c r="D308" s="88" t="s">
        <v>380</v>
      </c>
      <c r="E308" s="65" t="s">
        <v>35</v>
      </c>
      <c r="F308" s="65" t="s">
        <v>154</v>
      </c>
      <c r="G308" s="65" t="s">
        <v>155</v>
      </c>
      <c r="H308" s="86">
        <v>27</v>
      </c>
      <c r="I308" s="89">
        <v>22</v>
      </c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1"/>
      <c r="AL308" s="1"/>
      <c r="AM308" s="1"/>
      <c r="AN308" s="1"/>
      <c r="AO308" s="1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3"/>
      <c r="BY308" s="72"/>
      <c r="BZ308" s="72"/>
      <c r="CA308" s="72"/>
      <c r="CB308" s="72"/>
      <c r="CC308" s="72"/>
      <c r="CD308" s="72"/>
      <c r="CE308" s="72"/>
      <c r="CF308" s="72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DA308" s="66">
        <f>H308</f>
        <v>27</v>
      </c>
    </row>
    <row r="309" spans="1:105" ht="20.25" customHeight="1" x14ac:dyDescent="0.35">
      <c r="A309" s="65"/>
      <c r="B309" s="79" t="s">
        <v>814</v>
      </c>
      <c r="C309" s="79" t="s">
        <v>222</v>
      </c>
      <c r="D309" s="88" t="s">
        <v>380</v>
      </c>
      <c r="E309" s="65" t="s">
        <v>35</v>
      </c>
      <c r="F309" s="65" t="s">
        <v>154</v>
      </c>
      <c r="G309" s="65" t="s">
        <v>155</v>
      </c>
      <c r="H309" s="92">
        <v>27</v>
      </c>
      <c r="I309" s="89">
        <v>22</v>
      </c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>
        <v>22</v>
      </c>
      <c r="AC309" s="3"/>
      <c r="AD309" s="3"/>
      <c r="AE309" s="3"/>
      <c r="AF309" s="3"/>
      <c r="AG309" s="3"/>
      <c r="AH309" s="3"/>
      <c r="AI309" s="3"/>
      <c r="AJ309" s="3"/>
      <c r="AK309" s="1"/>
      <c r="AL309" s="1"/>
      <c r="AM309" s="1"/>
      <c r="AN309" s="1"/>
      <c r="AO309" s="1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1"/>
      <c r="BE309" s="1"/>
      <c r="BF309" s="1"/>
      <c r="BG309" s="1"/>
      <c r="BH309" s="1"/>
      <c r="BI309" s="1">
        <v>21</v>
      </c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3"/>
      <c r="BY309" s="72"/>
      <c r="BZ309" s="72">
        <v>22</v>
      </c>
      <c r="CA309" s="72"/>
      <c r="CB309" s="72"/>
      <c r="CC309" s="72"/>
      <c r="CD309" s="72"/>
      <c r="CE309" s="72"/>
      <c r="CF309" s="72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DA309" s="66">
        <f t="shared" ref="DA309:DA311" si="30">H309</f>
        <v>27</v>
      </c>
    </row>
    <row r="310" spans="1:105" ht="20.25" customHeight="1" x14ac:dyDescent="0.35">
      <c r="A310" s="65"/>
      <c r="B310" s="79" t="s">
        <v>815</v>
      </c>
      <c r="C310" s="79" t="s">
        <v>223</v>
      </c>
      <c r="D310" s="88" t="s">
        <v>380</v>
      </c>
      <c r="E310" s="65" t="s">
        <v>35</v>
      </c>
      <c r="F310" s="65" t="s">
        <v>154</v>
      </c>
      <c r="G310" s="65" t="s">
        <v>155</v>
      </c>
      <c r="H310" s="86">
        <v>27</v>
      </c>
      <c r="I310" s="89">
        <v>22</v>
      </c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1"/>
      <c r="AL310" s="1"/>
      <c r="AM310" s="1"/>
      <c r="AN310" s="1"/>
      <c r="AO310" s="1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3"/>
      <c r="BY310" s="72"/>
      <c r="BZ310" s="72"/>
      <c r="CA310" s="72"/>
      <c r="CB310" s="72"/>
      <c r="CC310" s="72"/>
      <c r="CD310" s="72"/>
      <c r="CE310" s="72"/>
      <c r="CF310" s="72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DA310" s="66">
        <f t="shared" si="30"/>
        <v>27</v>
      </c>
    </row>
    <row r="311" spans="1:105" ht="20.25" customHeight="1" x14ac:dyDescent="0.35">
      <c r="A311" s="65"/>
      <c r="B311" s="79" t="s">
        <v>816</v>
      </c>
      <c r="C311" s="79" t="s">
        <v>224</v>
      </c>
      <c r="D311" s="88" t="s">
        <v>380</v>
      </c>
      <c r="E311" s="65" t="s">
        <v>35</v>
      </c>
      <c r="F311" s="65" t="s">
        <v>154</v>
      </c>
      <c r="G311" s="65" t="s">
        <v>155</v>
      </c>
      <c r="H311" s="86">
        <v>13.5</v>
      </c>
      <c r="I311" s="89">
        <v>16</v>
      </c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>
        <v>18</v>
      </c>
      <c r="AF311" s="3"/>
      <c r="AG311" s="3"/>
      <c r="AH311" s="3"/>
      <c r="AI311" s="3"/>
      <c r="AJ311" s="3"/>
      <c r="AK311" s="1"/>
      <c r="AL311" s="1"/>
      <c r="AM311" s="1"/>
      <c r="AN311" s="1"/>
      <c r="AO311" s="1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3"/>
      <c r="BY311" s="72"/>
      <c r="BZ311" s="72">
        <v>18</v>
      </c>
      <c r="CA311" s="72"/>
      <c r="CB311" s="72"/>
      <c r="CC311" s="72"/>
      <c r="CD311" s="72"/>
      <c r="CE311" s="72"/>
      <c r="CF311" s="72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DA311" s="66">
        <f t="shared" si="30"/>
        <v>13.5</v>
      </c>
    </row>
    <row r="312" spans="1:105" ht="20.25" customHeight="1" x14ac:dyDescent="0.35">
      <c r="A312" s="5"/>
      <c r="B312" s="79" t="s">
        <v>817</v>
      </c>
      <c r="C312" s="79"/>
      <c r="D312" s="65"/>
      <c r="E312" s="65"/>
      <c r="F312" s="55"/>
      <c r="G312" s="5"/>
      <c r="H312" s="145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1"/>
      <c r="AL312" s="1"/>
      <c r="AM312" s="1"/>
      <c r="AN312" s="1"/>
      <c r="AO312" s="1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3"/>
      <c r="BY312" s="72"/>
      <c r="BZ312" s="72"/>
      <c r="CA312" s="72"/>
      <c r="CB312" s="72"/>
      <c r="CC312" s="72"/>
      <c r="CD312" s="72"/>
      <c r="CE312" s="72"/>
      <c r="CF312" s="72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</row>
    <row r="313" spans="1:105" ht="20.25" customHeight="1" x14ac:dyDescent="0.35">
      <c r="A313" s="5"/>
      <c r="B313" s="79" t="s">
        <v>818</v>
      </c>
      <c r="C313" s="79"/>
      <c r="D313" s="65"/>
      <c r="E313" s="65"/>
      <c r="F313" s="55"/>
      <c r="G313" s="5"/>
      <c r="H313" s="145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1"/>
      <c r="AL313" s="1"/>
      <c r="AM313" s="1"/>
      <c r="AN313" s="1"/>
      <c r="AO313" s="1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3"/>
      <c r="BY313" s="72"/>
      <c r="BZ313" s="72"/>
      <c r="CA313" s="72"/>
      <c r="CB313" s="72"/>
      <c r="CC313" s="72"/>
      <c r="CD313" s="72"/>
      <c r="CE313" s="72"/>
      <c r="CF313" s="72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</row>
    <row r="314" spans="1:105" ht="20.25" customHeight="1" x14ac:dyDescent="0.35">
      <c r="A314" s="5"/>
      <c r="B314" s="79" t="s">
        <v>819</v>
      </c>
      <c r="C314" s="79"/>
      <c r="D314" s="65"/>
      <c r="E314" s="65"/>
      <c r="F314" s="55"/>
      <c r="G314" s="5"/>
      <c r="H314" s="145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1"/>
      <c r="AL314" s="1"/>
      <c r="AM314" s="1"/>
      <c r="AN314" s="1"/>
      <c r="AO314" s="1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3"/>
      <c r="BY314" s="72"/>
      <c r="BZ314" s="72"/>
      <c r="CA314" s="72"/>
      <c r="CB314" s="72"/>
      <c r="CC314" s="72"/>
      <c r="CD314" s="72"/>
      <c r="CE314" s="72"/>
      <c r="CF314" s="72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</row>
    <row r="315" spans="1:105" ht="20.25" customHeight="1" x14ac:dyDescent="0.35">
      <c r="A315" s="5"/>
      <c r="B315" s="79" t="s">
        <v>820</v>
      </c>
      <c r="C315" s="79" t="s">
        <v>496</v>
      </c>
      <c r="D315" s="62"/>
      <c r="E315" s="55" t="s">
        <v>35</v>
      </c>
      <c r="F315" s="55" t="s">
        <v>498</v>
      </c>
      <c r="G315" s="5"/>
      <c r="H315" s="86">
        <v>5</v>
      </c>
      <c r="I315" s="3"/>
      <c r="J315" s="3"/>
      <c r="K315" s="3"/>
      <c r="L315" s="3"/>
      <c r="M315" s="3"/>
      <c r="N315" s="3"/>
      <c r="O315" s="3"/>
      <c r="P315" s="3"/>
      <c r="Q315" s="3"/>
      <c r="R315" s="3">
        <v>6.5</v>
      </c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1"/>
      <c r="AL315" s="1"/>
      <c r="AM315" s="1"/>
      <c r="AN315" s="1"/>
      <c r="AO315" s="1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3"/>
      <c r="BY315" s="72"/>
      <c r="BZ315" s="72"/>
      <c r="CA315" s="72"/>
      <c r="CB315" s="72"/>
      <c r="CC315" s="72"/>
      <c r="CD315" s="72"/>
      <c r="CE315" s="72"/>
      <c r="CF315" s="72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DA315" s="66">
        <f>H315</f>
        <v>5</v>
      </c>
    </row>
    <row r="316" spans="1:105" ht="20.25" customHeight="1" x14ac:dyDescent="0.35">
      <c r="A316" s="5"/>
      <c r="B316" s="79" t="s">
        <v>821</v>
      </c>
      <c r="C316" s="79" t="s">
        <v>1167</v>
      </c>
      <c r="D316" s="65"/>
      <c r="E316" s="65" t="s">
        <v>35</v>
      </c>
      <c r="F316" s="55" t="s">
        <v>394</v>
      </c>
      <c r="G316" s="5"/>
      <c r="H316" s="86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1"/>
      <c r="AL316" s="1"/>
      <c r="AM316" s="1"/>
      <c r="AN316" s="1"/>
      <c r="AO316" s="1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3"/>
      <c r="BY316" s="72"/>
      <c r="BZ316" s="72"/>
      <c r="CA316" s="72"/>
      <c r="CB316" s="72"/>
      <c r="CC316" s="72"/>
      <c r="CD316" s="72"/>
      <c r="CE316" s="72"/>
      <c r="CF316" s="72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DA316" s="66"/>
    </row>
    <row r="317" spans="1:105" ht="20.25" customHeight="1" x14ac:dyDescent="0.35">
      <c r="A317" s="5"/>
      <c r="B317" s="79" t="s">
        <v>822</v>
      </c>
      <c r="C317" s="79" t="s">
        <v>1103</v>
      </c>
      <c r="D317" s="65" t="s">
        <v>425</v>
      </c>
      <c r="E317" s="65" t="s">
        <v>35</v>
      </c>
      <c r="F317" s="55" t="s">
        <v>154</v>
      </c>
      <c r="G317" s="5"/>
      <c r="H317" s="86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1"/>
      <c r="AL317" s="1"/>
      <c r="AM317" s="1"/>
      <c r="AN317" s="1"/>
      <c r="AO317" s="1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3"/>
      <c r="BY317" s="72"/>
      <c r="BZ317" s="72"/>
      <c r="CA317" s="72"/>
      <c r="CB317" s="72"/>
      <c r="CC317" s="72"/>
      <c r="CD317" s="72"/>
      <c r="CE317" s="72"/>
      <c r="CF317" s="72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DA317" s="66"/>
    </row>
    <row r="318" spans="1:105" ht="20.25" customHeight="1" x14ac:dyDescent="0.35">
      <c r="A318" s="5" t="s">
        <v>1107</v>
      </c>
      <c r="B318" s="79" t="s">
        <v>823</v>
      </c>
      <c r="C318" s="79" t="s">
        <v>1166</v>
      </c>
      <c r="D318" s="65" t="s">
        <v>447</v>
      </c>
      <c r="E318" s="65" t="s">
        <v>35</v>
      </c>
      <c r="F318" s="65" t="s">
        <v>394</v>
      </c>
      <c r="G318" s="5"/>
      <c r="H318" s="86">
        <v>17.3</v>
      </c>
      <c r="I318" s="3">
        <v>23</v>
      </c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1"/>
      <c r="AL318" s="1"/>
      <c r="AM318" s="1"/>
      <c r="AN318" s="1"/>
      <c r="AO318" s="1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3"/>
      <c r="BY318" s="72"/>
      <c r="BZ318" s="72"/>
      <c r="CA318" s="72"/>
      <c r="CB318" s="72"/>
      <c r="CC318" s="72"/>
      <c r="CD318" s="72"/>
      <c r="CE318" s="72"/>
      <c r="CF318" s="72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DA318" s="66">
        <f t="shared" ref="DA318:DA325" si="31">H318</f>
        <v>17.3</v>
      </c>
    </row>
    <row r="319" spans="1:105" ht="20.25" customHeight="1" x14ac:dyDescent="0.35">
      <c r="A319" s="5"/>
      <c r="B319" s="79" t="s">
        <v>824</v>
      </c>
      <c r="C319" s="79" t="s">
        <v>825</v>
      </c>
      <c r="D319" s="65" t="s">
        <v>447</v>
      </c>
      <c r="E319" s="65" t="s">
        <v>35</v>
      </c>
      <c r="F319" s="65" t="s">
        <v>259</v>
      </c>
      <c r="G319" s="5"/>
      <c r="H319" s="73">
        <v>11.5</v>
      </c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>
        <v>14.8</v>
      </c>
      <c r="AE319" s="3"/>
      <c r="AF319" s="3"/>
      <c r="AG319" s="3"/>
      <c r="AH319" s="3"/>
      <c r="AI319" s="3"/>
      <c r="AJ319" s="3"/>
      <c r="AK319" s="1"/>
      <c r="AL319" s="1"/>
      <c r="AM319" s="1"/>
      <c r="AN319" s="1"/>
      <c r="AO319" s="1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>
        <v>18</v>
      </c>
      <c r="BV319" s="1"/>
      <c r="BW319" s="1"/>
      <c r="BX319" s="3"/>
      <c r="BY319" s="72">
        <v>18</v>
      </c>
      <c r="BZ319" s="72">
        <v>0</v>
      </c>
      <c r="CA319" s="72"/>
      <c r="CB319" s="72"/>
      <c r="CC319" s="72"/>
      <c r="CD319" s="72"/>
      <c r="CE319" s="72"/>
      <c r="CF319" s="72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DA319" s="139">
        <f t="shared" si="31"/>
        <v>11.5</v>
      </c>
    </row>
    <row r="320" spans="1:105" ht="20.25" customHeight="1" x14ac:dyDescent="0.35">
      <c r="A320" s="5"/>
      <c r="B320" s="79" t="s">
        <v>919</v>
      </c>
      <c r="C320" s="79" t="s">
        <v>917</v>
      </c>
      <c r="D320" s="88" t="s">
        <v>35</v>
      </c>
      <c r="E320" s="65" t="s">
        <v>802</v>
      </c>
      <c r="F320" s="65" t="s">
        <v>918</v>
      </c>
      <c r="G320" s="65" t="s">
        <v>37</v>
      </c>
      <c r="H320" s="103">
        <v>32</v>
      </c>
      <c r="I320" s="1"/>
      <c r="J320" s="3"/>
      <c r="K320" s="3"/>
      <c r="L320" s="3"/>
      <c r="M320" s="3"/>
      <c r="N320" s="3"/>
      <c r="O320" s="3"/>
      <c r="P320" s="89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1"/>
      <c r="AL320" s="1"/>
      <c r="AM320" s="1"/>
      <c r="AN320" s="1"/>
      <c r="AO320" s="1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3"/>
      <c r="BY320" s="72"/>
      <c r="BZ320" s="72">
        <v>40</v>
      </c>
      <c r="CA320" s="72"/>
      <c r="CB320" s="72"/>
      <c r="CC320" s="72"/>
      <c r="CD320" s="72"/>
      <c r="CE320" s="72"/>
      <c r="CF320" s="72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DA320" s="66">
        <f t="shared" si="31"/>
        <v>32</v>
      </c>
    </row>
    <row r="321" spans="1:105" ht="20.25" customHeight="1" x14ac:dyDescent="0.35">
      <c r="A321" s="5"/>
      <c r="B321" s="79" t="s">
        <v>980</v>
      </c>
      <c r="C321" s="79" t="s">
        <v>1073</v>
      </c>
      <c r="D321" s="65" t="s">
        <v>463</v>
      </c>
      <c r="E321" s="65" t="s">
        <v>984</v>
      </c>
      <c r="F321" s="55" t="s">
        <v>90</v>
      </c>
      <c r="G321" s="55" t="s">
        <v>44</v>
      </c>
      <c r="H321" s="143">
        <f>48/6</f>
        <v>8</v>
      </c>
      <c r="I321" s="1"/>
      <c r="J321" s="3"/>
      <c r="K321" s="3"/>
      <c r="L321" s="3"/>
      <c r="M321" s="3"/>
      <c r="N321" s="3"/>
      <c r="O321" s="3"/>
      <c r="P321" s="89"/>
      <c r="Q321" s="3">
        <v>26</v>
      </c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1"/>
      <c r="AL321" s="1"/>
      <c r="AM321" s="1"/>
      <c r="AN321" s="1"/>
      <c r="AO321" s="1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3"/>
      <c r="BY321" s="72"/>
      <c r="BZ321" s="72"/>
      <c r="CA321" s="72"/>
      <c r="CB321" s="72"/>
      <c r="CC321" s="72"/>
      <c r="CD321" s="72"/>
      <c r="CE321" s="72"/>
      <c r="CF321" s="72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DA321" s="139">
        <f t="shared" si="31"/>
        <v>8</v>
      </c>
    </row>
    <row r="322" spans="1:105" ht="20.25" customHeight="1" x14ac:dyDescent="0.35">
      <c r="A322" s="5"/>
      <c r="B322" s="79" t="s">
        <v>982</v>
      </c>
      <c r="C322" s="79" t="s">
        <v>170</v>
      </c>
      <c r="D322" s="88" t="s">
        <v>461</v>
      </c>
      <c r="E322" s="65" t="s">
        <v>984</v>
      </c>
      <c r="F322" s="65" t="s">
        <v>985</v>
      </c>
      <c r="G322" s="65" t="s">
        <v>32</v>
      </c>
      <c r="H322" s="143">
        <v>70</v>
      </c>
      <c r="I322" s="1"/>
      <c r="J322" s="3"/>
      <c r="K322" s="3"/>
      <c r="L322" s="3"/>
      <c r="M322" s="3"/>
      <c r="N322" s="3"/>
      <c r="O322" s="3"/>
      <c r="P322" s="89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1"/>
      <c r="AL322" s="1"/>
      <c r="AM322" s="1"/>
      <c r="AN322" s="1"/>
      <c r="AO322" s="1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3"/>
      <c r="BY322" s="72"/>
      <c r="BZ322" s="72"/>
      <c r="CA322" s="72"/>
      <c r="CB322" s="72"/>
      <c r="CC322" s="72"/>
      <c r="CD322" s="72"/>
      <c r="CE322" s="72"/>
      <c r="CF322" s="72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DA322" s="139">
        <f t="shared" si="31"/>
        <v>70</v>
      </c>
    </row>
    <row r="323" spans="1:105" ht="20.25" customHeight="1" x14ac:dyDescent="0.35">
      <c r="A323" s="5"/>
      <c r="B323" s="79" t="s">
        <v>983</v>
      </c>
      <c r="C323" s="79" t="s">
        <v>170</v>
      </c>
      <c r="D323" s="88" t="s">
        <v>461</v>
      </c>
      <c r="E323" s="65" t="s">
        <v>984</v>
      </c>
      <c r="F323" s="65" t="s">
        <v>986</v>
      </c>
      <c r="G323" s="65" t="s">
        <v>44</v>
      </c>
      <c r="H323" s="143">
        <f>H322/6</f>
        <v>11.666666666666666</v>
      </c>
      <c r="I323" s="1"/>
      <c r="J323" s="3"/>
      <c r="K323" s="3"/>
      <c r="L323" s="3"/>
      <c r="M323" s="3"/>
      <c r="N323" s="3"/>
      <c r="O323" s="3"/>
      <c r="P323" s="89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1"/>
      <c r="AL323" s="1"/>
      <c r="AM323" s="1"/>
      <c r="AN323" s="1"/>
      <c r="AO323" s="1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3"/>
      <c r="BY323" s="72"/>
      <c r="BZ323" s="72"/>
      <c r="CA323" s="72"/>
      <c r="CB323" s="72"/>
      <c r="CC323" s="72"/>
      <c r="CD323" s="72"/>
      <c r="CE323" s="72"/>
      <c r="CF323" s="72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DA323" s="139">
        <f t="shared" si="31"/>
        <v>11.666666666666666</v>
      </c>
    </row>
    <row r="324" spans="1:105" ht="20.25" customHeight="1" x14ac:dyDescent="0.35">
      <c r="A324" s="5"/>
      <c r="B324" s="79" t="s">
        <v>997</v>
      </c>
      <c r="C324" s="79" t="s">
        <v>173</v>
      </c>
      <c r="D324" s="88" t="s">
        <v>1187</v>
      </c>
      <c r="E324" s="65" t="s">
        <v>802</v>
      </c>
      <c r="F324" s="65" t="s">
        <v>1163</v>
      </c>
      <c r="G324" s="65" t="s">
        <v>34</v>
      </c>
      <c r="H324" s="73">
        <v>18</v>
      </c>
      <c r="I324" s="89"/>
      <c r="J324" s="3">
        <v>25</v>
      </c>
      <c r="K324" s="3"/>
      <c r="L324" s="3"/>
      <c r="M324" s="3"/>
      <c r="N324" s="3">
        <v>23</v>
      </c>
      <c r="O324" s="3"/>
      <c r="P324" s="89"/>
      <c r="Q324" s="3"/>
      <c r="R324" s="3"/>
      <c r="S324" s="3"/>
      <c r="T324" s="3"/>
      <c r="U324" s="3">
        <v>26</v>
      </c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1"/>
      <c r="AL324" s="1"/>
      <c r="AM324" s="1">
        <v>25</v>
      </c>
      <c r="AN324" s="1"/>
      <c r="AO324" s="3">
        <v>25</v>
      </c>
      <c r="AP324" s="3">
        <v>25</v>
      </c>
      <c r="AQ324" s="3">
        <v>25</v>
      </c>
      <c r="AR324" s="3">
        <v>25</v>
      </c>
      <c r="AS324" s="3">
        <v>25</v>
      </c>
      <c r="AT324" s="3">
        <v>25</v>
      </c>
      <c r="AU324" s="3">
        <v>25</v>
      </c>
      <c r="AV324" s="3">
        <v>25</v>
      </c>
      <c r="AW324" s="3">
        <v>25</v>
      </c>
      <c r="AX324" s="3">
        <v>25</v>
      </c>
      <c r="AY324" s="3">
        <v>25</v>
      </c>
      <c r="AZ324" s="3">
        <v>25</v>
      </c>
      <c r="BA324" s="3">
        <v>25</v>
      </c>
      <c r="BB324" s="3">
        <v>25</v>
      </c>
      <c r="BC324" s="3">
        <v>25</v>
      </c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3">
        <v>25</v>
      </c>
      <c r="BY324" s="72"/>
      <c r="BZ324" s="72"/>
      <c r="CA324" s="72"/>
      <c r="CB324" s="72"/>
      <c r="CC324" s="72"/>
      <c r="CD324" s="72"/>
      <c r="CE324" s="72"/>
      <c r="CF324" s="72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DA324" s="139">
        <f t="shared" si="31"/>
        <v>18</v>
      </c>
    </row>
    <row r="325" spans="1:105" ht="20.25" customHeight="1" x14ac:dyDescent="0.35">
      <c r="A325" s="5"/>
      <c r="B325" s="79" t="s">
        <v>1011</v>
      </c>
      <c r="C325" s="79" t="s">
        <v>289</v>
      </c>
      <c r="D325" s="88" t="s">
        <v>461</v>
      </c>
      <c r="E325" s="65" t="s">
        <v>1012</v>
      </c>
      <c r="F325" s="65" t="s">
        <v>338</v>
      </c>
      <c r="G325" s="65" t="s">
        <v>34</v>
      </c>
      <c r="H325" s="73">
        <v>27</v>
      </c>
      <c r="I325" s="89">
        <v>34</v>
      </c>
      <c r="J325" s="3">
        <v>34</v>
      </c>
      <c r="K325" s="3"/>
      <c r="L325" s="3"/>
      <c r="M325" s="3"/>
      <c r="N325" s="3"/>
      <c r="O325" s="3"/>
      <c r="P325" s="89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>
        <v>34</v>
      </c>
      <c r="AD325" s="3"/>
      <c r="AE325" s="3"/>
      <c r="AF325" s="3"/>
      <c r="AG325" s="3"/>
      <c r="AH325" s="3"/>
      <c r="AI325" s="3"/>
      <c r="AJ325" s="3">
        <v>32</v>
      </c>
      <c r="AK325" s="1"/>
      <c r="AL325" s="1"/>
      <c r="AM325" s="1"/>
      <c r="AN325" s="1"/>
      <c r="AO325" s="3">
        <v>34</v>
      </c>
      <c r="AP325" s="3">
        <v>34</v>
      </c>
      <c r="AQ325" s="3">
        <v>34</v>
      </c>
      <c r="AR325" s="3">
        <v>34</v>
      </c>
      <c r="AS325" s="3">
        <v>34</v>
      </c>
      <c r="AT325" s="3">
        <v>34</v>
      </c>
      <c r="AU325" s="3">
        <v>34</v>
      </c>
      <c r="AV325" s="3">
        <v>34</v>
      </c>
      <c r="AW325" s="3">
        <v>34</v>
      </c>
      <c r="AX325" s="3">
        <v>34</v>
      </c>
      <c r="AY325" s="3">
        <v>34</v>
      </c>
      <c r="AZ325" s="3">
        <v>34</v>
      </c>
      <c r="BA325" s="3">
        <v>34</v>
      </c>
      <c r="BB325" s="3">
        <v>34</v>
      </c>
      <c r="BC325" s="3">
        <v>34</v>
      </c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3">
        <v>34</v>
      </c>
      <c r="BY325" s="72"/>
      <c r="BZ325" s="72"/>
      <c r="CA325" s="72"/>
      <c r="CB325" s="72"/>
      <c r="CC325" s="72"/>
      <c r="CD325" s="72"/>
      <c r="CE325" s="72"/>
      <c r="CF325" s="72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DA325" s="139">
        <f t="shared" si="31"/>
        <v>27</v>
      </c>
    </row>
    <row r="326" spans="1:105" ht="20.25" customHeight="1" x14ac:dyDescent="0.35">
      <c r="A326" s="5"/>
      <c r="B326" s="79" t="s">
        <v>1036</v>
      </c>
      <c r="C326" s="79"/>
      <c r="D326" s="88"/>
      <c r="E326" s="65"/>
      <c r="F326" s="65"/>
      <c r="G326" s="65"/>
      <c r="H326" s="145"/>
      <c r="I326" s="89"/>
      <c r="J326" s="3"/>
      <c r="K326" s="3"/>
      <c r="L326" s="3"/>
      <c r="M326" s="3"/>
      <c r="N326" s="3"/>
      <c r="O326" s="3"/>
      <c r="P326" s="89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1"/>
      <c r="AL326" s="1"/>
      <c r="AM326" s="1"/>
      <c r="AN326" s="1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3"/>
      <c r="BY326" s="72"/>
      <c r="BZ326" s="72"/>
      <c r="CA326" s="72"/>
      <c r="CB326" s="72"/>
      <c r="CC326" s="72"/>
      <c r="CD326" s="72"/>
      <c r="CE326" s="72"/>
      <c r="CF326" s="72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</row>
    <row r="327" spans="1:105" ht="20.25" customHeight="1" x14ac:dyDescent="0.35">
      <c r="A327" s="5"/>
      <c r="B327" s="79" t="s">
        <v>1040</v>
      </c>
      <c r="C327" s="79" t="s">
        <v>1188</v>
      </c>
      <c r="D327" s="88" t="s">
        <v>1187</v>
      </c>
      <c r="E327" s="65" t="s">
        <v>802</v>
      </c>
      <c r="F327" s="65" t="s">
        <v>1163</v>
      </c>
      <c r="G327" s="65" t="s">
        <v>34</v>
      </c>
      <c r="H327" s="86">
        <v>36</v>
      </c>
      <c r="I327" s="89"/>
      <c r="J327" s="3"/>
      <c r="K327" s="3"/>
      <c r="L327" s="3"/>
      <c r="M327" s="3"/>
      <c r="N327" s="3">
        <v>44</v>
      </c>
      <c r="O327" s="3"/>
      <c r="P327" s="89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1"/>
      <c r="AL327" s="1"/>
      <c r="AM327" s="1"/>
      <c r="AN327" s="1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3"/>
      <c r="BY327" s="72"/>
      <c r="BZ327" s="72">
        <v>44</v>
      </c>
      <c r="CA327" s="72"/>
      <c r="CB327" s="72"/>
      <c r="CC327" s="72"/>
      <c r="CD327" s="72"/>
      <c r="CE327" s="72"/>
      <c r="CF327" s="72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DA327" s="66">
        <f>H327</f>
        <v>36</v>
      </c>
    </row>
    <row r="328" spans="1:105" ht="20.25" customHeight="1" x14ac:dyDescent="0.35">
      <c r="A328" s="5"/>
      <c r="B328" s="79" t="s">
        <v>1074</v>
      </c>
      <c r="C328" s="79"/>
      <c r="D328" s="88"/>
      <c r="E328" s="65"/>
      <c r="F328" s="65"/>
      <c r="G328" s="65"/>
      <c r="H328" s="145"/>
      <c r="I328" s="89"/>
      <c r="J328" s="3"/>
      <c r="K328" s="3"/>
      <c r="L328" s="3"/>
      <c r="M328" s="3"/>
      <c r="N328" s="3"/>
      <c r="O328" s="3"/>
      <c r="P328" s="89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1"/>
      <c r="AL328" s="1"/>
      <c r="AM328" s="1"/>
      <c r="AN328" s="1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3"/>
      <c r="BY328" s="72"/>
      <c r="BZ328" s="72"/>
      <c r="CA328" s="72"/>
      <c r="CB328" s="72"/>
      <c r="CC328" s="72"/>
      <c r="CD328" s="72"/>
      <c r="CE328" s="72"/>
      <c r="CF328" s="72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</row>
    <row r="329" spans="1:105" ht="20.25" customHeight="1" x14ac:dyDescent="0.35">
      <c r="A329" s="5"/>
      <c r="B329" s="101" t="s">
        <v>1075</v>
      </c>
      <c r="C329" s="79"/>
      <c r="D329" s="65"/>
      <c r="E329" s="65"/>
      <c r="F329" s="55"/>
      <c r="G329" s="55"/>
      <c r="H329" s="145"/>
      <c r="I329" s="89"/>
      <c r="J329" s="3"/>
      <c r="K329" s="3"/>
      <c r="L329" s="3"/>
      <c r="M329" s="3"/>
      <c r="N329" s="3"/>
      <c r="O329" s="3"/>
      <c r="P329" s="89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1"/>
      <c r="AL329" s="1"/>
      <c r="AM329" s="1"/>
      <c r="AN329" s="1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3"/>
      <c r="BY329" s="72"/>
      <c r="BZ329" s="72"/>
      <c r="CA329" s="72"/>
      <c r="CB329" s="72"/>
      <c r="CC329" s="72"/>
      <c r="CD329" s="72"/>
      <c r="CE329" s="72"/>
      <c r="CF329" s="72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</row>
    <row r="330" spans="1:105" ht="20.25" customHeight="1" x14ac:dyDescent="0.35">
      <c r="A330" s="65" t="s">
        <v>1084</v>
      </c>
      <c r="B330" s="101" t="s">
        <v>1083</v>
      </c>
      <c r="C330" s="79" t="s">
        <v>1151</v>
      </c>
      <c r="D330" s="65" t="s">
        <v>461</v>
      </c>
      <c r="E330" s="65" t="s">
        <v>1152</v>
      </c>
      <c r="F330" s="55" t="s">
        <v>1150</v>
      </c>
      <c r="G330" s="55" t="s">
        <v>34</v>
      </c>
      <c r="H330" s="73">
        <v>19</v>
      </c>
      <c r="I330" s="89">
        <v>23</v>
      </c>
      <c r="J330" s="3"/>
      <c r="K330" s="3"/>
      <c r="L330" s="3">
        <v>24</v>
      </c>
      <c r="M330" s="3"/>
      <c r="N330" s="3"/>
      <c r="O330" s="3"/>
      <c r="P330" s="89">
        <v>23</v>
      </c>
      <c r="Q330" s="3">
        <v>24</v>
      </c>
      <c r="R330" s="3">
        <v>23</v>
      </c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1"/>
      <c r="AL330" s="1"/>
      <c r="AM330" s="1"/>
      <c r="AN330" s="1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3"/>
      <c r="BY330" s="72"/>
      <c r="BZ330" s="72">
        <v>23</v>
      </c>
      <c r="CA330" s="72"/>
      <c r="CB330" s="72"/>
      <c r="CC330" s="72"/>
      <c r="CD330" s="72"/>
      <c r="CE330" s="72"/>
      <c r="CF330" s="72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DA330" s="139">
        <f>H330</f>
        <v>19</v>
      </c>
    </row>
    <row r="331" spans="1:105" ht="20.25" customHeight="1" x14ac:dyDescent="0.35">
      <c r="A331" s="5"/>
      <c r="B331" s="101" t="s">
        <v>1153</v>
      </c>
      <c r="C331" s="79"/>
      <c r="D331" s="65"/>
      <c r="E331" s="65"/>
      <c r="F331" s="55"/>
      <c r="G331" s="55"/>
      <c r="H331" s="145"/>
      <c r="I331" s="89"/>
      <c r="J331" s="3"/>
      <c r="K331" s="3"/>
      <c r="L331" s="3"/>
      <c r="M331" s="3"/>
      <c r="N331" s="3"/>
      <c r="O331" s="3"/>
      <c r="P331" s="89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1"/>
      <c r="AL331" s="1"/>
      <c r="AM331" s="1"/>
      <c r="AN331" s="1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3"/>
      <c r="BY331" s="72"/>
      <c r="BZ331" s="72"/>
      <c r="CA331" s="72"/>
      <c r="CB331" s="72"/>
      <c r="CC331" s="72"/>
      <c r="CD331" s="72"/>
      <c r="CE331" s="72"/>
      <c r="CF331" s="72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</row>
    <row r="332" spans="1:105" ht="20.25" customHeight="1" x14ac:dyDescent="0.35">
      <c r="A332" s="5"/>
      <c r="B332" s="101" t="s">
        <v>1088</v>
      </c>
      <c r="C332" s="79" t="s">
        <v>1154</v>
      </c>
      <c r="D332" s="65" t="s">
        <v>461</v>
      </c>
      <c r="E332" s="65" t="s">
        <v>1152</v>
      </c>
      <c r="F332" s="55" t="s">
        <v>1150</v>
      </c>
      <c r="G332" s="55" t="s">
        <v>34</v>
      </c>
      <c r="H332" s="73">
        <v>18</v>
      </c>
      <c r="I332" s="89">
        <v>23</v>
      </c>
      <c r="J332" s="3"/>
      <c r="K332" s="3"/>
      <c r="L332" s="3"/>
      <c r="M332" s="3"/>
      <c r="N332" s="3"/>
      <c r="O332" s="3"/>
      <c r="P332" s="89">
        <v>23</v>
      </c>
      <c r="Q332" s="3">
        <v>24</v>
      </c>
      <c r="R332" s="3">
        <v>24</v>
      </c>
      <c r="S332" s="3"/>
      <c r="T332" s="3"/>
      <c r="U332" s="3">
        <v>25</v>
      </c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1"/>
      <c r="AL332" s="1"/>
      <c r="AM332" s="1"/>
      <c r="AN332" s="1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3"/>
      <c r="BY332" s="72"/>
      <c r="BZ332" s="72">
        <v>23</v>
      </c>
      <c r="CA332" s="72"/>
      <c r="CB332" s="72"/>
      <c r="CC332" s="72"/>
      <c r="CD332" s="72"/>
      <c r="CE332" s="72"/>
      <c r="CF332" s="72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DA332" s="139">
        <f>H332</f>
        <v>18</v>
      </c>
    </row>
    <row r="333" spans="1:105" ht="20.25" customHeight="1" x14ac:dyDescent="0.35">
      <c r="A333" s="5"/>
      <c r="B333" s="101" t="s">
        <v>1155</v>
      </c>
      <c r="C333" s="79"/>
      <c r="D333" s="65"/>
      <c r="E333" s="65"/>
      <c r="F333" s="55"/>
      <c r="G333" s="55"/>
      <c r="H333" s="145"/>
      <c r="I333" s="89"/>
      <c r="J333" s="3"/>
      <c r="K333" s="3"/>
      <c r="L333" s="3"/>
      <c r="M333" s="3"/>
      <c r="N333" s="3"/>
      <c r="O333" s="3"/>
      <c r="P333" s="89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1"/>
      <c r="AL333" s="1"/>
      <c r="AM333" s="1"/>
      <c r="AN333" s="1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3"/>
      <c r="BY333" s="72"/>
      <c r="BZ333" s="72"/>
      <c r="CA333" s="72"/>
      <c r="CB333" s="72"/>
      <c r="CC333" s="72"/>
      <c r="CD333" s="72"/>
      <c r="CE333" s="72"/>
      <c r="CF333" s="72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</row>
    <row r="334" spans="1:105" ht="20.25" customHeight="1" x14ac:dyDescent="0.35">
      <c r="A334" s="5"/>
      <c r="B334" s="101" t="s">
        <v>1147</v>
      </c>
      <c r="C334" s="79" t="s">
        <v>1148</v>
      </c>
      <c r="D334" s="65" t="s">
        <v>463</v>
      </c>
      <c r="E334" s="65" t="s">
        <v>1149</v>
      </c>
      <c r="F334" s="55" t="s">
        <v>1150</v>
      </c>
      <c r="G334" s="55" t="s">
        <v>34</v>
      </c>
      <c r="H334" s="86"/>
      <c r="I334" s="89"/>
      <c r="J334" s="3"/>
      <c r="K334" s="3"/>
      <c r="L334" s="3"/>
      <c r="M334" s="3"/>
      <c r="N334" s="3"/>
      <c r="O334" s="3"/>
      <c r="P334" s="89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1"/>
      <c r="AL334" s="1"/>
      <c r="AM334" s="1"/>
      <c r="AN334" s="1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3"/>
      <c r="BY334" s="72"/>
      <c r="BZ334" s="72"/>
      <c r="CA334" s="72"/>
      <c r="CB334" s="72"/>
      <c r="CC334" s="72"/>
      <c r="CD334" s="72"/>
      <c r="CE334" s="72"/>
      <c r="CF334" s="72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DA334" s="66"/>
    </row>
    <row r="335" spans="1:105" ht="20.25" customHeight="1" x14ac:dyDescent="0.35">
      <c r="A335" s="5"/>
      <c r="B335" s="101" t="s">
        <v>1164</v>
      </c>
      <c r="C335" s="79" t="s">
        <v>1175</v>
      </c>
      <c r="D335" s="65"/>
      <c r="E335" s="65" t="s">
        <v>802</v>
      </c>
      <c r="F335" s="55" t="s">
        <v>803</v>
      </c>
      <c r="G335" s="55" t="s">
        <v>34</v>
      </c>
      <c r="H335" s="73">
        <v>31.2</v>
      </c>
      <c r="I335" s="89"/>
      <c r="J335" s="3"/>
      <c r="K335" s="3"/>
      <c r="L335" s="3"/>
      <c r="M335" s="3"/>
      <c r="N335" s="3"/>
      <c r="O335" s="3"/>
      <c r="P335" s="89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1"/>
      <c r="AL335" s="1"/>
      <c r="AM335" s="1"/>
      <c r="AN335" s="1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3"/>
      <c r="BY335" s="72"/>
      <c r="BZ335" s="72"/>
      <c r="CA335" s="72"/>
      <c r="CB335" s="72"/>
      <c r="CC335" s="72"/>
      <c r="CD335" s="72"/>
      <c r="CE335" s="72"/>
      <c r="CF335" s="72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DA335" s="139">
        <f t="shared" ref="DA335:DA340" si="32">H335</f>
        <v>31.2</v>
      </c>
    </row>
    <row r="336" spans="1:105" ht="20.25" customHeight="1" x14ac:dyDescent="0.35">
      <c r="A336" s="5"/>
      <c r="B336" s="101" t="s">
        <v>1204</v>
      </c>
      <c r="C336" s="79" t="s">
        <v>175</v>
      </c>
      <c r="D336" s="65" t="s">
        <v>463</v>
      </c>
      <c r="E336" s="65" t="s">
        <v>1205</v>
      </c>
      <c r="F336" s="55" t="s">
        <v>1150</v>
      </c>
      <c r="G336" s="55" t="s">
        <v>34</v>
      </c>
      <c r="H336" s="73">
        <v>16</v>
      </c>
      <c r="I336" s="89"/>
      <c r="J336" s="3"/>
      <c r="K336" s="3"/>
      <c r="L336" s="3"/>
      <c r="M336" s="3"/>
      <c r="N336" s="3"/>
      <c r="O336" s="3"/>
      <c r="P336" s="89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>
        <v>20</v>
      </c>
      <c r="AD336" s="3"/>
      <c r="AE336" s="3"/>
      <c r="AF336" s="3"/>
      <c r="AG336" s="3"/>
      <c r="AH336" s="3"/>
      <c r="AI336" s="3"/>
      <c r="AJ336" s="3"/>
      <c r="AK336" s="1"/>
      <c r="AL336" s="1"/>
      <c r="AM336" s="1"/>
      <c r="AN336" s="1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3"/>
      <c r="BY336" s="72"/>
      <c r="BZ336" s="72"/>
      <c r="CA336" s="72"/>
      <c r="CB336" s="72"/>
      <c r="CC336" s="72"/>
      <c r="CD336" s="72"/>
      <c r="CE336" s="72"/>
      <c r="CF336" s="72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DA336" s="139">
        <f t="shared" si="32"/>
        <v>16</v>
      </c>
    </row>
    <row r="337" spans="1:105" ht="20.25" customHeight="1" x14ac:dyDescent="0.35">
      <c r="A337" s="5"/>
      <c r="B337" s="79" t="s">
        <v>826</v>
      </c>
      <c r="C337" s="79" t="s">
        <v>472</v>
      </c>
      <c r="D337" s="88" t="s">
        <v>463</v>
      </c>
      <c r="E337" s="65" t="s">
        <v>35</v>
      </c>
      <c r="F337" s="65" t="s">
        <v>827</v>
      </c>
      <c r="G337" s="65" t="s">
        <v>34</v>
      </c>
      <c r="H337" s="73">
        <v>28</v>
      </c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1"/>
      <c r="AL337" s="1"/>
      <c r="AM337" s="1"/>
      <c r="AN337" s="1"/>
      <c r="AO337" s="1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3"/>
      <c r="BY337" s="72"/>
      <c r="BZ337" s="72"/>
      <c r="CA337" s="72"/>
      <c r="CB337" s="72"/>
      <c r="CC337" s="72"/>
      <c r="CD337" s="72"/>
      <c r="CE337" s="72"/>
      <c r="CF337" s="72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DA337" s="139">
        <f t="shared" si="32"/>
        <v>28</v>
      </c>
    </row>
    <row r="338" spans="1:105" ht="20.25" customHeight="1" x14ac:dyDescent="0.35">
      <c r="A338" s="65"/>
      <c r="B338" s="79" t="s">
        <v>828</v>
      </c>
      <c r="C338" s="79" t="s">
        <v>472</v>
      </c>
      <c r="D338" s="88" t="s">
        <v>463</v>
      </c>
      <c r="E338" s="65" t="s">
        <v>35</v>
      </c>
      <c r="F338" s="65" t="s">
        <v>69</v>
      </c>
      <c r="G338" s="65" t="s">
        <v>39</v>
      </c>
      <c r="H338" s="73">
        <f>H337/6</f>
        <v>4.666666666666667</v>
      </c>
      <c r="I338" s="89">
        <v>6</v>
      </c>
      <c r="J338" s="3">
        <v>6.5</v>
      </c>
      <c r="K338" s="3"/>
      <c r="L338" s="3">
        <v>0</v>
      </c>
      <c r="M338" s="3"/>
      <c r="N338" s="89">
        <v>7</v>
      </c>
      <c r="O338" s="3">
        <v>7</v>
      </c>
      <c r="P338" s="89">
        <v>7</v>
      </c>
      <c r="Q338" s="3">
        <v>7</v>
      </c>
      <c r="R338" s="3">
        <v>7</v>
      </c>
      <c r="S338" s="3">
        <v>7</v>
      </c>
      <c r="T338" s="3"/>
      <c r="U338" s="3"/>
      <c r="V338" s="87">
        <v>7</v>
      </c>
      <c r="W338" s="3"/>
      <c r="X338" s="3"/>
      <c r="Y338" s="3"/>
      <c r="Z338" s="3"/>
      <c r="AA338" s="3"/>
      <c r="AB338" s="3"/>
      <c r="AC338" s="3">
        <v>7</v>
      </c>
      <c r="AD338" s="3"/>
      <c r="AE338" s="3"/>
      <c r="AF338" s="3">
        <v>7</v>
      </c>
      <c r="AG338" s="3"/>
      <c r="AH338" s="3"/>
      <c r="AI338" s="3"/>
      <c r="AJ338" s="3"/>
      <c r="AK338" s="1"/>
      <c r="AL338" s="1"/>
      <c r="AM338" s="1"/>
      <c r="AN338" s="1"/>
      <c r="AO338" s="1"/>
      <c r="AP338" s="3">
        <v>6.5</v>
      </c>
      <c r="AQ338" s="3">
        <v>6.5</v>
      </c>
      <c r="AR338" s="3">
        <v>6.5</v>
      </c>
      <c r="AS338" s="3"/>
      <c r="AT338" s="3">
        <v>6.5</v>
      </c>
      <c r="AU338" s="3">
        <v>6.5</v>
      </c>
      <c r="AV338" s="3">
        <v>6.5</v>
      </c>
      <c r="AW338" s="3">
        <v>6.5</v>
      </c>
      <c r="AX338" s="3">
        <v>6.5</v>
      </c>
      <c r="AY338" s="3">
        <v>6.5</v>
      </c>
      <c r="AZ338" s="3">
        <v>6.5</v>
      </c>
      <c r="BA338" s="3">
        <v>6.5</v>
      </c>
      <c r="BB338" s="3"/>
      <c r="BC338" s="3">
        <v>6.5</v>
      </c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>
        <v>7</v>
      </c>
      <c r="BV338" s="1"/>
      <c r="BW338" s="1"/>
      <c r="BX338" s="3">
        <v>6.5</v>
      </c>
      <c r="BY338" s="72"/>
      <c r="BZ338" s="72"/>
      <c r="CA338" s="72"/>
      <c r="CB338" s="72"/>
      <c r="CC338" s="72"/>
      <c r="CD338" s="72"/>
      <c r="CE338" s="72"/>
      <c r="CF338" s="72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DA338" s="139">
        <f t="shared" si="32"/>
        <v>4.666666666666667</v>
      </c>
    </row>
    <row r="339" spans="1:105" ht="20.25" customHeight="1" x14ac:dyDescent="0.35">
      <c r="A339" s="65"/>
      <c r="B339" s="79" t="s">
        <v>830</v>
      </c>
      <c r="C339" s="79" t="s">
        <v>197</v>
      </c>
      <c r="D339" s="88" t="s">
        <v>463</v>
      </c>
      <c r="E339" s="65" t="s">
        <v>287</v>
      </c>
      <c r="F339" s="65" t="s">
        <v>829</v>
      </c>
      <c r="G339" s="65" t="s">
        <v>41</v>
      </c>
      <c r="H339" s="73">
        <f>H340*6</f>
        <v>72</v>
      </c>
      <c r="I339" s="89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87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1"/>
      <c r="AL339" s="1"/>
      <c r="AM339" s="1"/>
      <c r="AN339" s="1"/>
      <c r="AO339" s="1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3"/>
      <c r="BY339" s="72"/>
      <c r="BZ339" s="72"/>
      <c r="CA339" s="72"/>
      <c r="CB339" s="72"/>
      <c r="CC339" s="72"/>
      <c r="CD339" s="72"/>
      <c r="CE339" s="72"/>
      <c r="CF339" s="72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DA339" s="139">
        <f t="shared" si="32"/>
        <v>72</v>
      </c>
    </row>
    <row r="340" spans="1:105" ht="20.25" customHeight="1" x14ac:dyDescent="0.35">
      <c r="A340" s="65"/>
      <c r="B340" s="79" t="s">
        <v>831</v>
      </c>
      <c r="C340" s="79" t="s">
        <v>197</v>
      </c>
      <c r="D340" s="88" t="s">
        <v>463</v>
      </c>
      <c r="E340" s="65" t="s">
        <v>287</v>
      </c>
      <c r="F340" s="65" t="s">
        <v>260</v>
      </c>
      <c r="G340" s="65" t="s">
        <v>41</v>
      </c>
      <c r="H340" s="73">
        <v>12</v>
      </c>
      <c r="I340" s="89"/>
      <c r="J340" s="3"/>
      <c r="K340" s="77">
        <v>16.5</v>
      </c>
      <c r="L340" s="3">
        <v>16.5</v>
      </c>
      <c r="M340" s="3"/>
      <c r="N340" s="89">
        <v>16.5</v>
      </c>
      <c r="O340" s="3">
        <v>16.5</v>
      </c>
      <c r="P340" s="89">
        <v>16.5</v>
      </c>
      <c r="Q340" s="3">
        <v>16.5</v>
      </c>
      <c r="R340" s="3">
        <v>16.5</v>
      </c>
      <c r="S340" s="3">
        <v>16.5</v>
      </c>
      <c r="T340" s="3"/>
      <c r="U340" s="3"/>
      <c r="V340" s="87">
        <v>17</v>
      </c>
      <c r="W340" s="3"/>
      <c r="X340" s="3"/>
      <c r="Y340" s="3">
        <v>17</v>
      </c>
      <c r="Z340" s="3"/>
      <c r="AA340" s="3"/>
      <c r="AB340" s="3"/>
      <c r="AC340" s="3">
        <v>16.5</v>
      </c>
      <c r="AD340" s="3"/>
      <c r="AE340" s="3"/>
      <c r="AF340" s="3">
        <v>16.5</v>
      </c>
      <c r="AG340" s="3"/>
      <c r="AH340" s="3"/>
      <c r="AI340" s="3"/>
      <c r="AJ340" s="3"/>
      <c r="AK340" s="1"/>
      <c r="AL340" s="1"/>
      <c r="AM340" s="1"/>
      <c r="AN340" s="1"/>
      <c r="AO340" s="1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>
        <v>16.5</v>
      </c>
      <c r="BV340" s="1"/>
      <c r="BW340" s="1"/>
      <c r="BX340" s="3">
        <f>J340</f>
        <v>0</v>
      </c>
      <c r="BY340" s="72"/>
      <c r="BZ340" s="72">
        <v>16.5</v>
      </c>
      <c r="CA340" s="72"/>
      <c r="CB340" s="72"/>
      <c r="CC340" s="72"/>
      <c r="CD340" s="72"/>
      <c r="CE340" s="72"/>
      <c r="CF340" s="72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DA340" s="139">
        <f t="shared" si="32"/>
        <v>12</v>
      </c>
    </row>
    <row r="341" spans="1:105" ht="20.25" customHeight="1" x14ac:dyDescent="0.35">
      <c r="A341" s="65" t="s">
        <v>60</v>
      </c>
      <c r="B341" s="79" t="s">
        <v>1112</v>
      </c>
      <c r="C341" s="79" t="s">
        <v>197</v>
      </c>
      <c r="D341" s="88" t="s">
        <v>463</v>
      </c>
      <c r="E341" s="65" t="s">
        <v>463</v>
      </c>
      <c r="F341" s="65" t="s">
        <v>260</v>
      </c>
      <c r="G341" s="65" t="s">
        <v>41</v>
      </c>
      <c r="H341" s="73">
        <f>59/5</f>
        <v>11.8</v>
      </c>
      <c r="I341" s="89">
        <v>13</v>
      </c>
      <c r="J341" s="3">
        <v>15</v>
      </c>
      <c r="K341" s="77"/>
      <c r="L341" s="3"/>
      <c r="M341" s="3"/>
      <c r="N341" s="89"/>
      <c r="O341" s="3"/>
      <c r="P341" s="89"/>
      <c r="Q341" s="3"/>
      <c r="R341" s="3"/>
      <c r="S341" s="3"/>
      <c r="T341" s="3"/>
      <c r="U341" s="3"/>
      <c r="V341" s="87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1"/>
      <c r="AL341" s="1"/>
      <c r="AM341" s="1"/>
      <c r="AN341" s="1"/>
      <c r="AO341" s="1"/>
      <c r="AP341" s="3">
        <v>15</v>
      </c>
      <c r="AQ341" s="3">
        <v>15</v>
      </c>
      <c r="AR341" s="3">
        <v>15</v>
      </c>
      <c r="AS341" s="3"/>
      <c r="AT341" s="3">
        <v>15</v>
      </c>
      <c r="AU341" s="3">
        <v>15</v>
      </c>
      <c r="AV341" s="3">
        <v>15</v>
      </c>
      <c r="AW341" s="3">
        <v>15</v>
      </c>
      <c r="AX341" s="3">
        <v>15</v>
      </c>
      <c r="AY341" s="3">
        <v>15</v>
      </c>
      <c r="AZ341" s="3">
        <v>15</v>
      </c>
      <c r="BA341" s="3">
        <v>15</v>
      </c>
      <c r="BB341" s="3"/>
      <c r="BC341" s="3">
        <v>15</v>
      </c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3">
        <v>15</v>
      </c>
      <c r="BY341" s="72"/>
      <c r="BZ341" s="72"/>
      <c r="CA341" s="72"/>
      <c r="CB341" s="72"/>
      <c r="CC341" s="72"/>
      <c r="CD341" s="72"/>
      <c r="CE341" s="72"/>
      <c r="CF341" s="72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DA341" s="139">
        <f t="shared" ref="DA341:DA343" si="33">H341</f>
        <v>11.8</v>
      </c>
    </row>
    <row r="342" spans="1:105" ht="20.25" customHeight="1" x14ac:dyDescent="0.35">
      <c r="A342" s="65"/>
      <c r="B342" s="79" t="s">
        <v>832</v>
      </c>
      <c r="C342" s="79" t="s">
        <v>198</v>
      </c>
      <c r="D342" s="88" t="s">
        <v>463</v>
      </c>
      <c r="E342" s="65" t="s">
        <v>287</v>
      </c>
      <c r="F342" s="65" t="s">
        <v>829</v>
      </c>
      <c r="G342" s="65" t="s">
        <v>41</v>
      </c>
      <c r="H342" s="73">
        <f>H343*6</f>
        <v>72</v>
      </c>
      <c r="I342" s="89"/>
      <c r="J342" s="3"/>
      <c r="K342" s="77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87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1"/>
      <c r="AL342" s="1"/>
      <c r="AM342" s="1"/>
      <c r="AN342" s="1"/>
      <c r="AO342" s="1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3"/>
      <c r="BY342" s="72"/>
      <c r="BZ342" s="72"/>
      <c r="CA342" s="72"/>
      <c r="CB342" s="72"/>
      <c r="CC342" s="72"/>
      <c r="CD342" s="72"/>
      <c r="CE342" s="72"/>
      <c r="CF342" s="72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DA342" s="139">
        <f t="shared" si="33"/>
        <v>72</v>
      </c>
    </row>
    <row r="343" spans="1:105" ht="20.25" customHeight="1" x14ac:dyDescent="0.35">
      <c r="A343" s="65" t="s">
        <v>117</v>
      </c>
      <c r="B343" s="79" t="s">
        <v>833</v>
      </c>
      <c r="C343" s="79" t="s">
        <v>198</v>
      </c>
      <c r="D343" s="88" t="s">
        <v>463</v>
      </c>
      <c r="E343" s="65" t="s">
        <v>287</v>
      </c>
      <c r="F343" s="65" t="s">
        <v>260</v>
      </c>
      <c r="G343" s="65" t="s">
        <v>41</v>
      </c>
      <c r="H343" s="73">
        <v>12</v>
      </c>
      <c r="I343" s="89">
        <v>13</v>
      </c>
      <c r="J343" s="3">
        <v>16.5</v>
      </c>
      <c r="K343" s="77">
        <v>13</v>
      </c>
      <c r="L343" s="3">
        <v>13</v>
      </c>
      <c r="M343" s="3"/>
      <c r="N343" s="3">
        <v>16.5</v>
      </c>
      <c r="O343" s="3">
        <v>16.5</v>
      </c>
      <c r="P343" s="89">
        <v>16.5</v>
      </c>
      <c r="Q343" s="3">
        <v>16.5</v>
      </c>
      <c r="R343" s="3">
        <v>16.5</v>
      </c>
      <c r="S343" s="3">
        <v>16.5</v>
      </c>
      <c r="T343" s="3"/>
      <c r="U343" s="3"/>
      <c r="V343" s="87">
        <v>16.5</v>
      </c>
      <c r="W343" s="3"/>
      <c r="X343" s="3"/>
      <c r="Y343" s="3"/>
      <c r="Z343" s="3"/>
      <c r="AA343" s="3"/>
      <c r="AB343" s="3"/>
      <c r="AC343" s="3">
        <v>16.5</v>
      </c>
      <c r="AD343" s="3"/>
      <c r="AE343" s="3"/>
      <c r="AF343" s="3"/>
      <c r="AG343" s="3">
        <v>16.5</v>
      </c>
      <c r="AH343" s="3"/>
      <c r="AI343" s="3"/>
      <c r="AJ343" s="3"/>
      <c r="AK343" s="1"/>
      <c r="AL343" s="1"/>
      <c r="AM343" s="1"/>
      <c r="AN343" s="1"/>
      <c r="AO343" s="1"/>
      <c r="AP343" s="3">
        <v>16.5</v>
      </c>
      <c r="AQ343" s="3">
        <v>16.5</v>
      </c>
      <c r="AR343" s="3">
        <v>16.5</v>
      </c>
      <c r="AS343" s="3"/>
      <c r="AT343" s="3">
        <v>16.5</v>
      </c>
      <c r="AU343" s="3">
        <v>16.5</v>
      </c>
      <c r="AV343" s="3">
        <v>16.5</v>
      </c>
      <c r="AW343" s="3">
        <v>16.5</v>
      </c>
      <c r="AX343" s="3">
        <v>16.5</v>
      </c>
      <c r="AY343" s="3">
        <v>16.5</v>
      </c>
      <c r="AZ343" s="3">
        <v>16.5</v>
      </c>
      <c r="BA343" s="3">
        <v>16.5</v>
      </c>
      <c r="BB343" s="3"/>
      <c r="BC343" s="3">
        <v>16.5</v>
      </c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3">
        <v>16.5</v>
      </c>
      <c r="BY343" s="72"/>
      <c r="BZ343" s="72">
        <v>16.5</v>
      </c>
      <c r="CA343" s="72"/>
      <c r="CB343" s="72"/>
      <c r="CC343" s="72"/>
      <c r="CD343" s="72"/>
      <c r="CE343" s="72"/>
      <c r="CF343" s="72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DA343" s="139">
        <f t="shared" si="33"/>
        <v>12</v>
      </c>
    </row>
    <row r="344" spans="1:105" ht="20.25" customHeight="1" x14ac:dyDescent="0.35">
      <c r="A344" s="65"/>
      <c r="B344" s="79"/>
      <c r="C344" s="79"/>
      <c r="D344" s="91"/>
      <c r="E344" s="5"/>
      <c r="F344" s="65"/>
      <c r="G344" s="65"/>
      <c r="H344" s="145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87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1"/>
      <c r="AL344" s="1"/>
      <c r="AM344" s="1"/>
      <c r="AN344" s="1"/>
      <c r="AO344" s="1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3"/>
      <c r="BY344" s="72"/>
      <c r="BZ344" s="72"/>
      <c r="CA344" s="72"/>
      <c r="CB344" s="72"/>
      <c r="CC344" s="72"/>
      <c r="CD344" s="72"/>
      <c r="CE344" s="72"/>
      <c r="CF344" s="72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</row>
    <row r="345" spans="1:105" ht="20.25" customHeight="1" x14ac:dyDescent="0.35">
      <c r="A345" s="65"/>
      <c r="B345" s="79" t="s">
        <v>1118</v>
      </c>
      <c r="C345" s="79" t="s">
        <v>198</v>
      </c>
      <c r="D345" s="91" t="s">
        <v>463</v>
      </c>
      <c r="E345" s="5" t="s">
        <v>287</v>
      </c>
      <c r="F345" s="65" t="s">
        <v>259</v>
      </c>
      <c r="G345" s="65" t="s">
        <v>41</v>
      </c>
      <c r="H345" s="73">
        <f>H343/2</f>
        <v>6</v>
      </c>
      <c r="I345" s="3"/>
      <c r="J345" s="3"/>
      <c r="K345" s="3"/>
      <c r="L345" s="3"/>
      <c r="M345" s="3"/>
      <c r="N345" s="3">
        <v>8.5</v>
      </c>
      <c r="O345" s="3"/>
      <c r="P345" s="3"/>
      <c r="Q345" s="3"/>
      <c r="R345" s="3"/>
      <c r="S345" s="3"/>
      <c r="T345" s="3"/>
      <c r="U345" s="3"/>
      <c r="V345" s="87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1"/>
      <c r="AL345" s="1"/>
      <c r="AM345" s="1"/>
      <c r="AN345" s="1"/>
      <c r="AO345" s="1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3"/>
      <c r="BY345" s="72"/>
      <c r="BZ345" s="72"/>
      <c r="CA345" s="72"/>
      <c r="CB345" s="72"/>
      <c r="CC345" s="72"/>
      <c r="CD345" s="72"/>
      <c r="CE345" s="72"/>
      <c r="CF345" s="72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DA345" s="139">
        <f>H345</f>
        <v>6</v>
      </c>
    </row>
    <row r="346" spans="1:105" ht="20.25" customHeight="1" x14ac:dyDescent="0.35">
      <c r="A346" s="65"/>
      <c r="B346" s="79" t="s">
        <v>835</v>
      </c>
      <c r="C346" s="79" t="s">
        <v>199</v>
      </c>
      <c r="D346" s="65" t="s">
        <v>463</v>
      </c>
      <c r="E346" s="65" t="s">
        <v>834</v>
      </c>
      <c r="F346" s="65" t="s">
        <v>327</v>
      </c>
      <c r="G346" s="65" t="s">
        <v>387</v>
      </c>
      <c r="H346" s="73">
        <v>24</v>
      </c>
      <c r="I346" s="3"/>
      <c r="J346" s="3"/>
      <c r="K346" s="3"/>
      <c r="L346" s="3"/>
      <c r="M346" s="3"/>
      <c r="N346" s="89">
        <v>29</v>
      </c>
      <c r="O346" s="3"/>
      <c r="P346" s="77">
        <v>30</v>
      </c>
      <c r="Q346" s="3"/>
      <c r="R346" s="77"/>
      <c r="S346" s="3"/>
      <c r="T346" s="3"/>
      <c r="U346" s="3"/>
      <c r="V346" s="87"/>
      <c r="W346" s="3"/>
      <c r="X346" s="3"/>
      <c r="Y346" s="3"/>
      <c r="Z346" s="77">
        <v>29</v>
      </c>
      <c r="AA346" s="3"/>
      <c r="AB346" s="3"/>
      <c r="AC346" s="77">
        <v>30</v>
      </c>
      <c r="AD346" s="3"/>
      <c r="AE346" s="3"/>
      <c r="AF346" s="77">
        <v>29</v>
      </c>
      <c r="AG346" s="3"/>
      <c r="AH346" s="3"/>
      <c r="AI346" s="3"/>
      <c r="AJ346" s="3"/>
      <c r="AK346" s="1"/>
      <c r="AL346" s="1"/>
      <c r="AM346" s="1">
        <v>29</v>
      </c>
      <c r="AN346" s="1"/>
      <c r="AO346" s="1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>
        <v>30</v>
      </c>
      <c r="BV346" s="1"/>
      <c r="BW346" s="1"/>
      <c r="BX346" s="3"/>
      <c r="BY346" s="72"/>
      <c r="BZ346" s="72">
        <v>29.5</v>
      </c>
      <c r="CA346" s="72"/>
      <c r="CB346" s="72"/>
      <c r="CC346" s="72"/>
      <c r="CD346" s="72"/>
      <c r="CE346" s="72"/>
      <c r="CF346" s="72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DA346" s="139">
        <f>H346</f>
        <v>24</v>
      </c>
    </row>
    <row r="347" spans="1:105" ht="20.25" customHeight="1" x14ac:dyDescent="0.35">
      <c r="A347" s="65"/>
      <c r="B347" s="79" t="s">
        <v>836</v>
      </c>
      <c r="C347" s="79" t="s">
        <v>199</v>
      </c>
      <c r="D347" s="91" t="s">
        <v>463</v>
      </c>
      <c r="E347" s="65" t="s">
        <v>1091</v>
      </c>
      <c r="F347" s="65" t="s">
        <v>327</v>
      </c>
      <c r="G347" s="65" t="s">
        <v>387</v>
      </c>
      <c r="H347" s="73">
        <v>24.5</v>
      </c>
      <c r="I347" s="3"/>
      <c r="J347" s="3"/>
      <c r="K347" s="3"/>
      <c r="L347" s="3"/>
      <c r="M347" s="3"/>
      <c r="N347" s="3"/>
      <c r="O347" s="3">
        <v>29.5</v>
      </c>
      <c r="P347" s="3"/>
      <c r="Q347" s="3"/>
      <c r="R347" s="3">
        <v>29.5</v>
      </c>
      <c r="S347" s="3"/>
      <c r="T347" s="3"/>
      <c r="U347" s="3"/>
      <c r="V347" s="87"/>
      <c r="W347" s="3"/>
      <c r="X347" s="3"/>
      <c r="Y347" s="3"/>
      <c r="Z347" s="3"/>
      <c r="AA347" s="3"/>
      <c r="AB347" s="3"/>
      <c r="AC347" s="3"/>
      <c r="AD347" s="3"/>
      <c r="AE347" s="3">
        <v>29</v>
      </c>
      <c r="AF347" s="3">
        <v>28</v>
      </c>
      <c r="AG347" s="3"/>
      <c r="AH347" s="3"/>
      <c r="AI347" s="3"/>
      <c r="AJ347" s="3"/>
      <c r="AK347" s="1"/>
      <c r="AL347" s="1"/>
      <c r="AM347" s="1">
        <v>28</v>
      </c>
      <c r="AN347" s="1"/>
      <c r="AO347" s="1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3"/>
      <c r="BY347" s="72"/>
      <c r="BZ347" s="72">
        <v>29</v>
      </c>
      <c r="CA347" s="72"/>
      <c r="CB347" s="72"/>
      <c r="CC347" s="72"/>
      <c r="CD347" s="72"/>
      <c r="CE347" s="72"/>
      <c r="CF347" s="72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DA347" s="139">
        <f t="shared" ref="DA347:DA350" si="34">H347</f>
        <v>24.5</v>
      </c>
    </row>
    <row r="348" spans="1:105" ht="20.25" customHeight="1" x14ac:dyDescent="0.35">
      <c r="A348" s="65"/>
      <c r="B348" s="79" t="s">
        <v>837</v>
      </c>
      <c r="C348" s="79" t="s">
        <v>199</v>
      </c>
      <c r="D348" s="88" t="s">
        <v>463</v>
      </c>
      <c r="E348" s="65" t="s">
        <v>1091</v>
      </c>
      <c r="F348" s="65" t="s">
        <v>53</v>
      </c>
      <c r="G348" s="65" t="s">
        <v>41</v>
      </c>
      <c r="H348" s="73">
        <f>H346/25*5</f>
        <v>4.8</v>
      </c>
      <c r="I348" s="89">
        <v>5.2</v>
      </c>
      <c r="J348" s="3"/>
      <c r="K348" s="3"/>
      <c r="L348" s="3">
        <v>6.5</v>
      </c>
      <c r="M348" s="3"/>
      <c r="N348" s="3"/>
      <c r="O348" s="3"/>
      <c r="P348" s="3"/>
      <c r="Q348" s="3"/>
      <c r="R348" s="3"/>
      <c r="S348" s="3"/>
      <c r="T348" s="3"/>
      <c r="U348" s="3"/>
      <c r="V348" s="87"/>
      <c r="W348" s="3"/>
      <c r="X348" s="3"/>
      <c r="Y348" s="3"/>
      <c r="Z348" s="3"/>
      <c r="AA348" s="3"/>
      <c r="AB348" s="72">
        <v>5.9</v>
      </c>
      <c r="AC348" s="3"/>
      <c r="AD348" s="72"/>
      <c r="AE348" s="3"/>
      <c r="AF348" s="3"/>
      <c r="AG348" s="3"/>
      <c r="AH348" s="3"/>
      <c r="AI348" s="3"/>
      <c r="AJ348" s="3"/>
      <c r="AK348" s="1"/>
      <c r="AL348" s="1"/>
      <c r="AM348" s="1"/>
      <c r="AN348" s="1"/>
      <c r="AO348" s="1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1"/>
      <c r="BE348" s="1"/>
      <c r="BF348" s="1"/>
      <c r="BG348" s="1">
        <v>6</v>
      </c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3"/>
      <c r="BY348" s="72">
        <v>6.5</v>
      </c>
      <c r="BZ348" s="72"/>
      <c r="CA348" s="72"/>
      <c r="CB348" s="72"/>
      <c r="CC348" s="72"/>
      <c r="CD348" s="72"/>
      <c r="CE348" s="72"/>
      <c r="CF348" s="72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DA348" s="139">
        <f t="shared" si="34"/>
        <v>4.8</v>
      </c>
    </row>
    <row r="349" spans="1:105" ht="20.25" customHeight="1" x14ac:dyDescent="0.35">
      <c r="A349" s="65"/>
      <c r="B349" s="79" t="s">
        <v>838</v>
      </c>
      <c r="C349" s="79" t="s">
        <v>199</v>
      </c>
      <c r="D349" s="91"/>
      <c r="E349" s="5" t="s">
        <v>35</v>
      </c>
      <c r="F349" s="65" t="s">
        <v>40</v>
      </c>
      <c r="G349" s="65" t="s">
        <v>41</v>
      </c>
      <c r="H349" s="73">
        <f>H346/25*2</f>
        <v>1.92</v>
      </c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87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1"/>
      <c r="AL349" s="1"/>
      <c r="AM349" s="1"/>
      <c r="AN349" s="1"/>
      <c r="AO349" s="1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3"/>
      <c r="BY349" s="72">
        <v>2.2000000000000002</v>
      </c>
      <c r="BZ349" s="72"/>
      <c r="CA349" s="72"/>
      <c r="CB349" s="72">
        <v>2.2000000000000002</v>
      </c>
      <c r="CC349" s="72"/>
      <c r="CD349" s="72"/>
      <c r="CE349" s="72"/>
      <c r="CF349" s="72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DA349" s="139">
        <f t="shared" si="34"/>
        <v>1.92</v>
      </c>
    </row>
    <row r="350" spans="1:105" ht="20.25" customHeight="1" x14ac:dyDescent="0.35">
      <c r="A350" s="65"/>
      <c r="B350" s="79" t="s">
        <v>1076</v>
      </c>
      <c r="C350" s="79" t="s">
        <v>199</v>
      </c>
      <c r="D350" s="91"/>
      <c r="E350" s="5" t="s">
        <v>35</v>
      </c>
      <c r="F350" s="65" t="s">
        <v>73</v>
      </c>
      <c r="G350" s="65"/>
      <c r="H350" s="73">
        <f>H346/25</f>
        <v>0.96</v>
      </c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87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1"/>
      <c r="AL350" s="1"/>
      <c r="AM350" s="1"/>
      <c r="AN350" s="1"/>
      <c r="AO350" s="1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3"/>
      <c r="BY350" s="72"/>
      <c r="BZ350" s="72"/>
      <c r="CA350" s="72"/>
      <c r="CB350" s="72"/>
      <c r="CC350" s="72"/>
      <c r="CD350" s="72"/>
      <c r="CE350" s="72"/>
      <c r="CF350" s="72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DA350" s="139">
        <f t="shared" si="34"/>
        <v>0.96</v>
      </c>
    </row>
    <row r="351" spans="1:105" ht="20.25" customHeight="1" x14ac:dyDescent="0.35">
      <c r="A351" s="65"/>
      <c r="B351" s="79" t="s">
        <v>839</v>
      </c>
      <c r="C351" s="79" t="s">
        <v>179</v>
      </c>
      <c r="D351" s="88" t="s">
        <v>425</v>
      </c>
      <c r="E351" s="65" t="s">
        <v>425</v>
      </c>
      <c r="F351" s="65" t="s">
        <v>62</v>
      </c>
      <c r="G351" s="65" t="s">
        <v>34</v>
      </c>
      <c r="H351" s="73">
        <v>16</v>
      </c>
      <c r="I351" s="3"/>
      <c r="J351" s="3"/>
      <c r="K351" s="3"/>
      <c r="L351" s="3"/>
      <c r="M351" s="3"/>
      <c r="N351" s="77"/>
      <c r="O351" s="3"/>
      <c r="P351" s="77"/>
      <c r="Q351" s="3"/>
      <c r="R351" s="3"/>
      <c r="S351" s="3"/>
      <c r="T351" s="3"/>
      <c r="U351" s="3"/>
      <c r="V351" s="87"/>
      <c r="W351" s="3"/>
      <c r="X351" s="3"/>
      <c r="Y351" s="3"/>
      <c r="Z351" s="77"/>
      <c r="AA351" s="3"/>
      <c r="AB351" s="3"/>
      <c r="AC351" s="3"/>
      <c r="AD351" s="3"/>
      <c r="AE351" s="3">
        <v>26</v>
      </c>
      <c r="AF351" s="77"/>
      <c r="AG351" s="3"/>
      <c r="AH351" s="3"/>
      <c r="AI351" s="3"/>
      <c r="AJ351" s="3"/>
      <c r="AK351" s="1"/>
      <c r="AL351" s="1"/>
      <c r="AM351" s="1"/>
      <c r="AN351" s="1"/>
      <c r="AO351" s="1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1"/>
      <c r="BV351" s="1"/>
      <c r="BW351" s="1"/>
      <c r="BX351" s="3"/>
      <c r="BY351" s="72"/>
      <c r="BZ351" s="72"/>
      <c r="CA351" s="72"/>
      <c r="CB351" s="72"/>
      <c r="CC351" s="72"/>
      <c r="CD351" s="72"/>
      <c r="CE351" s="72"/>
      <c r="CF351" s="72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DA351" s="139">
        <f t="shared" ref="DA351:DA359" si="35">H351</f>
        <v>16</v>
      </c>
    </row>
    <row r="352" spans="1:105" ht="20.25" customHeight="1" x14ac:dyDescent="0.35">
      <c r="A352" s="65"/>
      <c r="B352" s="79" t="s">
        <v>840</v>
      </c>
      <c r="C352" s="79" t="s">
        <v>179</v>
      </c>
      <c r="D352" s="88" t="s">
        <v>250</v>
      </c>
      <c r="E352" s="65" t="s">
        <v>152</v>
      </c>
      <c r="F352" s="65" t="s">
        <v>62</v>
      </c>
      <c r="G352" s="65" t="s">
        <v>34</v>
      </c>
      <c r="H352" s="73">
        <v>31</v>
      </c>
      <c r="I352" s="89">
        <v>36</v>
      </c>
      <c r="J352" s="3"/>
      <c r="K352" s="3"/>
      <c r="L352" s="3">
        <v>36</v>
      </c>
      <c r="M352" s="3"/>
      <c r="N352" s="89">
        <v>36</v>
      </c>
      <c r="O352" s="3">
        <v>36</v>
      </c>
      <c r="P352" s="3"/>
      <c r="Q352" s="3"/>
      <c r="R352" s="3"/>
      <c r="S352" s="3"/>
      <c r="T352" s="3"/>
      <c r="U352" s="3">
        <v>36</v>
      </c>
      <c r="V352" s="87"/>
      <c r="W352" s="3"/>
      <c r="X352" s="3"/>
      <c r="Y352" s="3"/>
      <c r="Z352" s="3">
        <v>35</v>
      </c>
      <c r="AA352" s="3"/>
      <c r="AB352" s="3"/>
      <c r="AC352" s="3">
        <v>36</v>
      </c>
      <c r="AD352" s="3"/>
      <c r="AE352" s="3">
        <v>36</v>
      </c>
      <c r="AF352" s="3"/>
      <c r="AG352" s="3"/>
      <c r="AH352" s="3"/>
      <c r="AI352" s="3"/>
      <c r="AJ352" s="3"/>
      <c r="AK352" s="1"/>
      <c r="AL352" s="1"/>
      <c r="AM352" s="1"/>
      <c r="AN352" s="1"/>
      <c r="AO352" s="1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>
        <v>36</v>
      </c>
      <c r="BP352" s="1"/>
      <c r="BQ352" s="1"/>
      <c r="BR352" s="1"/>
      <c r="BS352" s="1"/>
      <c r="BT352" s="1"/>
      <c r="BU352" s="1"/>
      <c r="BV352" s="1"/>
      <c r="BW352" s="1"/>
      <c r="BX352" s="3"/>
      <c r="BY352" s="72"/>
      <c r="BZ352" s="72"/>
      <c r="CA352" s="72"/>
      <c r="CB352" s="72"/>
      <c r="CC352" s="72"/>
      <c r="CD352" s="72"/>
      <c r="CE352" s="72"/>
      <c r="CF352" s="72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DA352" s="139">
        <f t="shared" si="35"/>
        <v>31</v>
      </c>
    </row>
    <row r="353" spans="1:105" ht="20.25" customHeight="1" x14ac:dyDescent="0.35">
      <c r="A353" s="65"/>
      <c r="B353" s="79" t="s">
        <v>841</v>
      </c>
      <c r="C353" s="79" t="s">
        <v>179</v>
      </c>
      <c r="D353" s="88" t="s">
        <v>250</v>
      </c>
      <c r="E353" s="65" t="s">
        <v>152</v>
      </c>
      <c r="F353" s="65" t="s">
        <v>420</v>
      </c>
      <c r="G353" s="65" t="s">
        <v>50</v>
      </c>
      <c r="H353" s="73">
        <f>H352/10/2</f>
        <v>1.55</v>
      </c>
      <c r="I353" s="89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87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1"/>
      <c r="AL353" s="1"/>
      <c r="AM353" s="1"/>
      <c r="AN353" s="1"/>
      <c r="AO353" s="1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3"/>
      <c r="BY353" s="72"/>
      <c r="BZ353" s="72"/>
      <c r="CA353" s="72"/>
      <c r="CB353" s="72"/>
      <c r="CC353" s="72"/>
      <c r="CD353" s="72"/>
      <c r="CE353" s="72"/>
      <c r="CF353" s="72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DA353" s="139">
        <f t="shared" si="35"/>
        <v>1.55</v>
      </c>
    </row>
    <row r="354" spans="1:105" ht="20.25" customHeight="1" x14ac:dyDescent="0.35">
      <c r="A354" s="65" t="s">
        <v>94</v>
      </c>
      <c r="B354" s="79" t="s">
        <v>842</v>
      </c>
      <c r="C354" s="79" t="s">
        <v>179</v>
      </c>
      <c r="D354" s="88" t="s">
        <v>250</v>
      </c>
      <c r="E354" s="65" t="s">
        <v>93</v>
      </c>
      <c r="F354" s="65" t="s">
        <v>62</v>
      </c>
      <c r="G354" s="65" t="s">
        <v>34</v>
      </c>
      <c r="H354" s="73">
        <v>28</v>
      </c>
      <c r="I354" s="89">
        <v>32</v>
      </c>
      <c r="J354" s="3"/>
      <c r="K354" s="3"/>
      <c r="L354" s="3"/>
      <c r="M354" s="3"/>
      <c r="N354" s="3">
        <v>32</v>
      </c>
      <c r="O354" s="3"/>
      <c r="P354" s="3"/>
      <c r="Q354" s="3"/>
      <c r="R354" s="3"/>
      <c r="S354" s="3"/>
      <c r="T354" s="3"/>
      <c r="U354" s="3"/>
      <c r="V354" s="87"/>
      <c r="W354" s="3"/>
      <c r="X354" s="3"/>
      <c r="Y354" s="3"/>
      <c r="Z354" s="3"/>
      <c r="AA354" s="3"/>
      <c r="AB354" s="3"/>
      <c r="AC354" s="3"/>
      <c r="AD354" s="3"/>
      <c r="AE354" s="3">
        <v>34</v>
      </c>
      <c r="AF354" s="3">
        <v>32</v>
      </c>
      <c r="AG354" s="3"/>
      <c r="AH354" s="3"/>
      <c r="AI354" s="3"/>
      <c r="AJ354" s="3"/>
      <c r="AK354" s="1"/>
      <c r="AL354" s="1"/>
      <c r="AM354" s="1"/>
      <c r="AN354" s="1"/>
      <c r="AO354" s="1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3"/>
      <c r="BY354" s="72"/>
      <c r="BZ354" s="72">
        <v>0</v>
      </c>
      <c r="CA354" s="72"/>
      <c r="CB354" s="72"/>
      <c r="CC354" s="72"/>
      <c r="CD354" s="72"/>
      <c r="CE354" s="72"/>
      <c r="CF354" s="72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DA354" s="139">
        <f t="shared" si="35"/>
        <v>28</v>
      </c>
    </row>
    <row r="355" spans="1:105" ht="20.25" customHeight="1" x14ac:dyDescent="0.35">
      <c r="A355" s="65"/>
      <c r="B355" s="79" t="s">
        <v>843</v>
      </c>
      <c r="C355" s="79" t="s">
        <v>179</v>
      </c>
      <c r="D355" s="88" t="s">
        <v>250</v>
      </c>
      <c r="E355" s="65" t="s">
        <v>250</v>
      </c>
      <c r="F355" s="65" t="s">
        <v>62</v>
      </c>
      <c r="G355" s="65" t="s">
        <v>34</v>
      </c>
      <c r="H355" s="73">
        <v>29</v>
      </c>
      <c r="I355" s="89"/>
      <c r="J355" s="3"/>
      <c r="K355" s="3"/>
      <c r="L355" s="3"/>
      <c r="M355" s="3"/>
      <c r="N355" s="89"/>
      <c r="O355" s="3">
        <v>31</v>
      </c>
      <c r="P355" s="89">
        <v>33</v>
      </c>
      <c r="Q355" s="3"/>
      <c r="R355" s="3">
        <v>33</v>
      </c>
      <c r="S355" s="77">
        <v>36</v>
      </c>
      <c r="T355" s="3"/>
      <c r="U355" s="3"/>
      <c r="V355" s="87">
        <v>36</v>
      </c>
      <c r="W355" s="3"/>
      <c r="X355" s="3"/>
      <c r="Y355" s="3"/>
      <c r="Z355" s="3"/>
      <c r="AA355" s="3"/>
      <c r="AB355" s="3"/>
      <c r="AC355" s="3"/>
      <c r="AD355" s="3"/>
      <c r="AE355" s="3">
        <v>33</v>
      </c>
      <c r="AF355" s="3"/>
      <c r="AG355" s="3">
        <v>34</v>
      </c>
      <c r="AH355" s="3"/>
      <c r="AI355" s="3"/>
      <c r="AJ355" s="3"/>
      <c r="AK355" s="1"/>
      <c r="AL355" s="1"/>
      <c r="AM355" s="1"/>
      <c r="AN355" s="1"/>
      <c r="AO355" s="1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1"/>
      <c r="BE355" s="1"/>
      <c r="BF355" s="1"/>
      <c r="BG355" s="1">
        <v>34</v>
      </c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3"/>
      <c r="BY355" s="72"/>
      <c r="BZ355" s="72"/>
      <c r="CA355" s="72"/>
      <c r="CB355" s="72"/>
      <c r="CC355" s="72"/>
      <c r="CD355" s="72"/>
      <c r="CE355" s="72"/>
      <c r="CF355" s="72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DA355" s="139">
        <f t="shared" si="35"/>
        <v>29</v>
      </c>
    </row>
    <row r="356" spans="1:105" ht="20.25" customHeight="1" x14ac:dyDescent="0.35">
      <c r="A356" s="65"/>
      <c r="B356" s="79" t="s">
        <v>844</v>
      </c>
      <c r="C356" s="79" t="s">
        <v>179</v>
      </c>
      <c r="D356" s="88" t="s">
        <v>250</v>
      </c>
      <c r="E356" s="65" t="s">
        <v>459</v>
      </c>
      <c r="F356" s="65" t="s">
        <v>297</v>
      </c>
      <c r="G356" s="65" t="s">
        <v>34</v>
      </c>
      <c r="H356" s="86">
        <v>30</v>
      </c>
      <c r="I356" s="89">
        <v>36</v>
      </c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87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1"/>
      <c r="AL356" s="1"/>
      <c r="AM356" s="1"/>
      <c r="AN356" s="1"/>
      <c r="AO356" s="1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3"/>
      <c r="BY356" s="72"/>
      <c r="BZ356" s="72"/>
      <c r="CA356" s="72"/>
      <c r="CB356" s="72"/>
      <c r="CC356" s="72"/>
      <c r="CD356" s="72"/>
      <c r="CE356" s="72"/>
      <c r="CF356" s="72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DA356" s="66">
        <f t="shared" si="35"/>
        <v>30</v>
      </c>
    </row>
    <row r="357" spans="1:105" ht="20.25" customHeight="1" x14ac:dyDescent="0.35">
      <c r="A357" s="65"/>
      <c r="B357" s="79" t="s">
        <v>845</v>
      </c>
      <c r="C357" s="79" t="s">
        <v>211</v>
      </c>
      <c r="D357" s="88" t="s">
        <v>461</v>
      </c>
      <c r="E357" s="65" t="s">
        <v>35</v>
      </c>
      <c r="F357" s="65" t="s">
        <v>244</v>
      </c>
      <c r="G357" s="65" t="s">
        <v>37</v>
      </c>
      <c r="H357" s="73">
        <v>40</v>
      </c>
      <c r="I357" s="89">
        <v>43</v>
      </c>
      <c r="J357" s="3">
        <v>42</v>
      </c>
      <c r="K357" s="3"/>
      <c r="L357" s="3">
        <v>45</v>
      </c>
      <c r="M357" s="3"/>
      <c r="N357" s="89">
        <v>45</v>
      </c>
      <c r="O357" s="3"/>
      <c r="P357" s="3"/>
      <c r="Q357" s="3"/>
      <c r="R357" s="3"/>
      <c r="S357" s="3"/>
      <c r="T357" s="3"/>
      <c r="U357" s="3"/>
      <c r="V357" s="87"/>
      <c r="W357" s="3"/>
      <c r="X357" s="3"/>
      <c r="Y357" s="3"/>
      <c r="Z357" s="3"/>
      <c r="AA357" s="3"/>
      <c r="AB357" s="3"/>
      <c r="AC357" s="3"/>
      <c r="AD357" s="3"/>
      <c r="AE357" s="3"/>
      <c r="AF357" s="3">
        <v>45</v>
      </c>
      <c r="AG357" s="3"/>
      <c r="AH357" s="3"/>
      <c r="AI357" s="3"/>
      <c r="AJ357" s="3"/>
      <c r="AK357" s="1"/>
      <c r="AL357" s="1"/>
      <c r="AM357" s="1"/>
      <c r="AN357" s="1"/>
      <c r="AO357" s="1"/>
      <c r="AP357" s="3">
        <v>42</v>
      </c>
      <c r="AQ357" s="3">
        <v>42</v>
      </c>
      <c r="AR357" s="3">
        <v>42</v>
      </c>
      <c r="AS357" s="3"/>
      <c r="AT357" s="3">
        <v>42</v>
      </c>
      <c r="AU357" s="3">
        <v>42</v>
      </c>
      <c r="AV357" s="3">
        <v>42</v>
      </c>
      <c r="AW357" s="3">
        <v>42</v>
      </c>
      <c r="AX357" s="3">
        <v>42</v>
      </c>
      <c r="AY357" s="3">
        <v>42</v>
      </c>
      <c r="AZ357" s="3">
        <v>42</v>
      </c>
      <c r="BA357" s="3">
        <v>42</v>
      </c>
      <c r="BB357" s="3"/>
      <c r="BC357" s="3">
        <v>42</v>
      </c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>
        <v>42</v>
      </c>
      <c r="BP357" s="1"/>
      <c r="BQ357" s="1"/>
      <c r="BR357" s="1"/>
      <c r="BS357" s="1"/>
      <c r="BT357" s="1"/>
      <c r="BU357" s="1"/>
      <c r="BV357" s="1"/>
      <c r="BW357" s="1"/>
      <c r="BX357" s="3"/>
      <c r="BY357" s="72"/>
      <c r="BZ357" s="72"/>
      <c r="CA357" s="72"/>
      <c r="CB357" s="72"/>
      <c r="CC357" s="72"/>
      <c r="CD357" s="72"/>
      <c r="CE357" s="72"/>
      <c r="CF357" s="72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DA357" s="139">
        <f t="shared" si="35"/>
        <v>40</v>
      </c>
    </row>
    <row r="358" spans="1:105" ht="20" customHeight="1" x14ac:dyDescent="0.35">
      <c r="A358" s="65"/>
      <c r="B358" s="79" t="s">
        <v>846</v>
      </c>
      <c r="C358" s="79" t="s">
        <v>211</v>
      </c>
      <c r="D358" s="88" t="s">
        <v>461</v>
      </c>
      <c r="E358" s="65" t="s">
        <v>35</v>
      </c>
      <c r="F358" s="65" t="s">
        <v>501</v>
      </c>
      <c r="G358" s="65" t="s">
        <v>37</v>
      </c>
      <c r="H358" s="73">
        <f>H357/50</f>
        <v>0.8</v>
      </c>
      <c r="I358" s="89"/>
      <c r="J358" s="3"/>
      <c r="K358" s="3"/>
      <c r="L358" s="3"/>
      <c r="M358" s="3"/>
      <c r="N358" s="89"/>
      <c r="O358" s="3"/>
      <c r="P358" s="3"/>
      <c r="Q358" s="3"/>
      <c r="R358" s="3"/>
      <c r="S358" s="3"/>
      <c r="T358" s="3"/>
      <c r="U358" s="3"/>
      <c r="V358" s="87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1"/>
      <c r="AL358" s="1"/>
      <c r="AM358" s="1"/>
      <c r="AN358" s="1"/>
      <c r="AO358" s="1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3"/>
      <c r="BY358" s="72"/>
      <c r="BZ358" s="72"/>
      <c r="CA358" s="72"/>
      <c r="CB358" s="72"/>
      <c r="CC358" s="72"/>
      <c r="CD358" s="72"/>
      <c r="CE358" s="72"/>
      <c r="CF358" s="72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DA358" s="139">
        <f t="shared" si="35"/>
        <v>0.8</v>
      </c>
    </row>
    <row r="359" spans="1:105" ht="20" customHeight="1" x14ac:dyDescent="0.35">
      <c r="A359" s="65">
        <v>4000005651</v>
      </c>
      <c r="B359" s="79" t="s">
        <v>847</v>
      </c>
      <c r="C359" s="79" t="s">
        <v>213</v>
      </c>
      <c r="D359" s="88" t="s">
        <v>461</v>
      </c>
      <c r="E359" s="65" t="s">
        <v>299</v>
      </c>
      <c r="F359" s="65" t="s">
        <v>245</v>
      </c>
      <c r="G359" s="65" t="s">
        <v>95</v>
      </c>
      <c r="H359" s="86">
        <v>45</v>
      </c>
      <c r="I359" s="89">
        <v>44</v>
      </c>
      <c r="J359" s="3"/>
      <c r="K359" s="77">
        <v>50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87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1"/>
      <c r="AL359" s="1"/>
      <c r="AM359" s="1"/>
      <c r="AN359" s="1"/>
      <c r="AO359" s="1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3"/>
      <c r="BY359" s="72"/>
      <c r="BZ359" s="72"/>
      <c r="CA359" s="72"/>
      <c r="CB359" s="72"/>
      <c r="CC359" s="72"/>
      <c r="CD359" s="72"/>
      <c r="CE359" s="72"/>
      <c r="CF359" s="72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DA359" s="66">
        <f t="shared" si="35"/>
        <v>45</v>
      </c>
    </row>
    <row r="360" spans="1:105" ht="20" customHeight="1" x14ac:dyDescent="0.35">
      <c r="A360" s="65"/>
      <c r="B360" s="79" t="s">
        <v>912</v>
      </c>
      <c r="C360" s="79" t="s">
        <v>213</v>
      </c>
      <c r="D360" s="88" t="s">
        <v>461</v>
      </c>
      <c r="E360" s="65" t="s">
        <v>299</v>
      </c>
      <c r="F360" s="65" t="s">
        <v>913</v>
      </c>
      <c r="G360" s="65" t="s">
        <v>759</v>
      </c>
      <c r="H360" s="86"/>
      <c r="I360" s="89"/>
      <c r="J360" s="3"/>
      <c r="K360" s="77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87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1"/>
      <c r="AL360" s="1"/>
      <c r="AM360" s="1"/>
      <c r="AN360" s="1"/>
      <c r="AO360" s="1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3"/>
      <c r="BY360" s="72"/>
      <c r="BZ360" s="72"/>
      <c r="CA360" s="72"/>
      <c r="CB360" s="72"/>
      <c r="CC360" s="72"/>
      <c r="CD360" s="72"/>
      <c r="CE360" s="72"/>
      <c r="CF360" s="72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DA360" s="66"/>
    </row>
    <row r="361" spans="1:105" ht="20" customHeight="1" x14ac:dyDescent="0.35">
      <c r="A361" s="5"/>
      <c r="B361" s="79" t="s">
        <v>848</v>
      </c>
      <c r="C361" s="79" t="s">
        <v>1170</v>
      </c>
      <c r="D361" s="65" t="s">
        <v>427</v>
      </c>
      <c r="E361" s="65" t="s">
        <v>35</v>
      </c>
      <c r="F361" s="65" t="s">
        <v>1171</v>
      </c>
      <c r="G361" s="65" t="s">
        <v>849</v>
      </c>
      <c r="H361" s="73">
        <f>65/80</f>
        <v>0.8125</v>
      </c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1"/>
      <c r="AL361" s="1"/>
      <c r="AM361" s="1"/>
      <c r="AN361" s="1"/>
      <c r="AO361" s="1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3"/>
      <c r="BY361" s="72"/>
      <c r="BZ361" s="72"/>
      <c r="CA361" s="72"/>
      <c r="CB361" s="72"/>
      <c r="CC361" s="72"/>
      <c r="CD361" s="72"/>
      <c r="CE361" s="72"/>
      <c r="CF361" s="72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DA361" s="139">
        <f>H361</f>
        <v>0.8125</v>
      </c>
    </row>
    <row r="362" spans="1:105" ht="20" customHeight="1" x14ac:dyDescent="0.35">
      <c r="A362" s="5" t="s">
        <v>1007</v>
      </c>
      <c r="B362" s="79" t="s">
        <v>1004</v>
      </c>
      <c r="C362" s="79" t="s">
        <v>1005</v>
      </c>
      <c r="D362" s="65" t="s">
        <v>463</v>
      </c>
      <c r="E362" s="65" t="s">
        <v>287</v>
      </c>
      <c r="F362" s="65" t="s">
        <v>259</v>
      </c>
      <c r="G362" s="65" t="s">
        <v>39</v>
      </c>
      <c r="H362" s="73">
        <f>27/5</f>
        <v>5.4</v>
      </c>
      <c r="I362" s="3">
        <v>7</v>
      </c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1"/>
      <c r="AL362" s="1"/>
      <c r="AM362" s="1"/>
      <c r="AN362" s="1"/>
      <c r="AO362" s="1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3"/>
      <c r="BY362" s="72"/>
      <c r="BZ362" s="72"/>
      <c r="CA362" s="72"/>
      <c r="CB362" s="72"/>
      <c r="CC362" s="72"/>
      <c r="CD362" s="72"/>
      <c r="CE362" s="72">
        <v>7</v>
      </c>
      <c r="CF362" s="72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DA362" s="139">
        <f>H362</f>
        <v>5.4</v>
      </c>
    </row>
    <row r="363" spans="1:105" ht="20" customHeight="1" x14ac:dyDescent="0.35">
      <c r="A363" s="65"/>
      <c r="B363" s="79" t="s">
        <v>850</v>
      </c>
      <c r="C363" s="79" t="s">
        <v>165</v>
      </c>
      <c r="D363" s="88" t="s">
        <v>425</v>
      </c>
      <c r="E363" s="88" t="s">
        <v>425</v>
      </c>
      <c r="F363" s="65" t="s">
        <v>33</v>
      </c>
      <c r="G363" s="65" t="s">
        <v>41</v>
      </c>
      <c r="H363" s="73">
        <v>1.1000000000000001</v>
      </c>
      <c r="I363" s="89">
        <v>1.8</v>
      </c>
      <c r="J363" s="3">
        <v>1.8</v>
      </c>
      <c r="K363" s="3"/>
      <c r="L363" s="3">
        <v>0</v>
      </c>
      <c r="M363" s="3"/>
      <c r="N363" s="3"/>
      <c r="O363" s="3"/>
      <c r="P363" s="3">
        <v>2.1</v>
      </c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1"/>
      <c r="AL363" s="1"/>
      <c r="AM363" s="1"/>
      <c r="AN363" s="1"/>
      <c r="AO363" s="1">
        <v>1.8</v>
      </c>
      <c r="AP363" s="3">
        <v>1.8</v>
      </c>
      <c r="AQ363" s="3">
        <v>1.8</v>
      </c>
      <c r="AR363" s="3">
        <v>1.8</v>
      </c>
      <c r="AS363" s="3"/>
      <c r="AT363" s="3">
        <v>1.8</v>
      </c>
      <c r="AU363" s="3">
        <v>1.8</v>
      </c>
      <c r="AV363" s="3">
        <v>1.8</v>
      </c>
      <c r="AW363" s="3">
        <v>1.8</v>
      </c>
      <c r="AX363" s="3">
        <v>1.8</v>
      </c>
      <c r="AY363" s="3">
        <v>1.8</v>
      </c>
      <c r="AZ363" s="3">
        <v>1.8</v>
      </c>
      <c r="BA363" s="3">
        <v>1.8</v>
      </c>
      <c r="BB363" s="3"/>
      <c r="BC363" s="3">
        <v>1.8</v>
      </c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3">
        <f>J363</f>
        <v>1.8</v>
      </c>
      <c r="BY363" s="72"/>
      <c r="BZ363" s="72"/>
      <c r="CA363" s="72"/>
      <c r="CB363" s="72"/>
      <c r="CC363" s="72"/>
      <c r="CD363" s="72"/>
      <c r="CE363" s="72"/>
      <c r="CF363" s="72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DA363" s="139">
        <f t="shared" ref="DA363:DA364" si="36">H363</f>
        <v>1.1000000000000001</v>
      </c>
    </row>
    <row r="364" spans="1:105" ht="20" customHeight="1" x14ac:dyDescent="0.35">
      <c r="A364" s="65" t="s">
        <v>74</v>
      </c>
      <c r="B364" s="79" t="s">
        <v>851</v>
      </c>
      <c r="C364" s="79" t="s">
        <v>204</v>
      </c>
      <c r="D364" s="88" t="s">
        <v>425</v>
      </c>
      <c r="E364" s="88" t="s">
        <v>425</v>
      </c>
      <c r="F364" s="65" t="s">
        <v>73</v>
      </c>
      <c r="G364" s="65" t="s">
        <v>41</v>
      </c>
      <c r="H364" s="73">
        <f>(1.7+1.95+1.7)/3</f>
        <v>1.7833333333333332</v>
      </c>
      <c r="I364" s="89">
        <v>2.2000000000000002</v>
      </c>
      <c r="J364" s="3">
        <v>2.5</v>
      </c>
      <c r="K364" s="3"/>
      <c r="L364" s="3"/>
      <c r="M364" s="3">
        <v>2.5</v>
      </c>
      <c r="N364" s="89">
        <v>2.5</v>
      </c>
      <c r="O364" s="3">
        <v>2.5</v>
      </c>
      <c r="P364" s="89">
        <v>2.5</v>
      </c>
      <c r="Q364" s="3">
        <v>2.5</v>
      </c>
      <c r="R364" s="3"/>
      <c r="S364" s="3">
        <v>2.5</v>
      </c>
      <c r="T364" s="3"/>
      <c r="U364" s="3">
        <v>2.5</v>
      </c>
      <c r="V364" s="87">
        <v>2.5</v>
      </c>
      <c r="W364" s="3"/>
      <c r="X364" s="3"/>
      <c r="Y364" s="3"/>
      <c r="Z364" s="3"/>
      <c r="AA364" s="3"/>
      <c r="AB364" s="3"/>
      <c r="AC364" s="3">
        <v>2.5</v>
      </c>
      <c r="AD364" s="3"/>
      <c r="AE364" s="3"/>
      <c r="AF364" s="3">
        <v>2.5</v>
      </c>
      <c r="AG364" s="3"/>
      <c r="AH364" s="3"/>
      <c r="AI364" s="3"/>
      <c r="AJ364" s="3">
        <v>2.5</v>
      </c>
      <c r="AK364" s="1"/>
      <c r="AL364" s="1"/>
      <c r="AM364" s="1">
        <v>2.5</v>
      </c>
      <c r="AN364" s="1"/>
      <c r="AO364" s="1"/>
      <c r="AP364" s="3">
        <v>2.5</v>
      </c>
      <c r="AQ364" s="3">
        <v>2.5</v>
      </c>
      <c r="AR364" s="3">
        <v>2.5</v>
      </c>
      <c r="AS364" s="3"/>
      <c r="AT364" s="3">
        <v>2.5</v>
      </c>
      <c r="AU364" s="3">
        <v>2.5</v>
      </c>
      <c r="AV364" s="3">
        <v>2.5</v>
      </c>
      <c r="AW364" s="3">
        <v>2.5</v>
      </c>
      <c r="AX364" s="3">
        <v>2.5</v>
      </c>
      <c r="AY364" s="3">
        <v>2.5</v>
      </c>
      <c r="AZ364" s="3">
        <v>2.5</v>
      </c>
      <c r="BA364" s="3">
        <v>2.5</v>
      </c>
      <c r="BB364" s="3"/>
      <c r="BC364" s="3">
        <v>2.5</v>
      </c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>
        <v>2.5</v>
      </c>
      <c r="BX364" s="3">
        <v>2.5</v>
      </c>
      <c r="BY364" s="72"/>
      <c r="BZ364" s="72">
        <v>2.5</v>
      </c>
      <c r="CA364" s="72"/>
      <c r="CB364" s="72"/>
      <c r="CC364" s="72"/>
      <c r="CD364" s="72">
        <v>2.5</v>
      </c>
      <c r="CE364" s="72"/>
      <c r="CF364" s="72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DA364" s="139">
        <f t="shared" si="36"/>
        <v>1.7833333333333332</v>
      </c>
    </row>
    <row r="365" spans="1:105" ht="20" customHeight="1" x14ac:dyDescent="0.35">
      <c r="A365" s="5"/>
      <c r="B365" s="79" t="s">
        <v>852</v>
      </c>
      <c r="C365" s="79" t="s">
        <v>511</v>
      </c>
      <c r="D365" s="88" t="s">
        <v>425</v>
      </c>
      <c r="E365" s="88" t="s">
        <v>425</v>
      </c>
      <c r="F365" s="65" t="s">
        <v>73</v>
      </c>
      <c r="G365" s="65" t="s">
        <v>41</v>
      </c>
      <c r="H365" s="145"/>
      <c r="I365" s="89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87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1"/>
      <c r="AL365" s="1"/>
      <c r="AM365" s="1"/>
      <c r="AN365" s="1"/>
      <c r="AO365" s="1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3"/>
      <c r="BY365" s="72"/>
      <c r="BZ365" s="72"/>
      <c r="CA365" s="72"/>
      <c r="CB365" s="72"/>
      <c r="CC365" s="72"/>
      <c r="CD365" s="72"/>
      <c r="CE365" s="72"/>
      <c r="CF365" s="72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</row>
    <row r="366" spans="1:105" ht="20" customHeight="1" x14ac:dyDescent="0.35">
      <c r="A366" s="65"/>
      <c r="B366" s="79" t="s">
        <v>853</v>
      </c>
      <c r="C366" s="79" t="s">
        <v>205</v>
      </c>
      <c r="D366" s="88" t="s">
        <v>35</v>
      </c>
      <c r="E366" s="88" t="s">
        <v>463</v>
      </c>
      <c r="F366" s="65" t="s">
        <v>73</v>
      </c>
      <c r="G366" s="65" t="s">
        <v>41</v>
      </c>
      <c r="H366" s="140">
        <f>120/27</f>
        <v>4.4444444444444446</v>
      </c>
      <c r="I366" s="89"/>
      <c r="J366" s="3"/>
      <c r="K366" s="3">
        <v>5.5</v>
      </c>
      <c r="L366" s="3"/>
      <c r="M366" s="3"/>
      <c r="N366" s="89">
        <v>5.2</v>
      </c>
      <c r="O366" s="3">
        <v>5.2</v>
      </c>
      <c r="P366" s="89">
        <v>5.2</v>
      </c>
      <c r="Q366" s="3">
        <v>5.5</v>
      </c>
      <c r="R366" s="3"/>
      <c r="S366" s="3">
        <v>6</v>
      </c>
      <c r="T366" s="3"/>
      <c r="U366" s="3"/>
      <c r="V366" s="87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1"/>
      <c r="AL366" s="1"/>
      <c r="AM366" s="1">
        <v>5.2</v>
      </c>
      <c r="AN366" s="1"/>
      <c r="AO366" s="1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3"/>
      <c r="BY366" s="72"/>
      <c r="BZ366" s="72">
        <v>5.2</v>
      </c>
      <c r="CA366" s="72"/>
      <c r="CB366" s="72"/>
      <c r="CC366" s="72"/>
      <c r="CD366" s="72"/>
      <c r="CE366" s="72"/>
      <c r="CF366" s="72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DA366" s="139">
        <f t="shared" ref="DA366:DA371" si="37">H366</f>
        <v>4.4444444444444446</v>
      </c>
    </row>
    <row r="367" spans="1:105" ht="20" customHeight="1" x14ac:dyDescent="0.35">
      <c r="A367" s="65" t="s">
        <v>75</v>
      </c>
      <c r="B367" s="79" t="s">
        <v>854</v>
      </c>
      <c r="C367" s="79" t="s">
        <v>205</v>
      </c>
      <c r="D367" s="88" t="s">
        <v>425</v>
      </c>
      <c r="E367" s="88" t="s">
        <v>425</v>
      </c>
      <c r="F367" s="65" t="s">
        <v>73</v>
      </c>
      <c r="G367" s="65" t="s">
        <v>41</v>
      </c>
      <c r="H367" s="73">
        <v>2.1</v>
      </c>
      <c r="I367" s="89">
        <v>4</v>
      </c>
      <c r="J367" s="3">
        <v>3</v>
      </c>
      <c r="K367" s="3"/>
      <c r="L367" s="3"/>
      <c r="M367" s="3"/>
      <c r="N367" s="3"/>
      <c r="O367" s="3">
        <v>3.2</v>
      </c>
      <c r="P367" s="3"/>
      <c r="Q367" s="3"/>
      <c r="R367" s="3"/>
      <c r="S367" s="3"/>
      <c r="T367" s="3"/>
      <c r="U367" s="3"/>
      <c r="V367" s="87"/>
      <c r="W367" s="3"/>
      <c r="X367" s="3"/>
      <c r="Y367" s="3"/>
      <c r="Z367" s="3"/>
      <c r="AA367" s="3"/>
      <c r="AB367" s="3"/>
      <c r="AC367" s="3">
        <v>3</v>
      </c>
      <c r="AD367" s="3"/>
      <c r="AE367" s="3"/>
      <c r="AF367" s="3"/>
      <c r="AG367" s="3"/>
      <c r="AH367" s="3"/>
      <c r="AI367" s="3"/>
      <c r="AJ367" s="3">
        <v>3.2</v>
      </c>
      <c r="AK367" s="1"/>
      <c r="AL367" s="1"/>
      <c r="AM367" s="1"/>
      <c r="AN367" s="1"/>
      <c r="AO367" s="1"/>
      <c r="AP367" s="3">
        <v>3</v>
      </c>
      <c r="AQ367" s="3">
        <v>3</v>
      </c>
      <c r="AR367" s="3">
        <v>3</v>
      </c>
      <c r="AS367" s="3"/>
      <c r="AT367" s="3">
        <v>3</v>
      </c>
      <c r="AU367" s="3">
        <v>3</v>
      </c>
      <c r="AV367" s="3">
        <v>3</v>
      </c>
      <c r="AW367" s="3">
        <v>3</v>
      </c>
      <c r="AX367" s="3">
        <v>3</v>
      </c>
      <c r="AY367" s="3">
        <v>3</v>
      </c>
      <c r="AZ367" s="3">
        <v>3</v>
      </c>
      <c r="BA367" s="3">
        <v>3</v>
      </c>
      <c r="BB367" s="3"/>
      <c r="BC367" s="3">
        <v>3</v>
      </c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3">
        <v>3</v>
      </c>
      <c r="BY367" s="72"/>
      <c r="BZ367" s="72"/>
      <c r="CA367" s="72"/>
      <c r="CB367" s="72"/>
      <c r="CC367" s="72"/>
      <c r="CD367" s="72"/>
      <c r="CE367" s="72"/>
      <c r="CF367" s="72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DA367" s="139">
        <f t="shared" si="37"/>
        <v>2.1</v>
      </c>
    </row>
    <row r="368" spans="1:105" ht="20" customHeight="1" x14ac:dyDescent="0.35">
      <c r="A368" s="65">
        <v>4000006639</v>
      </c>
      <c r="B368" s="79" t="s">
        <v>855</v>
      </c>
      <c r="C368" s="79" t="s">
        <v>993</v>
      </c>
      <c r="D368" s="91" t="s">
        <v>250</v>
      </c>
      <c r="E368" s="88" t="s">
        <v>463</v>
      </c>
      <c r="F368" s="65" t="s">
        <v>73</v>
      </c>
      <c r="G368" s="65" t="s">
        <v>41</v>
      </c>
      <c r="H368" s="73">
        <v>5.5</v>
      </c>
      <c r="I368" s="3"/>
      <c r="J368" s="3"/>
      <c r="K368" s="3">
        <v>6.8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87"/>
      <c r="W368" s="3"/>
      <c r="X368" s="3">
        <v>6.8</v>
      </c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1"/>
      <c r="AL368" s="1"/>
      <c r="AM368" s="1"/>
      <c r="AN368" s="1"/>
      <c r="AO368" s="1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3"/>
      <c r="BY368" s="72"/>
      <c r="BZ368" s="72"/>
      <c r="CA368" s="72"/>
      <c r="CB368" s="72"/>
      <c r="CC368" s="72"/>
      <c r="CD368" s="72"/>
      <c r="CE368" s="72"/>
      <c r="CF368" s="72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DA368" s="139">
        <f t="shared" si="37"/>
        <v>5.5</v>
      </c>
    </row>
    <row r="369" spans="1:105" ht="20" customHeight="1" x14ac:dyDescent="0.35">
      <c r="A369" s="65" t="s">
        <v>72</v>
      </c>
      <c r="B369" s="79" t="s">
        <v>856</v>
      </c>
      <c r="C369" s="79" t="s">
        <v>206</v>
      </c>
      <c r="D369" s="88" t="s">
        <v>425</v>
      </c>
      <c r="E369" s="65" t="s">
        <v>35</v>
      </c>
      <c r="F369" s="65" t="s">
        <v>33</v>
      </c>
      <c r="G369" s="65" t="s">
        <v>41</v>
      </c>
      <c r="H369" s="73">
        <v>1.1000000000000001</v>
      </c>
      <c r="I369" s="89">
        <v>1.8</v>
      </c>
      <c r="J369" s="3">
        <v>1.8</v>
      </c>
      <c r="K369" s="3"/>
      <c r="L369" s="3"/>
      <c r="M369" s="3"/>
      <c r="N369" s="3"/>
      <c r="O369" s="3">
        <v>2</v>
      </c>
      <c r="P369" s="89">
        <v>1.8</v>
      </c>
      <c r="Q369" s="3">
        <v>1.8</v>
      </c>
      <c r="R369" s="3"/>
      <c r="S369" s="3">
        <v>2.5</v>
      </c>
      <c r="T369" s="3"/>
      <c r="U369" s="3"/>
      <c r="V369" s="87"/>
      <c r="W369" s="3"/>
      <c r="X369" s="3"/>
      <c r="Y369" s="3">
        <v>2</v>
      </c>
      <c r="Z369" s="3"/>
      <c r="AA369" s="3"/>
      <c r="AB369" s="3"/>
      <c r="AC369" s="3">
        <v>1.8</v>
      </c>
      <c r="AD369" s="3"/>
      <c r="AE369" s="3"/>
      <c r="AF369" s="3">
        <v>1.8</v>
      </c>
      <c r="AG369" s="3"/>
      <c r="AH369" s="3"/>
      <c r="AI369" s="3"/>
      <c r="AJ369" s="3"/>
      <c r="AK369" s="1"/>
      <c r="AL369" s="1"/>
      <c r="AM369" s="1">
        <v>1.8</v>
      </c>
      <c r="AN369" s="1"/>
      <c r="AO369" s="3">
        <v>1.8</v>
      </c>
      <c r="AP369" s="3">
        <v>1.8</v>
      </c>
      <c r="AQ369" s="3">
        <v>1.8</v>
      </c>
      <c r="AR369" s="3">
        <v>1.8</v>
      </c>
      <c r="AS369" s="3"/>
      <c r="AT369" s="3">
        <v>1.8</v>
      </c>
      <c r="AU369" s="3">
        <v>1.8</v>
      </c>
      <c r="AV369" s="3">
        <v>1.8</v>
      </c>
      <c r="AW369" s="3">
        <v>1.8</v>
      </c>
      <c r="AX369" s="3">
        <v>1.8</v>
      </c>
      <c r="AY369" s="3">
        <v>1.8</v>
      </c>
      <c r="AZ369" s="3">
        <v>1.8</v>
      </c>
      <c r="BA369" s="3">
        <v>1.8</v>
      </c>
      <c r="BB369" s="3"/>
      <c r="BC369" s="3">
        <v>1.5</v>
      </c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>
        <v>1.8</v>
      </c>
      <c r="BV369" s="1"/>
      <c r="BW369" s="1"/>
      <c r="BX369" s="3">
        <f>J369</f>
        <v>1.8</v>
      </c>
      <c r="BY369" s="72"/>
      <c r="BZ369" s="72">
        <v>2</v>
      </c>
      <c r="CA369" s="72"/>
      <c r="CB369" s="72"/>
      <c r="CC369" s="72"/>
      <c r="CD369" s="72"/>
      <c r="CE369" s="72"/>
      <c r="CF369" s="72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DA369" s="139">
        <f t="shared" si="37"/>
        <v>1.1000000000000001</v>
      </c>
    </row>
    <row r="370" spans="1:105" ht="20" customHeight="1" x14ac:dyDescent="0.35">
      <c r="A370" s="65" t="s">
        <v>83</v>
      </c>
      <c r="B370" s="79" t="s">
        <v>857</v>
      </c>
      <c r="C370" s="79" t="s">
        <v>247</v>
      </c>
      <c r="D370" s="88" t="s">
        <v>425</v>
      </c>
      <c r="E370" s="65" t="s">
        <v>35</v>
      </c>
      <c r="F370" s="65" t="s">
        <v>33</v>
      </c>
      <c r="G370" s="65" t="s">
        <v>41</v>
      </c>
      <c r="H370" s="73">
        <v>2.2999999999999998</v>
      </c>
      <c r="I370" s="89">
        <v>2.8</v>
      </c>
      <c r="J370" s="3">
        <v>2.8</v>
      </c>
      <c r="K370" s="3"/>
      <c r="L370" s="3"/>
      <c r="M370" s="3"/>
      <c r="N370" s="89">
        <v>2.7</v>
      </c>
      <c r="O370" s="3">
        <v>3</v>
      </c>
      <c r="P370" s="89">
        <v>2.5</v>
      </c>
      <c r="Q370" s="3">
        <v>2.5</v>
      </c>
      <c r="R370" s="3"/>
      <c r="S370" s="3">
        <v>3</v>
      </c>
      <c r="T370" s="3"/>
      <c r="U370" s="3"/>
      <c r="V370" s="87"/>
      <c r="W370" s="3"/>
      <c r="X370" s="3"/>
      <c r="Y370" s="3"/>
      <c r="Z370" s="3"/>
      <c r="AA370" s="3"/>
      <c r="AB370" s="3"/>
      <c r="AC370" s="3">
        <v>2.8</v>
      </c>
      <c r="AD370" s="3"/>
      <c r="AE370" s="3"/>
      <c r="AF370" s="3">
        <v>2.8</v>
      </c>
      <c r="AG370" s="3"/>
      <c r="AH370" s="3"/>
      <c r="AI370" s="3"/>
      <c r="AJ370" s="3"/>
      <c r="AK370" s="1"/>
      <c r="AL370" s="1"/>
      <c r="AM370" s="1"/>
      <c r="AN370" s="1"/>
      <c r="AO370" s="3">
        <v>2.8</v>
      </c>
      <c r="AP370" s="3">
        <v>2.8</v>
      </c>
      <c r="AQ370" s="3">
        <v>2.8</v>
      </c>
      <c r="AR370" s="3">
        <v>2.8</v>
      </c>
      <c r="AS370" s="3"/>
      <c r="AT370" s="3">
        <v>2.8</v>
      </c>
      <c r="AU370" s="3">
        <v>2.8</v>
      </c>
      <c r="AV370" s="3">
        <v>2.8</v>
      </c>
      <c r="AW370" s="3">
        <v>2.8</v>
      </c>
      <c r="AX370" s="3">
        <v>2.8</v>
      </c>
      <c r="AY370" s="3">
        <v>2.8</v>
      </c>
      <c r="AZ370" s="3">
        <v>2.8</v>
      </c>
      <c r="BA370" s="3">
        <v>2.8</v>
      </c>
      <c r="BB370" s="3"/>
      <c r="BC370" s="3">
        <v>2.5</v>
      </c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>
        <v>2.5</v>
      </c>
      <c r="BV370" s="1"/>
      <c r="BW370" s="1"/>
      <c r="BX370" s="3">
        <f>J370</f>
        <v>2.8</v>
      </c>
      <c r="BY370" s="72"/>
      <c r="BZ370" s="72">
        <v>3</v>
      </c>
      <c r="CA370" s="72"/>
      <c r="CB370" s="72"/>
      <c r="CC370" s="72"/>
      <c r="CD370" s="72"/>
      <c r="CE370" s="72"/>
      <c r="CF370" s="72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DA370" s="139">
        <f t="shared" si="37"/>
        <v>2.2999999999999998</v>
      </c>
    </row>
    <row r="371" spans="1:105" ht="20" customHeight="1" x14ac:dyDescent="0.35">
      <c r="A371" s="5"/>
      <c r="B371" s="79" t="s">
        <v>860</v>
      </c>
      <c r="C371" s="79" t="s">
        <v>207</v>
      </c>
      <c r="D371" s="65" t="s">
        <v>461</v>
      </c>
      <c r="E371" s="65" t="s">
        <v>461</v>
      </c>
      <c r="F371" s="55" t="s">
        <v>73</v>
      </c>
      <c r="G371" s="65" t="s">
        <v>50</v>
      </c>
      <c r="H371" s="73">
        <f>26/9</f>
        <v>2.8888888888888888</v>
      </c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87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1"/>
      <c r="AL371" s="1"/>
      <c r="AM371" s="1"/>
      <c r="AN371" s="1"/>
      <c r="AO371" s="1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3"/>
      <c r="BY371" s="72"/>
      <c r="BZ371" s="72"/>
      <c r="CA371" s="72"/>
      <c r="CB371" s="72"/>
      <c r="CC371" s="72"/>
      <c r="CD371" s="72"/>
      <c r="CE371" s="72"/>
      <c r="CF371" s="72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DA371" s="139">
        <f t="shared" si="37"/>
        <v>2.8888888888888888</v>
      </c>
    </row>
    <row r="372" spans="1:105" ht="20" customHeight="1" x14ac:dyDescent="0.35">
      <c r="A372" s="5"/>
      <c r="B372" s="79" t="s">
        <v>861</v>
      </c>
      <c r="C372" s="79" t="s">
        <v>862</v>
      </c>
      <c r="D372" s="65" t="s">
        <v>425</v>
      </c>
      <c r="E372" s="65" t="s">
        <v>425</v>
      </c>
      <c r="F372" s="55" t="s">
        <v>255</v>
      </c>
      <c r="G372" s="65"/>
      <c r="H372" s="86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87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1"/>
      <c r="AL372" s="1"/>
      <c r="AM372" s="1"/>
      <c r="AN372" s="1"/>
      <c r="AO372" s="1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3"/>
      <c r="BY372" s="72"/>
      <c r="BZ372" s="72"/>
      <c r="CA372" s="72"/>
      <c r="CB372" s="72"/>
      <c r="CC372" s="72"/>
      <c r="CD372" s="72"/>
      <c r="CE372" s="72"/>
      <c r="CF372" s="72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DA372" s="66">
        <v>0</v>
      </c>
    </row>
    <row r="373" spans="1:105" ht="20" customHeight="1" x14ac:dyDescent="0.35">
      <c r="A373" s="65" t="s">
        <v>70</v>
      </c>
      <c r="B373" s="79" t="s">
        <v>858</v>
      </c>
      <c r="C373" s="79" t="s">
        <v>209</v>
      </c>
      <c r="D373" s="88" t="s">
        <v>425</v>
      </c>
      <c r="E373" s="65" t="s">
        <v>35</v>
      </c>
      <c r="F373" s="65" t="s">
        <v>33</v>
      </c>
      <c r="G373" s="65" t="s">
        <v>41</v>
      </c>
      <c r="H373" s="86">
        <v>3</v>
      </c>
      <c r="I373" s="89">
        <v>4</v>
      </c>
      <c r="J373" s="3">
        <v>4</v>
      </c>
      <c r="K373" s="3"/>
      <c r="L373" s="3">
        <v>4</v>
      </c>
      <c r="M373" s="3"/>
      <c r="N373" s="3"/>
      <c r="O373" s="3">
        <v>4</v>
      </c>
      <c r="P373" s="89">
        <v>4</v>
      </c>
      <c r="Q373" s="3">
        <v>4</v>
      </c>
      <c r="R373" s="3"/>
      <c r="S373" s="3"/>
      <c r="T373" s="3"/>
      <c r="U373" s="3"/>
      <c r="V373" s="87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1"/>
      <c r="AL373" s="1"/>
      <c r="AM373" s="1">
        <v>4</v>
      </c>
      <c r="AN373" s="1"/>
      <c r="AO373" s="1"/>
      <c r="AP373" s="3">
        <v>4</v>
      </c>
      <c r="AQ373" s="3">
        <v>4</v>
      </c>
      <c r="AR373" s="3">
        <v>4</v>
      </c>
      <c r="AS373" s="3"/>
      <c r="AT373" s="3">
        <v>4</v>
      </c>
      <c r="AU373" s="3">
        <v>4</v>
      </c>
      <c r="AV373" s="3">
        <v>4</v>
      </c>
      <c r="AW373" s="3">
        <v>4</v>
      </c>
      <c r="AX373" s="3">
        <v>4</v>
      </c>
      <c r="AY373" s="3">
        <v>4</v>
      </c>
      <c r="AZ373" s="3">
        <v>4</v>
      </c>
      <c r="BA373" s="3">
        <v>4</v>
      </c>
      <c r="BB373" s="3"/>
      <c r="BC373" s="3">
        <v>4</v>
      </c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3"/>
      <c r="BY373" s="72"/>
      <c r="BZ373" s="72">
        <v>4</v>
      </c>
      <c r="CA373" s="72"/>
      <c r="CB373" s="72"/>
      <c r="CC373" s="72"/>
      <c r="CD373" s="72"/>
      <c r="CE373" s="72"/>
      <c r="CF373" s="72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DA373" s="66">
        <f t="shared" ref="DA373:DA383" si="38">H373</f>
        <v>3</v>
      </c>
    </row>
    <row r="374" spans="1:105" ht="20" customHeight="1" x14ac:dyDescent="0.35">
      <c r="A374" s="65"/>
      <c r="B374" s="79" t="s">
        <v>863</v>
      </c>
      <c r="C374" s="79" t="s">
        <v>864</v>
      </c>
      <c r="D374" s="65"/>
      <c r="E374" s="65" t="s">
        <v>425</v>
      </c>
      <c r="F374" s="55" t="s">
        <v>33</v>
      </c>
      <c r="G374" s="65"/>
      <c r="H374" s="73">
        <v>4</v>
      </c>
      <c r="I374" s="89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87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1"/>
      <c r="AL374" s="1"/>
      <c r="AM374" s="1"/>
      <c r="AN374" s="1"/>
      <c r="AO374" s="1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3"/>
      <c r="BY374" s="72"/>
      <c r="BZ374" s="72"/>
      <c r="CA374" s="72"/>
      <c r="CB374" s="72"/>
      <c r="CC374" s="72"/>
      <c r="CD374" s="72"/>
      <c r="CE374" s="72"/>
      <c r="CF374" s="72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DA374" s="139">
        <f t="shared" si="38"/>
        <v>4</v>
      </c>
    </row>
    <row r="375" spans="1:105" ht="20" customHeight="1" x14ac:dyDescent="0.35">
      <c r="A375" s="65" t="s">
        <v>388</v>
      </c>
      <c r="B375" s="79" t="s">
        <v>865</v>
      </c>
      <c r="C375" s="79" t="s">
        <v>385</v>
      </c>
      <c r="D375" s="88" t="s">
        <v>425</v>
      </c>
      <c r="E375" s="65" t="s">
        <v>35</v>
      </c>
      <c r="F375" s="65" t="s">
        <v>386</v>
      </c>
      <c r="G375" s="65" t="s">
        <v>387</v>
      </c>
      <c r="H375" s="86">
        <v>3.6</v>
      </c>
      <c r="I375" s="89">
        <v>15</v>
      </c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87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1"/>
      <c r="AL375" s="1"/>
      <c r="AM375" s="1"/>
      <c r="AN375" s="1"/>
      <c r="AO375" s="1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1">
        <v>15</v>
      </c>
      <c r="BV375" s="1"/>
      <c r="BW375" s="1"/>
      <c r="BX375" s="3"/>
      <c r="BY375" s="72"/>
      <c r="BZ375" s="72"/>
      <c r="CA375" s="72"/>
      <c r="CB375" s="72"/>
      <c r="CC375" s="72"/>
      <c r="CD375" s="72"/>
      <c r="CE375" s="72"/>
      <c r="CF375" s="72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DA375" s="66">
        <f t="shared" si="38"/>
        <v>3.6</v>
      </c>
    </row>
    <row r="376" spans="1:105" ht="20" customHeight="1" x14ac:dyDescent="0.35">
      <c r="A376" s="65" t="s">
        <v>76</v>
      </c>
      <c r="B376" s="79" t="s">
        <v>859</v>
      </c>
      <c r="C376" s="79" t="s">
        <v>210</v>
      </c>
      <c r="D376" s="88" t="s">
        <v>380</v>
      </c>
      <c r="E376" s="65" t="s">
        <v>35</v>
      </c>
      <c r="F376" s="65" t="s">
        <v>100</v>
      </c>
      <c r="G376" s="65" t="s">
        <v>101</v>
      </c>
      <c r="H376" s="73">
        <v>0.45</v>
      </c>
      <c r="I376" s="89">
        <v>0.5</v>
      </c>
      <c r="J376" s="3"/>
      <c r="K376" s="3"/>
      <c r="L376" s="3"/>
      <c r="M376" s="3"/>
      <c r="N376" s="3"/>
      <c r="O376" s="3"/>
      <c r="P376" s="3"/>
      <c r="Q376" s="72">
        <v>0.55000000000000004</v>
      </c>
      <c r="R376" s="3"/>
      <c r="S376" s="3"/>
      <c r="T376" s="3"/>
      <c r="U376" s="3"/>
      <c r="V376" s="87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72">
        <v>0.55000000000000004</v>
      </c>
      <c r="AK376" s="1"/>
      <c r="AL376" s="1"/>
      <c r="AM376" s="1"/>
      <c r="AN376" s="1"/>
      <c r="AO376" s="1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3"/>
      <c r="BY376" s="72"/>
      <c r="BZ376" s="72"/>
      <c r="CA376" s="72">
        <v>0.7</v>
      </c>
      <c r="CB376" s="72"/>
      <c r="CC376" s="72"/>
      <c r="CD376" s="72"/>
      <c r="CE376" s="72"/>
      <c r="CF376" s="72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DA376" s="139">
        <f t="shared" si="38"/>
        <v>0.45</v>
      </c>
    </row>
    <row r="377" spans="1:105" ht="20" customHeight="1" x14ac:dyDescent="0.35">
      <c r="A377" s="65" t="s">
        <v>1109</v>
      </c>
      <c r="B377" s="79" t="s">
        <v>1110</v>
      </c>
      <c r="C377" s="79" t="s">
        <v>1111</v>
      </c>
      <c r="D377" s="88" t="s">
        <v>380</v>
      </c>
      <c r="E377" s="65" t="s">
        <v>35</v>
      </c>
      <c r="F377" s="65" t="s">
        <v>33</v>
      </c>
      <c r="G377" s="65" t="s">
        <v>101</v>
      </c>
      <c r="H377" s="73">
        <f>1.6</f>
        <v>1.6</v>
      </c>
      <c r="I377" s="89">
        <v>2.5</v>
      </c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87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1"/>
      <c r="AL377" s="1"/>
      <c r="AM377" s="1"/>
      <c r="AN377" s="1"/>
      <c r="AO377" s="1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3"/>
      <c r="BY377" s="72"/>
      <c r="BZ377" s="72"/>
      <c r="CA377" s="72"/>
      <c r="CB377" s="72"/>
      <c r="CC377" s="72"/>
      <c r="CD377" s="72"/>
      <c r="CE377" s="72"/>
      <c r="CF377" s="72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DA377" s="139">
        <f t="shared" si="38"/>
        <v>1.6</v>
      </c>
    </row>
    <row r="378" spans="1:105" ht="20" customHeight="1" x14ac:dyDescent="0.35">
      <c r="A378" s="65"/>
      <c r="B378" s="79" t="s">
        <v>1202</v>
      </c>
      <c r="C378" s="79" t="s">
        <v>1203</v>
      </c>
      <c r="D378" s="88" t="s">
        <v>380</v>
      </c>
      <c r="E378" s="65" t="s">
        <v>35</v>
      </c>
      <c r="F378" s="65" t="s">
        <v>33</v>
      </c>
      <c r="G378" s="65" t="s">
        <v>41</v>
      </c>
      <c r="H378" s="73"/>
      <c r="I378" s="89">
        <v>4.5</v>
      </c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87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1"/>
      <c r="AL378" s="1"/>
      <c r="AM378" s="1"/>
      <c r="AN378" s="1"/>
      <c r="AO378" s="1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3"/>
      <c r="BY378" s="72"/>
      <c r="BZ378" s="72"/>
      <c r="CA378" s="72"/>
      <c r="CB378" s="72"/>
      <c r="CC378" s="72"/>
      <c r="CD378" s="72"/>
      <c r="CE378" s="72"/>
      <c r="CF378" s="72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DA378" s="139"/>
    </row>
    <row r="379" spans="1:105" ht="20.25" customHeight="1" x14ac:dyDescent="0.35">
      <c r="A379" s="65" t="s">
        <v>907</v>
      </c>
      <c r="B379" s="79" t="s">
        <v>866</v>
      </c>
      <c r="C379" s="79" t="s">
        <v>317</v>
      </c>
      <c r="D379" s="88" t="s">
        <v>425</v>
      </c>
      <c r="E379" s="65" t="s">
        <v>307</v>
      </c>
      <c r="F379" s="65" t="s">
        <v>92</v>
      </c>
      <c r="G379" s="65" t="s">
        <v>42</v>
      </c>
      <c r="H379" s="73">
        <f>22.08/12</f>
        <v>1.8399999999999999</v>
      </c>
      <c r="I379" s="89">
        <v>2.2999999999999998</v>
      </c>
      <c r="J379" s="3">
        <v>2.5</v>
      </c>
      <c r="K379" s="3"/>
      <c r="L379" s="3"/>
      <c r="M379" s="3">
        <v>2.5</v>
      </c>
      <c r="N379" s="89">
        <v>2.5</v>
      </c>
      <c r="O379" s="3">
        <v>2.5</v>
      </c>
      <c r="P379" s="89">
        <v>2.5</v>
      </c>
      <c r="Q379" s="3">
        <v>2.5</v>
      </c>
      <c r="R379" s="3">
        <v>2.5</v>
      </c>
      <c r="S379" s="3">
        <v>3</v>
      </c>
      <c r="T379" s="3"/>
      <c r="U379" s="3">
        <v>2.5</v>
      </c>
      <c r="V379" s="87">
        <v>2.5</v>
      </c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>
        <v>3</v>
      </c>
      <c r="AK379" s="1"/>
      <c r="AL379" s="1"/>
      <c r="AM379" s="1">
        <v>2.5</v>
      </c>
      <c r="AN379" s="1"/>
      <c r="AO379" s="1"/>
      <c r="AP379" s="3">
        <v>2.5</v>
      </c>
      <c r="AQ379" s="3">
        <v>2.5</v>
      </c>
      <c r="AR379" s="3">
        <v>2.5</v>
      </c>
      <c r="AS379" s="3"/>
      <c r="AT379" s="3">
        <v>2.5</v>
      </c>
      <c r="AU379" s="3">
        <v>2.5</v>
      </c>
      <c r="AV379" s="3">
        <v>2.5</v>
      </c>
      <c r="AW379" s="3">
        <v>2.5</v>
      </c>
      <c r="AX379" s="3">
        <v>2.5</v>
      </c>
      <c r="AY379" s="3">
        <v>2.5</v>
      </c>
      <c r="AZ379" s="3">
        <v>2.5</v>
      </c>
      <c r="BA379" s="3">
        <v>2.5</v>
      </c>
      <c r="BB379" s="3"/>
      <c r="BC379" s="3">
        <v>2.5</v>
      </c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>
        <v>2.5</v>
      </c>
      <c r="BV379" s="1"/>
      <c r="BW379" s="1"/>
      <c r="BX379" s="3">
        <v>2.5</v>
      </c>
      <c r="BY379" s="72"/>
      <c r="BZ379" s="72">
        <v>2.5</v>
      </c>
      <c r="CA379" s="72"/>
      <c r="CB379" s="72">
        <v>3</v>
      </c>
      <c r="CC379" s="72"/>
      <c r="CD379" s="72"/>
      <c r="CE379" s="72"/>
      <c r="CF379" s="72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DA379" s="139">
        <f t="shared" si="38"/>
        <v>1.8399999999999999</v>
      </c>
    </row>
    <row r="380" spans="1:105" ht="20.25" customHeight="1" x14ac:dyDescent="0.35">
      <c r="A380" s="65" t="s">
        <v>91</v>
      </c>
      <c r="B380" s="79" t="s">
        <v>867</v>
      </c>
      <c r="C380" s="79" t="s">
        <v>317</v>
      </c>
      <c r="D380" s="88" t="s">
        <v>425</v>
      </c>
      <c r="E380" s="65" t="s">
        <v>308</v>
      </c>
      <c r="F380" s="65" t="s">
        <v>92</v>
      </c>
      <c r="G380" s="65" t="s">
        <v>118</v>
      </c>
      <c r="H380" s="73">
        <f>22.08/12</f>
        <v>1.8399999999999999</v>
      </c>
      <c r="I380" s="89">
        <v>2.2999999999999998</v>
      </c>
      <c r="J380" s="3">
        <v>2.5</v>
      </c>
      <c r="K380" s="3"/>
      <c r="L380" s="3"/>
      <c r="M380" s="3">
        <v>2.5</v>
      </c>
      <c r="N380" s="89">
        <v>2.5</v>
      </c>
      <c r="O380" s="3">
        <v>2.5</v>
      </c>
      <c r="P380" s="89">
        <v>2.5</v>
      </c>
      <c r="Q380" s="3">
        <v>2.5</v>
      </c>
      <c r="R380" s="3">
        <v>2.5</v>
      </c>
      <c r="S380" s="3">
        <v>3</v>
      </c>
      <c r="T380" s="3"/>
      <c r="U380" s="3">
        <v>2.5</v>
      </c>
      <c r="V380" s="87">
        <v>2.5</v>
      </c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>
        <v>3</v>
      </c>
      <c r="AK380" s="1"/>
      <c r="AL380" s="1"/>
      <c r="AM380" s="1">
        <v>2.5</v>
      </c>
      <c r="AN380" s="1"/>
      <c r="AO380" s="1"/>
      <c r="AP380" s="3">
        <v>2.5</v>
      </c>
      <c r="AQ380" s="3">
        <v>2.5</v>
      </c>
      <c r="AR380" s="3">
        <v>2.5</v>
      </c>
      <c r="AS380" s="3"/>
      <c r="AT380" s="3">
        <v>2.5</v>
      </c>
      <c r="AU380" s="3">
        <v>2.5</v>
      </c>
      <c r="AV380" s="3">
        <v>2.5</v>
      </c>
      <c r="AW380" s="3">
        <v>2.5</v>
      </c>
      <c r="AX380" s="3">
        <v>2.5</v>
      </c>
      <c r="AY380" s="3">
        <v>2.5</v>
      </c>
      <c r="AZ380" s="3">
        <v>2.5</v>
      </c>
      <c r="BA380" s="3">
        <v>2.5</v>
      </c>
      <c r="BB380" s="3"/>
      <c r="BC380" s="3">
        <v>2.5</v>
      </c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>
        <v>2.5</v>
      </c>
      <c r="BV380" s="1"/>
      <c r="BW380" s="1"/>
      <c r="BX380" s="3">
        <v>2.5</v>
      </c>
      <c r="BY380" s="72"/>
      <c r="BZ380" s="72">
        <v>2.5</v>
      </c>
      <c r="CA380" s="72"/>
      <c r="CB380" s="72">
        <v>3</v>
      </c>
      <c r="CC380" s="72"/>
      <c r="CD380" s="72"/>
      <c r="CE380" s="72"/>
      <c r="CF380" s="72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DA380" s="139">
        <f t="shared" si="38"/>
        <v>1.8399999999999999</v>
      </c>
    </row>
    <row r="381" spans="1:105" ht="20.25" customHeight="1" x14ac:dyDescent="0.35">
      <c r="A381" s="65"/>
      <c r="B381" s="79" t="s">
        <v>868</v>
      </c>
      <c r="C381" s="79" t="s">
        <v>317</v>
      </c>
      <c r="D381" s="88" t="s">
        <v>425</v>
      </c>
      <c r="E381" s="65" t="s">
        <v>309</v>
      </c>
      <c r="F381" s="65" t="s">
        <v>92</v>
      </c>
      <c r="G381" s="65" t="s">
        <v>118</v>
      </c>
      <c r="H381" s="73">
        <f>22.08/12</f>
        <v>1.8399999999999999</v>
      </c>
      <c r="I381" s="89">
        <v>2.2999999999999998</v>
      </c>
      <c r="J381" s="3">
        <v>2.5</v>
      </c>
      <c r="K381" s="3"/>
      <c r="L381" s="3"/>
      <c r="M381" s="3">
        <v>2.5</v>
      </c>
      <c r="N381" s="89">
        <v>2.5</v>
      </c>
      <c r="O381" s="3">
        <v>2.5</v>
      </c>
      <c r="P381" s="89">
        <v>2.5</v>
      </c>
      <c r="Q381" s="3">
        <v>2.5</v>
      </c>
      <c r="R381" s="3">
        <v>2.5</v>
      </c>
      <c r="S381" s="3">
        <v>3</v>
      </c>
      <c r="T381" s="3"/>
      <c r="U381" s="3">
        <v>2.5</v>
      </c>
      <c r="V381" s="87">
        <v>2.5</v>
      </c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>
        <v>3</v>
      </c>
      <c r="AK381" s="1"/>
      <c r="AL381" s="1"/>
      <c r="AM381" s="1">
        <v>2.5</v>
      </c>
      <c r="AN381" s="1"/>
      <c r="AO381" s="1"/>
      <c r="AP381" s="3">
        <v>2.5</v>
      </c>
      <c r="AQ381" s="3">
        <v>2.5</v>
      </c>
      <c r="AR381" s="3">
        <v>2.5</v>
      </c>
      <c r="AS381" s="3"/>
      <c r="AT381" s="3">
        <v>2.5</v>
      </c>
      <c r="AU381" s="3">
        <v>2.5</v>
      </c>
      <c r="AV381" s="3">
        <v>2.5</v>
      </c>
      <c r="AW381" s="3">
        <v>2.5</v>
      </c>
      <c r="AX381" s="3">
        <v>2.5</v>
      </c>
      <c r="AY381" s="3">
        <v>2.5</v>
      </c>
      <c r="AZ381" s="3">
        <v>2.5</v>
      </c>
      <c r="BA381" s="3">
        <v>2.5</v>
      </c>
      <c r="BB381" s="3"/>
      <c r="BC381" s="3">
        <v>2.5</v>
      </c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>
        <v>2.5</v>
      </c>
      <c r="BV381" s="1"/>
      <c r="BW381" s="1"/>
      <c r="BX381" s="3">
        <v>2.5</v>
      </c>
      <c r="BY381" s="72"/>
      <c r="BZ381" s="72">
        <v>2.5</v>
      </c>
      <c r="CA381" s="72"/>
      <c r="CB381" s="72">
        <v>3</v>
      </c>
      <c r="CC381" s="72"/>
      <c r="CD381" s="72"/>
      <c r="CE381" s="72"/>
      <c r="CF381" s="72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DA381" s="139">
        <f t="shared" si="38"/>
        <v>1.8399999999999999</v>
      </c>
    </row>
    <row r="382" spans="1:105" ht="20.25" customHeight="1" x14ac:dyDescent="0.35">
      <c r="A382" s="65"/>
      <c r="B382" s="79" t="s">
        <v>869</v>
      </c>
      <c r="C382" s="79" t="s">
        <v>317</v>
      </c>
      <c r="D382" s="88" t="s">
        <v>425</v>
      </c>
      <c r="E382" s="65" t="s">
        <v>316</v>
      </c>
      <c r="F382" s="65" t="s">
        <v>92</v>
      </c>
      <c r="G382" s="65" t="s">
        <v>32</v>
      </c>
      <c r="H382" s="86">
        <v>2.5</v>
      </c>
      <c r="I382" s="89">
        <v>4</v>
      </c>
      <c r="J382" s="3">
        <v>3.5</v>
      </c>
      <c r="K382" s="3"/>
      <c r="L382" s="3"/>
      <c r="M382" s="3">
        <v>4</v>
      </c>
      <c r="N382" s="3"/>
      <c r="O382" s="3">
        <v>4</v>
      </c>
      <c r="P382" s="3">
        <v>4</v>
      </c>
      <c r="Q382" s="3">
        <v>4</v>
      </c>
      <c r="R382" s="3">
        <v>4</v>
      </c>
      <c r="S382" s="3">
        <v>4</v>
      </c>
      <c r="T382" s="3"/>
      <c r="U382" s="3">
        <v>3.8</v>
      </c>
      <c r="V382" s="87">
        <v>4</v>
      </c>
      <c r="W382" s="3"/>
      <c r="X382" s="3"/>
      <c r="Y382" s="3"/>
      <c r="Z382" s="3"/>
      <c r="AA382" s="3"/>
      <c r="AB382" s="3"/>
      <c r="AC382" s="3"/>
      <c r="AD382" s="3"/>
      <c r="AE382" s="3">
        <v>4</v>
      </c>
      <c r="AF382" s="3"/>
      <c r="AG382" s="3"/>
      <c r="AH382" s="3"/>
      <c r="AI382" s="3"/>
      <c r="AJ382" s="3">
        <v>4</v>
      </c>
      <c r="AK382" s="1"/>
      <c r="AL382" s="1"/>
      <c r="AM382" s="1">
        <v>3.2</v>
      </c>
      <c r="AN382" s="1"/>
      <c r="AO382" s="1"/>
      <c r="AP382" s="3">
        <v>3.5</v>
      </c>
      <c r="AQ382" s="3">
        <v>3.5</v>
      </c>
      <c r="AR382" s="3">
        <v>3.5</v>
      </c>
      <c r="AS382" s="3"/>
      <c r="AT382" s="3">
        <v>3.5</v>
      </c>
      <c r="AU382" s="3">
        <v>3.5</v>
      </c>
      <c r="AV382" s="3">
        <v>3.5</v>
      </c>
      <c r="AW382" s="3">
        <v>3.5</v>
      </c>
      <c r="AX382" s="3">
        <v>3.5</v>
      </c>
      <c r="AY382" s="3">
        <v>3.5</v>
      </c>
      <c r="AZ382" s="3">
        <v>3.5</v>
      </c>
      <c r="BA382" s="3">
        <v>3.5</v>
      </c>
      <c r="BB382" s="3"/>
      <c r="BC382" s="3">
        <v>3.5</v>
      </c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>
        <v>4</v>
      </c>
      <c r="BV382" s="1"/>
      <c r="BW382" s="1"/>
      <c r="BX382" s="3">
        <v>3.5</v>
      </c>
      <c r="BY382" s="72"/>
      <c r="BZ382" s="72">
        <v>4</v>
      </c>
      <c r="CA382" s="72"/>
      <c r="CB382" s="72"/>
      <c r="CC382" s="72"/>
      <c r="CD382" s="72"/>
      <c r="CE382" s="72"/>
      <c r="CF382" s="72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DA382" s="66">
        <f t="shared" si="38"/>
        <v>2.5</v>
      </c>
    </row>
    <row r="383" spans="1:105" ht="20.25" customHeight="1" x14ac:dyDescent="0.35">
      <c r="A383" s="5"/>
      <c r="B383" s="79" t="s">
        <v>870</v>
      </c>
      <c r="C383" s="79" t="s">
        <v>288</v>
      </c>
      <c r="D383" s="65" t="s">
        <v>425</v>
      </c>
      <c r="E383" s="65" t="s">
        <v>307</v>
      </c>
      <c r="F383" s="65" t="s">
        <v>272</v>
      </c>
      <c r="G383" s="65" t="s">
        <v>118</v>
      </c>
      <c r="H383" s="86">
        <v>11.2</v>
      </c>
      <c r="I383" s="3">
        <v>0</v>
      </c>
      <c r="J383" s="3">
        <v>20</v>
      </c>
      <c r="K383" s="3"/>
      <c r="L383" s="3"/>
      <c r="M383" s="3"/>
      <c r="N383" s="89">
        <v>22</v>
      </c>
      <c r="O383" s="3">
        <v>22</v>
      </c>
      <c r="P383" s="3"/>
      <c r="Q383" s="3"/>
      <c r="R383" s="3"/>
      <c r="S383" s="3"/>
      <c r="T383" s="3"/>
      <c r="U383" s="3"/>
      <c r="V383" s="87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1"/>
      <c r="AL383" s="1"/>
      <c r="AM383" s="1"/>
      <c r="AN383" s="1"/>
      <c r="AO383" s="1">
        <v>20</v>
      </c>
      <c r="AP383" s="3">
        <v>20</v>
      </c>
      <c r="AQ383" s="3">
        <v>20</v>
      </c>
      <c r="AR383" s="3">
        <v>20</v>
      </c>
      <c r="AS383" s="3"/>
      <c r="AT383" s="3">
        <v>20</v>
      </c>
      <c r="AU383" s="3">
        <v>20</v>
      </c>
      <c r="AV383" s="3">
        <v>20</v>
      </c>
      <c r="AW383" s="3">
        <v>20</v>
      </c>
      <c r="AX383" s="3">
        <v>20</v>
      </c>
      <c r="AY383" s="3">
        <v>20</v>
      </c>
      <c r="AZ383" s="3">
        <v>20</v>
      </c>
      <c r="BA383" s="3">
        <v>20</v>
      </c>
      <c r="BB383" s="3"/>
      <c r="BC383" s="3">
        <v>20</v>
      </c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3"/>
      <c r="BY383" s="72"/>
      <c r="BZ383" s="72"/>
      <c r="CA383" s="72"/>
      <c r="CB383" s="72"/>
      <c r="CC383" s="72"/>
      <c r="CD383" s="72"/>
      <c r="CE383" s="72"/>
      <c r="CF383" s="72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DA383" s="66">
        <f t="shared" si="38"/>
        <v>11.2</v>
      </c>
    </row>
    <row r="384" spans="1:105" ht="20.25" customHeight="1" x14ac:dyDescent="0.35">
      <c r="A384" s="5"/>
      <c r="B384" s="79" t="s">
        <v>871</v>
      </c>
      <c r="C384" s="79" t="s">
        <v>288</v>
      </c>
      <c r="D384" s="91" t="s">
        <v>425</v>
      </c>
      <c r="E384" s="65" t="s">
        <v>308</v>
      </c>
      <c r="F384" s="65" t="s">
        <v>272</v>
      </c>
      <c r="G384" s="65" t="s">
        <v>118</v>
      </c>
      <c r="H384" s="86"/>
      <c r="I384" s="3"/>
      <c r="J384" s="3">
        <v>20</v>
      </c>
      <c r="K384" s="3"/>
      <c r="L384" s="3"/>
      <c r="M384" s="3"/>
      <c r="N384" s="3"/>
      <c r="O384" s="3">
        <v>20</v>
      </c>
      <c r="P384" s="3"/>
      <c r="Q384" s="3"/>
      <c r="R384" s="3"/>
      <c r="S384" s="3"/>
      <c r="T384" s="3"/>
      <c r="U384" s="3"/>
      <c r="V384" s="87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1"/>
      <c r="AL384" s="1"/>
      <c r="AM384" s="1"/>
      <c r="AN384" s="1"/>
      <c r="AO384" s="1"/>
      <c r="AP384" s="3">
        <v>20</v>
      </c>
      <c r="AQ384" s="3">
        <v>20</v>
      </c>
      <c r="AR384" s="3">
        <v>20</v>
      </c>
      <c r="AS384" s="3"/>
      <c r="AT384" s="3">
        <v>20</v>
      </c>
      <c r="AU384" s="3">
        <v>20</v>
      </c>
      <c r="AV384" s="3">
        <v>20</v>
      </c>
      <c r="AW384" s="3">
        <v>20</v>
      </c>
      <c r="AX384" s="3">
        <v>20</v>
      </c>
      <c r="AY384" s="3">
        <v>20</v>
      </c>
      <c r="AZ384" s="3">
        <v>20</v>
      </c>
      <c r="BA384" s="3">
        <v>20</v>
      </c>
      <c r="BB384" s="3"/>
      <c r="BC384" s="3">
        <v>20</v>
      </c>
      <c r="BD384" s="1"/>
      <c r="BE384" s="1"/>
      <c r="BF384" s="1"/>
      <c r="BG384" s="1">
        <v>22</v>
      </c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3"/>
      <c r="BY384" s="72"/>
      <c r="BZ384" s="72"/>
      <c r="CA384" s="72"/>
      <c r="CB384" s="72"/>
      <c r="CC384" s="72"/>
      <c r="CD384" s="72"/>
      <c r="CE384" s="72"/>
      <c r="CF384" s="72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DA384" s="66"/>
    </row>
    <row r="385" spans="1:105" ht="20.25" customHeight="1" x14ac:dyDescent="0.35">
      <c r="A385" s="5"/>
      <c r="B385" s="79" t="s">
        <v>872</v>
      </c>
      <c r="C385" s="79" t="s">
        <v>288</v>
      </c>
      <c r="D385" s="91"/>
      <c r="E385" s="65" t="s">
        <v>309</v>
      </c>
      <c r="F385" s="65" t="s">
        <v>272</v>
      </c>
      <c r="G385" s="65" t="s">
        <v>118</v>
      </c>
      <c r="H385" s="86"/>
      <c r="I385" s="3"/>
      <c r="J385" s="3"/>
      <c r="K385" s="3"/>
      <c r="L385" s="3"/>
      <c r="M385" s="3"/>
      <c r="N385" s="3"/>
      <c r="O385" s="3">
        <v>20</v>
      </c>
      <c r="P385" s="3"/>
      <c r="Q385" s="3"/>
      <c r="R385" s="3"/>
      <c r="S385" s="3"/>
      <c r="T385" s="3"/>
      <c r="U385" s="3"/>
      <c r="V385" s="87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1"/>
      <c r="AL385" s="1"/>
      <c r="AM385" s="1"/>
      <c r="AN385" s="1"/>
      <c r="AO385" s="1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1"/>
      <c r="BE385" s="1"/>
      <c r="BF385" s="1"/>
      <c r="BG385" s="1">
        <v>22</v>
      </c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3"/>
      <c r="BY385" s="72"/>
      <c r="BZ385" s="72"/>
      <c r="CA385" s="72"/>
      <c r="CB385" s="72"/>
      <c r="CC385" s="72"/>
      <c r="CD385" s="72"/>
      <c r="CE385" s="72"/>
      <c r="CF385" s="72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DA385" s="66"/>
    </row>
    <row r="386" spans="1:105" ht="20.25" customHeight="1" x14ac:dyDescent="0.35">
      <c r="A386" s="5"/>
      <c r="B386" s="79" t="s">
        <v>873</v>
      </c>
      <c r="C386" s="79" t="s">
        <v>267</v>
      </c>
      <c r="D386" s="79"/>
      <c r="E386" s="65" t="s">
        <v>316</v>
      </c>
      <c r="F386" s="65" t="s">
        <v>133</v>
      </c>
      <c r="G386" s="65" t="s">
        <v>118</v>
      </c>
      <c r="H386" s="73">
        <v>15.53</v>
      </c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87"/>
      <c r="W386" s="3"/>
      <c r="X386" s="3"/>
      <c r="Y386" s="3"/>
      <c r="Z386" s="3"/>
      <c r="AA386" s="3"/>
      <c r="AB386" s="3"/>
      <c r="AC386" s="3"/>
      <c r="AD386" s="3"/>
      <c r="AE386" s="3">
        <v>23</v>
      </c>
      <c r="AF386" s="3"/>
      <c r="AG386" s="3"/>
      <c r="AH386" s="3"/>
      <c r="AI386" s="3"/>
      <c r="AJ386" s="3"/>
      <c r="AK386" s="1"/>
      <c r="AL386" s="1"/>
      <c r="AM386" s="1"/>
      <c r="AN386" s="1"/>
      <c r="AO386" s="1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3"/>
      <c r="BY386" s="72"/>
      <c r="BZ386" s="72"/>
      <c r="CA386" s="72"/>
      <c r="CB386" s="72"/>
      <c r="CC386" s="72"/>
      <c r="CD386" s="72"/>
      <c r="CE386" s="72"/>
      <c r="CF386" s="72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DA386" s="139">
        <f t="shared" ref="DA386:DA391" si="39">H386</f>
        <v>15.53</v>
      </c>
    </row>
    <row r="387" spans="1:105" ht="20.25" customHeight="1" x14ac:dyDescent="0.35">
      <c r="A387" s="5"/>
      <c r="B387" s="79" t="s">
        <v>874</v>
      </c>
      <c r="C387" s="79" t="s">
        <v>181</v>
      </c>
      <c r="D387" s="65" t="s">
        <v>425</v>
      </c>
      <c r="E387" s="65" t="s">
        <v>134</v>
      </c>
      <c r="F387" s="65" t="s">
        <v>268</v>
      </c>
      <c r="G387" s="65" t="s">
        <v>118</v>
      </c>
      <c r="H387" s="73">
        <v>12.08</v>
      </c>
      <c r="I387" s="3"/>
      <c r="J387" s="3">
        <v>15</v>
      </c>
      <c r="K387" s="3"/>
      <c r="L387" s="3"/>
      <c r="M387" s="3"/>
      <c r="N387" s="89">
        <v>15</v>
      </c>
      <c r="O387" s="3">
        <v>13</v>
      </c>
      <c r="P387" s="89">
        <v>13</v>
      </c>
      <c r="Q387" s="3">
        <v>13</v>
      </c>
      <c r="R387" s="3">
        <v>13</v>
      </c>
      <c r="S387" s="3"/>
      <c r="T387" s="3"/>
      <c r="U387" s="3">
        <v>15</v>
      </c>
      <c r="V387" s="87"/>
      <c r="W387" s="3"/>
      <c r="X387" s="3"/>
      <c r="Y387" s="3"/>
      <c r="Z387" s="3"/>
      <c r="AA387" s="3"/>
      <c r="AB387" s="3">
        <v>15</v>
      </c>
      <c r="AC387" s="3"/>
      <c r="AD387" s="3"/>
      <c r="AE387" s="3">
        <v>18</v>
      </c>
      <c r="AF387" s="3"/>
      <c r="AG387" s="3"/>
      <c r="AH387" s="3"/>
      <c r="AI387" s="3"/>
      <c r="AJ387" s="3"/>
      <c r="AK387" s="1"/>
      <c r="AL387" s="1"/>
      <c r="AM387" s="1"/>
      <c r="AN387" s="1"/>
      <c r="AO387" s="1"/>
      <c r="AP387" s="3">
        <v>15</v>
      </c>
      <c r="AQ387" s="3">
        <v>15</v>
      </c>
      <c r="AR387" s="3">
        <v>15</v>
      </c>
      <c r="AS387" s="3"/>
      <c r="AT387" s="3">
        <v>15</v>
      </c>
      <c r="AU387" s="3">
        <v>15</v>
      </c>
      <c r="AV387" s="3">
        <v>15</v>
      </c>
      <c r="AW387" s="3">
        <v>15</v>
      </c>
      <c r="AX387" s="3">
        <v>15</v>
      </c>
      <c r="AY387" s="3">
        <v>15</v>
      </c>
      <c r="AZ387" s="3">
        <v>15</v>
      </c>
      <c r="BA387" s="3">
        <v>15</v>
      </c>
      <c r="BB387" s="3"/>
      <c r="BC387" s="3">
        <v>15</v>
      </c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3"/>
      <c r="BY387" s="72"/>
      <c r="BZ387" s="72">
        <v>15</v>
      </c>
      <c r="CA387" s="72"/>
      <c r="CB387" s="72"/>
      <c r="CC387" s="72"/>
      <c r="CD387" s="72"/>
      <c r="CE387" s="72"/>
      <c r="CF387" s="72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DA387" s="139">
        <f t="shared" si="39"/>
        <v>12.08</v>
      </c>
    </row>
    <row r="388" spans="1:105" ht="20.25" customHeight="1" x14ac:dyDescent="0.35">
      <c r="A388" s="5"/>
      <c r="B388" s="79" t="s">
        <v>875</v>
      </c>
      <c r="C388" s="79" t="s">
        <v>181</v>
      </c>
      <c r="D388" s="79"/>
      <c r="E388" s="65" t="s">
        <v>124</v>
      </c>
      <c r="F388" s="65" t="s">
        <v>268</v>
      </c>
      <c r="G388" s="65" t="s">
        <v>118</v>
      </c>
      <c r="H388" s="86">
        <v>16.100000000000001</v>
      </c>
      <c r="I388" s="3"/>
      <c r="J388" s="3"/>
      <c r="K388" s="3"/>
      <c r="L388" s="3"/>
      <c r="M388" s="3"/>
      <c r="N388" s="3"/>
      <c r="O388" s="3"/>
      <c r="P388" s="89">
        <v>22</v>
      </c>
      <c r="Q388" s="3"/>
      <c r="R388" s="3"/>
      <c r="S388" s="3"/>
      <c r="T388" s="3"/>
      <c r="U388" s="3"/>
      <c r="V388" s="87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1"/>
      <c r="AL388" s="1"/>
      <c r="AM388" s="1"/>
      <c r="AN388" s="1"/>
      <c r="AO388" s="1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3"/>
      <c r="BY388" s="72"/>
      <c r="BZ388" s="72"/>
      <c r="CA388" s="72"/>
      <c r="CB388" s="72"/>
      <c r="CC388" s="72"/>
      <c r="CD388" s="72"/>
      <c r="CE388" s="72"/>
      <c r="CF388" s="72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DA388" s="139">
        <f t="shared" si="39"/>
        <v>16.100000000000001</v>
      </c>
    </row>
    <row r="389" spans="1:105" ht="20.25" customHeight="1" x14ac:dyDescent="0.35">
      <c r="A389" s="5"/>
      <c r="B389" s="79" t="s">
        <v>876</v>
      </c>
      <c r="C389" s="79" t="s">
        <v>181</v>
      </c>
      <c r="D389" s="79"/>
      <c r="E389" s="65" t="s">
        <v>278</v>
      </c>
      <c r="F389" s="65" t="s">
        <v>268</v>
      </c>
      <c r="G389" s="65" t="s">
        <v>118</v>
      </c>
      <c r="H389" s="73">
        <v>17.25</v>
      </c>
      <c r="I389" s="3"/>
      <c r="J389" s="3"/>
      <c r="K389" s="3"/>
      <c r="L389" s="3"/>
      <c r="M389" s="3"/>
      <c r="N389" s="3"/>
      <c r="O389" s="3"/>
      <c r="P389" s="89">
        <v>19</v>
      </c>
      <c r="Q389" s="3"/>
      <c r="R389" s="3"/>
      <c r="S389" s="3"/>
      <c r="T389" s="3"/>
      <c r="U389" s="3"/>
      <c r="V389" s="87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1"/>
      <c r="AL389" s="1"/>
      <c r="AM389" s="1"/>
      <c r="AN389" s="1"/>
      <c r="AO389" s="1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3"/>
      <c r="BY389" s="72"/>
      <c r="BZ389" s="72"/>
      <c r="CA389" s="72"/>
      <c r="CB389" s="72"/>
      <c r="CC389" s="72"/>
      <c r="CD389" s="72"/>
      <c r="CE389" s="72"/>
      <c r="CF389" s="72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DA389" s="139">
        <f t="shared" si="39"/>
        <v>17.25</v>
      </c>
    </row>
    <row r="390" spans="1:105" ht="20.25" customHeight="1" x14ac:dyDescent="0.35">
      <c r="A390" s="5"/>
      <c r="B390" s="79" t="s">
        <v>877</v>
      </c>
      <c r="C390" s="79" t="s">
        <v>181</v>
      </c>
      <c r="D390" s="79"/>
      <c r="E390" s="65" t="s">
        <v>135</v>
      </c>
      <c r="F390" s="65" t="s">
        <v>268</v>
      </c>
      <c r="G390" s="65" t="s">
        <v>118</v>
      </c>
      <c r="H390" s="86">
        <v>13</v>
      </c>
      <c r="I390" s="3"/>
      <c r="J390" s="3"/>
      <c r="K390" s="3"/>
      <c r="L390" s="3"/>
      <c r="M390" s="3"/>
      <c r="N390" s="3"/>
      <c r="O390" s="3"/>
      <c r="P390" s="89">
        <v>18</v>
      </c>
      <c r="Q390" s="3"/>
      <c r="R390" s="3"/>
      <c r="S390" s="3"/>
      <c r="T390" s="3"/>
      <c r="U390" s="3"/>
      <c r="V390" s="87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1"/>
      <c r="AL390" s="1"/>
      <c r="AM390" s="1"/>
      <c r="AN390" s="1"/>
      <c r="AO390" s="1"/>
      <c r="AP390" s="3"/>
      <c r="AQ390" s="3"/>
      <c r="AR390" s="3"/>
      <c r="AS390" s="3"/>
      <c r="AT390" s="3"/>
      <c r="AU390" s="3">
        <v>18</v>
      </c>
      <c r="AV390" s="3"/>
      <c r="AW390" s="3"/>
      <c r="AX390" s="3"/>
      <c r="AY390" s="3"/>
      <c r="AZ390" s="3"/>
      <c r="BA390" s="3"/>
      <c r="BB390" s="3"/>
      <c r="BC390" s="3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3"/>
      <c r="BY390" s="72"/>
      <c r="BZ390" s="72"/>
      <c r="CA390" s="72"/>
      <c r="CB390" s="72"/>
      <c r="CC390" s="72"/>
      <c r="CD390" s="72"/>
      <c r="CE390" s="72"/>
      <c r="CF390" s="72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DA390" s="66">
        <f t="shared" si="39"/>
        <v>13</v>
      </c>
    </row>
    <row r="391" spans="1:105" ht="20.25" customHeight="1" x14ac:dyDescent="0.35">
      <c r="A391" s="5"/>
      <c r="B391" s="79" t="s">
        <v>878</v>
      </c>
      <c r="C391" s="79" t="s">
        <v>181</v>
      </c>
      <c r="D391" s="65" t="s">
        <v>425</v>
      </c>
      <c r="E391" s="5" t="s">
        <v>279</v>
      </c>
      <c r="F391" s="65" t="s">
        <v>268</v>
      </c>
      <c r="G391" s="65" t="s">
        <v>118</v>
      </c>
      <c r="H391" s="86">
        <v>15</v>
      </c>
      <c r="I391" s="3"/>
      <c r="J391" s="3">
        <v>20</v>
      </c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87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1"/>
      <c r="AL391" s="1"/>
      <c r="AM391" s="1"/>
      <c r="AN391" s="1"/>
      <c r="AO391" s="1"/>
      <c r="AP391" s="3">
        <v>20</v>
      </c>
      <c r="AQ391" s="3">
        <v>20</v>
      </c>
      <c r="AR391" s="3">
        <v>20</v>
      </c>
      <c r="AS391" s="3"/>
      <c r="AT391" s="3">
        <v>20</v>
      </c>
      <c r="AU391" s="3">
        <v>20</v>
      </c>
      <c r="AV391" s="3">
        <v>20</v>
      </c>
      <c r="AW391" s="3">
        <v>20</v>
      </c>
      <c r="AX391" s="3">
        <v>20</v>
      </c>
      <c r="AY391" s="3">
        <v>20</v>
      </c>
      <c r="AZ391" s="3">
        <v>20</v>
      </c>
      <c r="BA391" s="3">
        <v>20</v>
      </c>
      <c r="BB391" s="3"/>
      <c r="BC391" s="3">
        <v>20</v>
      </c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3"/>
      <c r="BY391" s="72"/>
      <c r="BZ391" s="72">
        <v>18</v>
      </c>
      <c r="CA391" s="72"/>
      <c r="CB391" s="72"/>
      <c r="CC391" s="72"/>
      <c r="CD391" s="72"/>
      <c r="CE391" s="72"/>
      <c r="CF391" s="72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DA391" s="66">
        <f t="shared" si="39"/>
        <v>15</v>
      </c>
    </row>
    <row r="392" spans="1:105" ht="20.25" customHeight="1" x14ac:dyDescent="0.35">
      <c r="A392" s="65"/>
      <c r="B392" s="79" t="s">
        <v>879</v>
      </c>
      <c r="C392" s="79" t="s">
        <v>181</v>
      </c>
      <c r="D392" s="88" t="s">
        <v>264</v>
      </c>
      <c r="E392" s="65" t="s">
        <v>277</v>
      </c>
      <c r="F392" s="65" t="s">
        <v>268</v>
      </c>
      <c r="G392" s="65" t="s">
        <v>118</v>
      </c>
      <c r="H392" s="86"/>
      <c r="I392" s="89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87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1"/>
      <c r="AL392" s="1"/>
      <c r="AM392" s="1"/>
      <c r="AN392" s="1"/>
      <c r="AO392" s="1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3"/>
      <c r="BY392" s="72"/>
      <c r="BZ392" s="72"/>
      <c r="CA392" s="72"/>
      <c r="CB392" s="72"/>
      <c r="CC392" s="72"/>
      <c r="CD392" s="72"/>
      <c r="CE392" s="72"/>
      <c r="CF392" s="72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DA392" s="66"/>
    </row>
    <row r="393" spans="1:105" ht="20.25" customHeight="1" x14ac:dyDescent="0.35">
      <c r="A393" s="5"/>
      <c r="B393" s="79" t="s">
        <v>880</v>
      </c>
      <c r="C393" s="79" t="s">
        <v>181</v>
      </c>
      <c r="D393" s="79"/>
      <c r="E393" s="58" t="s">
        <v>281</v>
      </c>
      <c r="F393" s="65" t="s">
        <v>241</v>
      </c>
      <c r="G393" s="65" t="s">
        <v>118</v>
      </c>
      <c r="H393" s="86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87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1"/>
      <c r="AL393" s="1"/>
      <c r="AM393" s="1"/>
      <c r="AN393" s="1"/>
      <c r="AO393" s="1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3"/>
      <c r="BY393" s="72"/>
      <c r="BZ393" s="72"/>
      <c r="CA393" s="72"/>
      <c r="CB393" s="72"/>
      <c r="CC393" s="72"/>
      <c r="CD393" s="72"/>
      <c r="CE393" s="72"/>
      <c r="CF393" s="72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DA393" s="66"/>
    </row>
    <row r="394" spans="1:105" ht="20.25" customHeight="1" x14ac:dyDescent="0.35">
      <c r="A394" s="65" t="s">
        <v>119</v>
      </c>
      <c r="B394" s="79" t="s">
        <v>881</v>
      </c>
      <c r="C394" s="79" t="s">
        <v>181</v>
      </c>
      <c r="D394" s="88" t="s">
        <v>264</v>
      </c>
      <c r="E394" s="65" t="s">
        <v>277</v>
      </c>
      <c r="F394" s="65" t="s">
        <v>241</v>
      </c>
      <c r="G394" s="65" t="s">
        <v>118</v>
      </c>
      <c r="H394" s="86">
        <v>18</v>
      </c>
      <c r="I394" s="89">
        <v>32</v>
      </c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87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1"/>
      <c r="AL394" s="1"/>
      <c r="AM394" s="1"/>
      <c r="AN394" s="1"/>
      <c r="AO394" s="1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3"/>
      <c r="BY394" s="72"/>
      <c r="BZ394" s="72"/>
      <c r="CA394" s="72"/>
      <c r="CB394" s="72"/>
      <c r="CC394" s="72"/>
      <c r="CD394" s="72"/>
      <c r="CE394" s="72"/>
      <c r="CF394" s="72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DA394" s="66">
        <f>H394</f>
        <v>18</v>
      </c>
    </row>
    <row r="395" spans="1:105" ht="20.25" customHeight="1" x14ac:dyDescent="0.35">
      <c r="A395" s="65"/>
      <c r="B395" s="79" t="s">
        <v>882</v>
      </c>
      <c r="C395" s="79" t="s">
        <v>181</v>
      </c>
      <c r="D395" s="88" t="s">
        <v>264</v>
      </c>
      <c r="E395" s="65" t="s">
        <v>242</v>
      </c>
      <c r="F395" s="65" t="s">
        <v>241</v>
      </c>
      <c r="G395" s="65" t="s">
        <v>118</v>
      </c>
      <c r="H395" s="86"/>
      <c r="I395" s="89">
        <v>32</v>
      </c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87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1"/>
      <c r="AL395" s="1"/>
      <c r="AM395" s="1"/>
      <c r="AN395" s="1"/>
      <c r="AO395" s="1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3"/>
      <c r="BY395" s="72"/>
      <c r="BZ395" s="72"/>
      <c r="CA395" s="72"/>
      <c r="CB395" s="72"/>
      <c r="CC395" s="72"/>
      <c r="CD395" s="72"/>
      <c r="CE395" s="72"/>
      <c r="CF395" s="72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DA395" s="66"/>
    </row>
    <row r="396" spans="1:105" ht="20.25" customHeight="1" x14ac:dyDescent="0.35">
      <c r="A396" s="65"/>
      <c r="B396" s="79" t="s">
        <v>883</v>
      </c>
      <c r="C396" s="79" t="s">
        <v>181</v>
      </c>
      <c r="D396" s="88" t="s">
        <v>264</v>
      </c>
      <c r="E396" s="65" t="s">
        <v>243</v>
      </c>
      <c r="F396" s="65" t="s">
        <v>241</v>
      </c>
      <c r="G396" s="65" t="s">
        <v>118</v>
      </c>
      <c r="H396" s="86">
        <v>18</v>
      </c>
      <c r="I396" s="89">
        <v>32</v>
      </c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87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1"/>
      <c r="AL396" s="1"/>
      <c r="AM396" s="1"/>
      <c r="AN396" s="1"/>
      <c r="AO396" s="1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3"/>
      <c r="BY396" s="72"/>
      <c r="BZ396" s="72"/>
      <c r="CA396" s="72"/>
      <c r="CB396" s="72"/>
      <c r="CC396" s="72"/>
      <c r="CD396" s="72"/>
      <c r="CE396" s="72"/>
      <c r="CF396" s="72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DA396" s="66">
        <f>H396</f>
        <v>18</v>
      </c>
    </row>
    <row r="397" spans="1:105" ht="20.25" customHeight="1" x14ac:dyDescent="0.35">
      <c r="A397" s="5"/>
      <c r="B397" s="79" t="s">
        <v>884</v>
      </c>
      <c r="C397" s="79" t="s">
        <v>181</v>
      </c>
      <c r="D397" s="79"/>
      <c r="E397" s="58" t="s">
        <v>280</v>
      </c>
      <c r="F397" s="65" t="s">
        <v>241</v>
      </c>
      <c r="G397" s="65" t="s">
        <v>118</v>
      </c>
      <c r="H397" s="86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87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1"/>
      <c r="AL397" s="1"/>
      <c r="AM397" s="1"/>
      <c r="AN397" s="1"/>
      <c r="AO397" s="1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3"/>
      <c r="BY397" s="72"/>
      <c r="BZ397" s="72"/>
      <c r="CA397" s="72"/>
      <c r="CB397" s="72"/>
      <c r="CC397" s="72"/>
      <c r="CD397" s="72"/>
      <c r="CE397" s="72"/>
      <c r="CF397" s="72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DA397" s="66"/>
    </row>
    <row r="398" spans="1:105" ht="20.25" customHeight="1" x14ac:dyDescent="0.35">
      <c r="A398" s="5"/>
      <c r="B398" s="79" t="s">
        <v>885</v>
      </c>
      <c r="C398" s="79" t="s">
        <v>291</v>
      </c>
      <c r="D398" s="5"/>
      <c r="E398" s="5" t="s">
        <v>292</v>
      </c>
      <c r="F398" s="5" t="s">
        <v>269</v>
      </c>
      <c r="G398" s="5" t="s">
        <v>37</v>
      </c>
      <c r="H398" s="86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1"/>
      <c r="AL398" s="1"/>
      <c r="AM398" s="1"/>
      <c r="AN398" s="1"/>
      <c r="AO398" s="1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3"/>
      <c r="BY398" s="72"/>
      <c r="BZ398" s="72"/>
      <c r="CA398" s="72"/>
      <c r="CB398" s="72"/>
      <c r="CC398" s="72"/>
      <c r="CD398" s="72"/>
      <c r="CE398" s="72"/>
      <c r="CF398" s="72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DA398" s="66"/>
    </row>
    <row r="399" spans="1:105" ht="20.25" customHeight="1" x14ac:dyDescent="0.35">
      <c r="A399" s="5"/>
      <c r="B399" s="79" t="s">
        <v>886</v>
      </c>
      <c r="C399" s="79" t="s">
        <v>291</v>
      </c>
      <c r="D399" s="5"/>
      <c r="E399" s="5" t="s">
        <v>292</v>
      </c>
      <c r="F399" s="5" t="s">
        <v>394</v>
      </c>
      <c r="G399" s="5" t="s">
        <v>37</v>
      </c>
      <c r="H399" s="86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1"/>
      <c r="AL399" s="1"/>
      <c r="AM399" s="1"/>
      <c r="AN399" s="1"/>
      <c r="AO399" s="1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3"/>
      <c r="BY399" s="72"/>
      <c r="BZ399" s="72"/>
      <c r="CA399" s="72"/>
      <c r="CB399" s="72"/>
      <c r="CC399" s="72"/>
      <c r="CD399" s="72"/>
      <c r="CE399" s="72"/>
      <c r="CF399" s="72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DA399" s="66"/>
    </row>
    <row r="400" spans="1:105" ht="20.25" customHeight="1" x14ac:dyDescent="0.35">
      <c r="A400" s="5"/>
      <c r="B400" s="79" t="s">
        <v>887</v>
      </c>
      <c r="C400" s="79" t="s">
        <v>181</v>
      </c>
      <c r="D400" s="79"/>
      <c r="E400" s="65" t="s">
        <v>1092</v>
      </c>
      <c r="F400" s="55" t="s">
        <v>888</v>
      </c>
      <c r="G400" s="55" t="s">
        <v>593</v>
      </c>
      <c r="H400" s="86">
        <v>12</v>
      </c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1"/>
      <c r="AL400" s="1"/>
      <c r="AM400" s="1"/>
      <c r="AN400" s="1"/>
      <c r="AO400" s="1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3"/>
      <c r="BY400" s="72"/>
      <c r="BZ400" s="72"/>
      <c r="CA400" s="72"/>
      <c r="CB400" s="72"/>
      <c r="CC400" s="72"/>
      <c r="CD400" s="72"/>
      <c r="CE400" s="72"/>
      <c r="CF400" s="72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DA400" s="66">
        <f>H400</f>
        <v>12</v>
      </c>
    </row>
    <row r="401" spans="1:105" ht="20.25" customHeight="1" x14ac:dyDescent="0.35">
      <c r="A401" s="65"/>
      <c r="B401" s="79" t="s">
        <v>889</v>
      </c>
      <c r="C401" s="79" t="s">
        <v>181</v>
      </c>
      <c r="D401" s="79"/>
      <c r="E401" s="65" t="s">
        <v>890</v>
      </c>
      <c r="F401" s="55" t="s">
        <v>888</v>
      </c>
      <c r="G401" s="55" t="s">
        <v>593</v>
      </c>
      <c r="H401" s="86"/>
      <c r="I401" s="89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151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1"/>
      <c r="AL401" s="1"/>
      <c r="AM401" s="1"/>
      <c r="AN401" s="1"/>
      <c r="AO401" s="1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3"/>
      <c r="BY401" s="72"/>
      <c r="BZ401" s="72"/>
      <c r="CA401" s="72"/>
      <c r="CB401" s="72"/>
      <c r="CC401" s="72"/>
      <c r="CD401" s="72"/>
      <c r="CE401" s="72"/>
      <c r="CF401" s="72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DA401" s="66"/>
    </row>
    <row r="402" spans="1:105" ht="20.25" customHeight="1" x14ac:dyDescent="0.35">
      <c r="A402" s="5"/>
      <c r="B402" s="79" t="s">
        <v>891</v>
      </c>
      <c r="C402" s="79" t="s">
        <v>181</v>
      </c>
      <c r="D402" s="79"/>
      <c r="E402" s="65" t="s">
        <v>279</v>
      </c>
      <c r="F402" s="55" t="s">
        <v>892</v>
      </c>
      <c r="G402" s="55" t="s">
        <v>593</v>
      </c>
      <c r="H402" s="86">
        <f>AVERAGE(I402:BC402)</f>
        <v>0</v>
      </c>
      <c r="I402" s="3">
        <v>0</v>
      </c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87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1"/>
      <c r="AL402" s="1"/>
      <c r="AM402" s="1"/>
      <c r="AN402" s="1"/>
      <c r="AO402" s="1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3"/>
      <c r="BY402" s="72"/>
      <c r="BZ402" s="72"/>
      <c r="CA402" s="72"/>
      <c r="CB402" s="72"/>
      <c r="CC402" s="72"/>
      <c r="CD402" s="72"/>
      <c r="CE402" s="72"/>
      <c r="CF402" s="72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DA402" s="66"/>
    </row>
    <row r="403" spans="1:105" ht="20.25" customHeight="1" x14ac:dyDescent="0.35">
      <c r="A403" s="135"/>
      <c r="B403" s="79" t="s">
        <v>1142</v>
      </c>
      <c r="C403" s="79" t="s">
        <v>1143</v>
      </c>
      <c r="D403" s="65" t="s">
        <v>380</v>
      </c>
      <c r="E403" s="65" t="s">
        <v>1144</v>
      </c>
      <c r="F403" s="5" t="s">
        <v>1145</v>
      </c>
      <c r="G403" s="55" t="s">
        <v>37</v>
      </c>
      <c r="H403" s="141">
        <v>22.8</v>
      </c>
      <c r="I403" s="153"/>
      <c r="J403" s="153"/>
      <c r="K403" s="153"/>
      <c r="L403" s="153"/>
      <c r="M403" s="153"/>
      <c r="N403" s="153"/>
      <c r="O403" s="153"/>
      <c r="P403" s="153"/>
      <c r="Q403" s="153"/>
      <c r="R403" s="153"/>
      <c r="S403" s="153"/>
      <c r="T403" s="153"/>
      <c r="U403" s="153"/>
      <c r="V403" s="154"/>
      <c r="W403" s="153"/>
      <c r="X403" s="153"/>
      <c r="Y403" s="153"/>
      <c r="Z403" s="153"/>
      <c r="AA403" s="153"/>
      <c r="AB403" s="153"/>
      <c r="AC403" s="153"/>
      <c r="AD403" s="153"/>
      <c r="AE403" s="153">
        <v>26.4</v>
      </c>
      <c r="AF403" s="153"/>
      <c r="AG403" s="153"/>
      <c r="AH403" s="153"/>
      <c r="AI403" s="153"/>
      <c r="AJ403" s="153"/>
      <c r="AK403" s="155"/>
      <c r="AL403" s="155"/>
      <c r="AM403" s="155"/>
      <c r="AN403" s="155"/>
      <c r="AO403" s="155"/>
      <c r="AP403" s="153"/>
      <c r="AQ403" s="153"/>
      <c r="AR403" s="153"/>
      <c r="AS403" s="153"/>
      <c r="AT403" s="153"/>
      <c r="AU403" s="153"/>
      <c r="AV403" s="153"/>
      <c r="AW403" s="153"/>
      <c r="AX403" s="153"/>
      <c r="AY403" s="153"/>
      <c r="AZ403" s="153"/>
      <c r="BA403" s="153"/>
      <c r="BB403" s="153"/>
      <c r="BC403" s="153"/>
      <c r="BD403" s="155"/>
      <c r="BE403" s="155"/>
      <c r="BF403" s="155"/>
      <c r="BG403" s="155"/>
      <c r="BH403" s="155"/>
      <c r="BI403" s="155"/>
      <c r="BJ403" s="155"/>
      <c r="BK403" s="155"/>
      <c r="BL403" s="155"/>
      <c r="BM403" s="155"/>
      <c r="BN403" s="155"/>
      <c r="BO403" s="155"/>
      <c r="BP403" s="155"/>
      <c r="BQ403" s="155"/>
      <c r="BR403" s="155"/>
      <c r="BS403" s="155"/>
      <c r="BT403" s="155"/>
      <c r="BU403" s="155"/>
      <c r="BV403" s="155"/>
      <c r="BW403" s="155"/>
      <c r="BX403" s="153"/>
      <c r="BY403" s="156"/>
      <c r="BZ403" s="156"/>
      <c r="CA403" s="156"/>
      <c r="CB403" s="156"/>
      <c r="CC403" s="156"/>
      <c r="CD403" s="156"/>
      <c r="CE403" s="156"/>
      <c r="CF403" s="156"/>
      <c r="CG403" s="155"/>
      <c r="CH403" s="155"/>
      <c r="CI403" s="155"/>
      <c r="CJ403" s="155"/>
      <c r="CK403" s="155"/>
      <c r="CL403" s="155"/>
      <c r="DA403" s="139">
        <f>H403</f>
        <v>22.8</v>
      </c>
    </row>
    <row r="404" spans="1:105" ht="20.25" customHeight="1" x14ac:dyDescent="0.35">
      <c r="A404" s="135"/>
      <c r="B404" s="79" t="s">
        <v>1216</v>
      </c>
      <c r="C404" s="79" t="s">
        <v>1143</v>
      </c>
      <c r="D404" s="65" t="s">
        <v>380</v>
      </c>
      <c r="E404" s="65" t="s">
        <v>1144</v>
      </c>
      <c r="F404" s="5" t="s">
        <v>1217</v>
      </c>
      <c r="G404" s="55" t="s">
        <v>593</v>
      </c>
      <c r="H404" s="141">
        <v>2.2000000000000002</v>
      </c>
      <c r="I404" s="153"/>
      <c r="J404" s="153"/>
      <c r="K404" s="153"/>
      <c r="L404" s="153"/>
      <c r="M404" s="153"/>
      <c r="N404" s="153"/>
      <c r="O404" s="153"/>
      <c r="P404" s="153"/>
      <c r="Q404" s="153"/>
      <c r="R404" s="153"/>
      <c r="S404" s="153"/>
      <c r="T404" s="153"/>
      <c r="U404" s="153"/>
      <c r="V404" s="154"/>
      <c r="W404" s="153"/>
      <c r="X404" s="153"/>
      <c r="Y404" s="153"/>
      <c r="Z404" s="153"/>
      <c r="AA404" s="153"/>
      <c r="AB404" s="153"/>
      <c r="AC404" s="153"/>
      <c r="AD404" s="153"/>
      <c r="AE404" s="153"/>
      <c r="AF404" s="153"/>
      <c r="AG404" s="153"/>
      <c r="AH404" s="153"/>
      <c r="AI404" s="153"/>
      <c r="AJ404" s="153"/>
      <c r="AK404" s="155"/>
      <c r="AL404" s="155"/>
      <c r="AM404" s="155"/>
      <c r="AN404" s="155"/>
      <c r="AO404" s="155"/>
      <c r="AP404" s="153"/>
      <c r="AQ404" s="153"/>
      <c r="AR404" s="153"/>
      <c r="AS404" s="153"/>
      <c r="AT404" s="153"/>
      <c r="AU404" s="153"/>
      <c r="AV404" s="153"/>
      <c r="AW404" s="153"/>
      <c r="AX404" s="153"/>
      <c r="AY404" s="153"/>
      <c r="AZ404" s="153"/>
      <c r="BA404" s="153"/>
      <c r="BB404" s="153"/>
      <c r="BC404" s="153"/>
      <c r="BD404" s="155"/>
      <c r="BE404" s="155"/>
      <c r="BF404" s="155"/>
      <c r="BG404" s="155"/>
      <c r="BH404" s="155"/>
      <c r="BI404" s="155"/>
      <c r="BJ404" s="155"/>
      <c r="BK404" s="155"/>
      <c r="BL404" s="155"/>
      <c r="BM404" s="155"/>
      <c r="BN404" s="155"/>
      <c r="BO404" s="155"/>
      <c r="BP404" s="155"/>
      <c r="BQ404" s="155"/>
      <c r="BR404" s="155"/>
      <c r="BS404" s="155"/>
      <c r="BT404" s="155"/>
      <c r="BU404" s="155"/>
      <c r="BV404" s="155"/>
      <c r="BW404" s="155"/>
      <c r="BX404" s="153"/>
      <c r="BY404" s="156"/>
      <c r="BZ404" s="156"/>
      <c r="CA404" s="156"/>
      <c r="CB404" s="156"/>
      <c r="CC404" s="156"/>
      <c r="CD404" s="156"/>
      <c r="CE404" s="156"/>
      <c r="CF404" s="156"/>
      <c r="CG404" s="155"/>
      <c r="CH404" s="155"/>
      <c r="CI404" s="155"/>
      <c r="CJ404" s="155"/>
      <c r="CK404" s="155"/>
      <c r="CL404" s="155"/>
      <c r="DA404" s="139">
        <f>H404</f>
        <v>2.2000000000000002</v>
      </c>
    </row>
    <row r="405" spans="1:105" ht="20.25" customHeight="1" x14ac:dyDescent="0.35">
      <c r="A405" s="135"/>
      <c r="B405" s="128" t="s">
        <v>893</v>
      </c>
      <c r="C405" s="128" t="s">
        <v>926</v>
      </c>
      <c r="D405" s="129" t="s">
        <v>380</v>
      </c>
      <c r="E405" s="130" t="s">
        <v>59</v>
      </c>
      <c r="F405" s="129" t="s">
        <v>434</v>
      </c>
      <c r="G405" s="129" t="s">
        <v>387</v>
      </c>
      <c r="H405" s="99">
        <v>7.7</v>
      </c>
      <c r="I405" s="153"/>
      <c r="J405" s="153"/>
      <c r="K405" s="153"/>
      <c r="L405" s="153"/>
      <c r="M405" s="153"/>
      <c r="N405" s="153"/>
      <c r="O405" s="153"/>
      <c r="P405" s="153"/>
      <c r="Q405" s="153"/>
      <c r="R405" s="153"/>
      <c r="S405" s="153"/>
      <c r="T405" s="153"/>
      <c r="U405" s="153"/>
      <c r="V405" s="154"/>
      <c r="W405" s="153"/>
      <c r="X405" s="153"/>
      <c r="Y405" s="153"/>
      <c r="Z405" s="153"/>
      <c r="AA405" s="153"/>
      <c r="AB405" s="153"/>
      <c r="AC405" s="153"/>
      <c r="AD405" s="153"/>
      <c r="AE405" s="153"/>
      <c r="AF405" s="153"/>
      <c r="AG405" s="157"/>
      <c r="AH405" s="153"/>
      <c r="AI405" s="153"/>
      <c r="AJ405" s="153"/>
      <c r="AK405" s="155"/>
      <c r="AL405" s="155"/>
      <c r="AM405" s="155"/>
      <c r="AN405" s="155"/>
      <c r="AO405" s="155"/>
      <c r="AP405" s="153"/>
      <c r="AQ405" s="153"/>
      <c r="AR405" s="153"/>
      <c r="AS405" s="153"/>
      <c r="AT405" s="153"/>
      <c r="AU405" s="153"/>
      <c r="AV405" s="153"/>
      <c r="AW405" s="153"/>
      <c r="AX405" s="153"/>
      <c r="AY405" s="153"/>
      <c r="AZ405" s="153"/>
      <c r="BA405" s="153"/>
      <c r="BB405" s="153"/>
      <c r="BC405" s="153"/>
      <c r="BD405" s="155"/>
      <c r="BE405" s="155"/>
      <c r="BF405" s="155"/>
      <c r="BG405" s="155"/>
      <c r="BH405" s="155"/>
      <c r="BI405" s="155"/>
      <c r="BJ405" s="155"/>
      <c r="BK405" s="155"/>
      <c r="BL405" s="155"/>
      <c r="BM405" s="155"/>
      <c r="BN405" s="155"/>
      <c r="BO405" s="155"/>
      <c r="BP405" s="155"/>
      <c r="BQ405" s="155"/>
      <c r="BR405" s="155"/>
      <c r="BS405" s="155"/>
      <c r="BT405" s="155"/>
      <c r="BU405" s="155"/>
      <c r="BV405" s="155"/>
      <c r="BW405" s="155"/>
      <c r="BX405" s="153"/>
      <c r="BY405" s="156"/>
      <c r="BZ405" s="156"/>
      <c r="CA405" s="156">
        <v>9.6999999999999993</v>
      </c>
      <c r="CB405" s="156"/>
      <c r="CC405" s="156"/>
      <c r="CD405" s="156"/>
      <c r="CE405" s="156"/>
      <c r="CF405" s="156"/>
      <c r="CG405" s="155"/>
      <c r="CH405" s="155"/>
      <c r="CI405" s="155"/>
      <c r="CJ405" s="155"/>
      <c r="CK405" s="155"/>
      <c r="CL405" s="155"/>
      <c r="DA405" s="66"/>
    </row>
    <row r="406" spans="1:105" ht="20.25" customHeight="1" x14ac:dyDescent="0.35">
      <c r="A406" s="5"/>
      <c r="B406" s="79" t="s">
        <v>930</v>
      </c>
      <c r="C406" s="79" t="s">
        <v>927</v>
      </c>
      <c r="D406" s="65" t="s">
        <v>380</v>
      </c>
      <c r="E406" s="58" t="s">
        <v>59</v>
      </c>
      <c r="F406" s="65" t="s">
        <v>434</v>
      </c>
      <c r="G406" s="65" t="s">
        <v>387</v>
      </c>
      <c r="H406" s="86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87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151"/>
      <c r="AH406" s="3"/>
      <c r="AI406" s="3"/>
      <c r="AJ406" s="3"/>
      <c r="AK406" s="1"/>
      <c r="AL406" s="1"/>
      <c r="AM406" s="1"/>
      <c r="AN406" s="1"/>
      <c r="AO406" s="1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3"/>
      <c r="BY406" s="72"/>
      <c r="BZ406" s="72"/>
      <c r="CA406" s="72">
        <v>9.6999999999999993</v>
      </c>
      <c r="CB406" s="72"/>
      <c r="CC406" s="72"/>
      <c r="CD406" s="72"/>
      <c r="CE406" s="72"/>
      <c r="CF406" s="72"/>
      <c r="CG406" s="1"/>
      <c r="CH406" s="1"/>
      <c r="CI406" s="1"/>
      <c r="CJ406" s="1"/>
      <c r="CK406" s="1"/>
      <c r="CL406" s="1"/>
      <c r="DA406" s="66"/>
    </row>
    <row r="407" spans="1:105" ht="20.25" customHeight="1" x14ac:dyDescent="0.35">
      <c r="A407" s="5"/>
      <c r="B407" s="79" t="s">
        <v>931</v>
      </c>
      <c r="C407" s="79" t="s">
        <v>928</v>
      </c>
      <c r="D407" s="65" t="s">
        <v>380</v>
      </c>
      <c r="E407" s="58" t="s">
        <v>59</v>
      </c>
      <c r="F407" s="65" t="s">
        <v>434</v>
      </c>
      <c r="G407" s="65" t="s">
        <v>387</v>
      </c>
      <c r="H407" s="86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87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151"/>
      <c r="AH407" s="3"/>
      <c r="AI407" s="3"/>
      <c r="AJ407" s="3"/>
      <c r="AK407" s="1"/>
      <c r="AL407" s="1"/>
      <c r="AM407" s="1"/>
      <c r="AN407" s="1"/>
      <c r="AO407" s="1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3"/>
      <c r="BY407" s="72"/>
      <c r="BZ407" s="72"/>
      <c r="CA407" s="72">
        <v>9.6999999999999993</v>
      </c>
      <c r="CB407" s="72"/>
      <c r="CC407" s="72"/>
      <c r="CD407" s="72"/>
      <c r="CE407" s="72"/>
      <c r="CF407" s="72"/>
      <c r="CG407" s="1"/>
      <c r="CH407" s="1"/>
      <c r="CI407" s="1"/>
      <c r="CJ407" s="1"/>
      <c r="CK407" s="1"/>
      <c r="CL407" s="1"/>
      <c r="DA407" s="66"/>
    </row>
    <row r="408" spans="1:105" ht="20.25" customHeight="1" x14ac:dyDescent="0.35">
      <c r="A408" s="5"/>
      <c r="B408" s="79" t="s">
        <v>932</v>
      </c>
      <c r="C408" s="79" t="s">
        <v>933</v>
      </c>
      <c r="D408" s="65" t="s">
        <v>380</v>
      </c>
      <c r="E408" s="58" t="s">
        <v>59</v>
      </c>
      <c r="F408" s="65" t="s">
        <v>434</v>
      </c>
      <c r="G408" s="65" t="s">
        <v>387</v>
      </c>
      <c r="H408" s="86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87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151"/>
      <c r="AH408" s="3"/>
      <c r="AI408" s="3"/>
      <c r="AJ408" s="3"/>
      <c r="AK408" s="1"/>
      <c r="AL408" s="1"/>
      <c r="AM408" s="1"/>
      <c r="AN408" s="1"/>
      <c r="AO408" s="1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3"/>
      <c r="BY408" s="72"/>
      <c r="BZ408" s="72"/>
      <c r="CA408" s="72">
        <v>9.6999999999999993</v>
      </c>
      <c r="CB408" s="72"/>
      <c r="CC408" s="72"/>
      <c r="CD408" s="72"/>
      <c r="CE408" s="72"/>
      <c r="CF408" s="72"/>
      <c r="CG408" s="1"/>
      <c r="CH408" s="1"/>
      <c r="CI408" s="1"/>
      <c r="CJ408" s="1"/>
      <c r="CK408" s="1"/>
      <c r="CL408" s="1"/>
      <c r="DA408" s="66"/>
    </row>
    <row r="409" spans="1:105" ht="20.25" customHeight="1" x14ac:dyDescent="0.35">
      <c r="A409" s="5"/>
      <c r="B409" s="79" t="s">
        <v>935</v>
      </c>
      <c r="C409" s="79" t="s">
        <v>934</v>
      </c>
      <c r="D409" s="65" t="s">
        <v>380</v>
      </c>
      <c r="E409" s="58" t="s">
        <v>59</v>
      </c>
      <c r="F409" s="65" t="s">
        <v>434</v>
      </c>
      <c r="G409" s="65" t="s">
        <v>387</v>
      </c>
      <c r="H409" s="86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87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151"/>
      <c r="AH409" s="3"/>
      <c r="AI409" s="3"/>
      <c r="AJ409" s="3"/>
      <c r="AK409" s="1"/>
      <c r="AL409" s="1"/>
      <c r="AM409" s="1"/>
      <c r="AN409" s="1"/>
      <c r="AO409" s="1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3"/>
      <c r="BY409" s="72"/>
      <c r="BZ409" s="72"/>
      <c r="CA409" s="72">
        <v>9.6999999999999993</v>
      </c>
      <c r="CB409" s="72"/>
      <c r="CC409" s="72"/>
      <c r="CD409" s="72"/>
      <c r="CE409" s="72"/>
      <c r="CF409" s="72"/>
      <c r="CG409" s="1"/>
      <c r="CH409" s="1"/>
      <c r="CI409" s="1"/>
      <c r="CJ409" s="1"/>
      <c r="CK409" s="1"/>
      <c r="CL409" s="1"/>
      <c r="DA409" s="66"/>
    </row>
    <row r="410" spans="1:105" ht="20.25" customHeight="1" x14ac:dyDescent="0.35">
      <c r="A410" s="5"/>
      <c r="B410" s="79" t="s">
        <v>936</v>
      </c>
      <c r="C410" s="79" t="s">
        <v>937</v>
      </c>
      <c r="D410" s="65" t="s">
        <v>380</v>
      </c>
      <c r="E410" s="58" t="s">
        <v>59</v>
      </c>
      <c r="F410" s="65" t="s">
        <v>434</v>
      </c>
      <c r="G410" s="65" t="s">
        <v>387</v>
      </c>
      <c r="H410" s="86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87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151"/>
      <c r="AH410" s="3"/>
      <c r="AI410" s="3"/>
      <c r="AJ410" s="3"/>
      <c r="AK410" s="1"/>
      <c r="AL410" s="1"/>
      <c r="AM410" s="1"/>
      <c r="AN410" s="1"/>
      <c r="AO410" s="1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3"/>
      <c r="BY410" s="72"/>
      <c r="BZ410" s="72"/>
      <c r="CA410" s="72">
        <v>9.6999999999999993</v>
      </c>
      <c r="CB410" s="72"/>
      <c r="CC410" s="72"/>
      <c r="CD410" s="72"/>
      <c r="CE410" s="72"/>
      <c r="CF410" s="72"/>
      <c r="CG410" s="1"/>
      <c r="CH410" s="1"/>
      <c r="CI410" s="1"/>
      <c r="CJ410" s="1"/>
      <c r="CK410" s="1"/>
      <c r="CL410" s="1"/>
      <c r="DA410" s="66"/>
    </row>
    <row r="411" spans="1:105" ht="20.25" customHeight="1" x14ac:dyDescent="0.35">
      <c r="A411" s="5"/>
      <c r="B411" s="79" t="s">
        <v>938</v>
      </c>
      <c r="C411" s="79" t="s">
        <v>939</v>
      </c>
      <c r="D411" s="65" t="s">
        <v>380</v>
      </c>
      <c r="E411" s="58" t="s">
        <v>59</v>
      </c>
      <c r="F411" s="65" t="s">
        <v>942</v>
      </c>
      <c r="G411" s="65" t="s">
        <v>153</v>
      </c>
      <c r="H411" s="86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87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151"/>
      <c r="AH411" s="3"/>
      <c r="AI411" s="3"/>
      <c r="AJ411" s="3"/>
      <c r="AK411" s="1"/>
      <c r="AL411" s="1"/>
      <c r="AM411" s="1"/>
      <c r="AN411" s="1"/>
      <c r="AO411" s="1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3"/>
      <c r="BY411" s="72"/>
      <c r="BZ411" s="72"/>
      <c r="CA411" s="72">
        <v>6</v>
      </c>
      <c r="CB411" s="72"/>
      <c r="CC411" s="72"/>
      <c r="CD411" s="72"/>
      <c r="CE411" s="72"/>
      <c r="CF411" s="72"/>
      <c r="CG411" s="1"/>
      <c r="CH411" s="1"/>
      <c r="CI411" s="1"/>
      <c r="CJ411" s="1"/>
      <c r="CK411" s="1"/>
      <c r="CL411" s="1"/>
      <c r="DA411" s="66"/>
    </row>
    <row r="412" spans="1:105" ht="20.25" customHeight="1" x14ac:dyDescent="0.35">
      <c r="A412" s="5"/>
      <c r="B412" s="79" t="s">
        <v>940</v>
      </c>
      <c r="C412" s="79" t="s">
        <v>941</v>
      </c>
      <c r="D412" s="65" t="s">
        <v>380</v>
      </c>
      <c r="E412" s="58" t="s">
        <v>59</v>
      </c>
      <c r="F412" s="65" t="s">
        <v>33</v>
      </c>
      <c r="G412" s="65" t="s">
        <v>153</v>
      </c>
      <c r="H412" s="86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87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151"/>
      <c r="AH412" s="3"/>
      <c r="AI412" s="3"/>
      <c r="AJ412" s="3"/>
      <c r="AK412" s="1"/>
      <c r="AL412" s="1"/>
      <c r="AM412" s="1"/>
      <c r="AN412" s="1"/>
      <c r="AO412" s="1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3"/>
      <c r="BY412" s="72"/>
      <c r="BZ412" s="72"/>
      <c r="CA412" s="72">
        <v>4</v>
      </c>
      <c r="CB412" s="72"/>
      <c r="CC412" s="72"/>
      <c r="CD412" s="72"/>
      <c r="CE412" s="72"/>
      <c r="CF412" s="72"/>
      <c r="CG412" s="1"/>
      <c r="CH412" s="1"/>
      <c r="CI412" s="1"/>
      <c r="CJ412" s="1"/>
      <c r="CK412" s="1"/>
      <c r="CL412" s="1"/>
      <c r="DA412" s="66"/>
    </row>
    <row r="413" spans="1:105" ht="20.25" customHeight="1" x14ac:dyDescent="0.35">
      <c r="A413" s="5"/>
      <c r="B413" s="79" t="s">
        <v>945</v>
      </c>
      <c r="C413" s="79" t="s">
        <v>483</v>
      </c>
      <c r="D413" s="65" t="s">
        <v>380</v>
      </c>
      <c r="E413" s="58" t="s">
        <v>35</v>
      </c>
      <c r="F413" s="65" t="s">
        <v>96</v>
      </c>
      <c r="G413" s="65" t="s">
        <v>39</v>
      </c>
      <c r="H413" s="86"/>
      <c r="I413" s="3"/>
      <c r="J413" s="3"/>
      <c r="K413" s="3"/>
      <c r="L413" s="3">
        <v>6</v>
      </c>
      <c r="M413" s="3"/>
      <c r="N413" s="3"/>
      <c r="O413" s="3"/>
      <c r="P413" s="3"/>
      <c r="Q413" s="3"/>
      <c r="R413" s="3"/>
      <c r="S413" s="3"/>
      <c r="T413" s="3"/>
      <c r="U413" s="3"/>
      <c r="V413" s="87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151"/>
      <c r="AH413" s="3"/>
      <c r="AI413" s="3"/>
      <c r="AJ413" s="3"/>
      <c r="AK413" s="1"/>
      <c r="AL413" s="1"/>
      <c r="AM413" s="1"/>
      <c r="AN413" s="1"/>
      <c r="AO413" s="1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3"/>
      <c r="BY413" s="72"/>
      <c r="BZ413" s="72"/>
      <c r="CA413" s="72"/>
      <c r="CB413" s="72"/>
      <c r="CC413" s="72"/>
      <c r="CD413" s="72"/>
      <c r="CE413" s="72"/>
      <c r="CF413" s="72"/>
      <c r="CG413" s="1"/>
      <c r="CH413" s="1"/>
      <c r="CI413" s="1"/>
      <c r="CJ413" s="1"/>
      <c r="CK413" s="1"/>
      <c r="CL413" s="1"/>
      <c r="DA413" s="66"/>
    </row>
  </sheetData>
  <autoFilter ref="A2:DA377" xr:uid="{3704E0B5-B148-4711-9D8A-43230952AEE0}"/>
  <sortState xmlns:xlrd2="http://schemas.microsoft.com/office/spreadsheetml/2017/richdata2" ref="A3:H413">
    <sortCondition ref="A3:A413"/>
  </sortState>
  <phoneticPr fontId="11" type="noConversion"/>
  <pageMargins left="0.70866141732283472" right="0.31496062992125984" top="0.59055118110236227" bottom="0" header="0.31496062992125984" footer="0.31496062992125984"/>
  <pageSetup paperSize="9" scale="10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B6E4-C4E3-4864-88E0-9BED5AF84324}">
  <sheetPr codeName="Sheet175">
    <pageSetUpPr fitToPage="1"/>
  </sheetPr>
  <dimension ref="B1:P46"/>
  <sheetViews>
    <sheetView topLeftCell="A9" workbookViewId="0">
      <selection activeCell="D19" sqref="D19:J20"/>
    </sheetView>
  </sheetViews>
  <sheetFormatPr defaultColWidth="12.54296875" defaultRowHeight="18.5" x14ac:dyDescent="0.45"/>
  <cols>
    <col min="1" max="1" width="12.54296875" style="20"/>
    <col min="2" max="4" width="12.54296875" style="20" customWidth="1"/>
    <col min="5" max="5" width="1.54296875" style="20" customWidth="1"/>
    <col min="6" max="6" width="18.36328125" style="20" customWidth="1"/>
    <col min="7" max="7" width="8.54296875" style="20" customWidth="1"/>
    <col min="8" max="8" width="15.7265625" style="20" customWidth="1"/>
    <col min="9" max="9" width="0.7265625" style="20" customWidth="1"/>
    <col min="10" max="10" width="16.7265625" style="20" customWidth="1"/>
    <col min="11" max="11" width="13.26953125" style="20" customWidth="1"/>
    <col min="12" max="12" width="15.08984375" style="20" customWidth="1"/>
    <col min="13" max="16384" width="12.54296875" style="20"/>
  </cols>
  <sheetData>
    <row r="1" spans="2:12" x14ac:dyDescent="0.45"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</row>
    <row r="2" spans="2:12" x14ac:dyDescent="0.45"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</row>
    <row r="3" spans="2:12" x14ac:dyDescent="0.45"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</row>
    <row r="4" spans="2:12" x14ac:dyDescent="0.45"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</row>
    <row r="5" spans="2:12" x14ac:dyDescent="0.45"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2:12" x14ac:dyDescent="0.45"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2:12" x14ac:dyDescent="0.45"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</row>
    <row r="8" spans="2:12" ht="19" thickBot="1" x14ac:dyDescent="0.5"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</row>
    <row r="9" spans="2:12" ht="19" thickBot="1" x14ac:dyDescent="0.5">
      <c r="B9" s="19"/>
    </row>
    <row r="10" spans="2:12" ht="18" customHeight="1" thickTop="1" thickBot="1" x14ac:dyDescent="0.5">
      <c r="B10" s="21" t="s">
        <v>8</v>
      </c>
      <c r="C10" s="21"/>
      <c r="D10" s="22"/>
      <c r="E10" s="22"/>
      <c r="F10" s="23" t="s">
        <v>9</v>
      </c>
      <c r="G10" s="24"/>
      <c r="H10" s="24"/>
      <c r="J10" s="25" t="s">
        <v>28</v>
      </c>
      <c r="K10" s="230">
        <v>202211419</v>
      </c>
      <c r="L10" s="231"/>
    </row>
    <row r="11" spans="2:12" ht="20.149999999999999" customHeight="1" x14ac:dyDescent="0.45">
      <c r="B11" s="166" t="s">
        <v>1189</v>
      </c>
      <c r="C11" s="162"/>
      <c r="D11" s="163"/>
      <c r="E11" s="26"/>
      <c r="F11" s="235"/>
      <c r="G11" s="236"/>
      <c r="H11" s="237"/>
      <c r="J11" s="27" t="s">
        <v>10</v>
      </c>
      <c r="K11" s="274">
        <v>44888</v>
      </c>
      <c r="L11" s="275"/>
    </row>
    <row r="12" spans="2:12" ht="20.149999999999999" customHeight="1" x14ac:dyDescent="0.45">
      <c r="B12" s="167" t="s">
        <v>1190</v>
      </c>
      <c r="C12" s="26"/>
      <c r="D12" s="164"/>
      <c r="E12" s="26"/>
      <c r="F12" s="238"/>
      <c r="G12" s="239"/>
      <c r="H12" s="240"/>
      <c r="J12" s="27" t="s">
        <v>127</v>
      </c>
      <c r="K12" s="244" t="s">
        <v>1194</v>
      </c>
      <c r="L12" s="245"/>
    </row>
    <row r="13" spans="2:12" ht="20.149999999999999" customHeight="1" x14ac:dyDescent="0.45">
      <c r="B13" s="246" t="s">
        <v>1191</v>
      </c>
      <c r="C13" s="247"/>
      <c r="D13" s="248"/>
      <c r="E13" s="26"/>
      <c r="F13" s="238"/>
      <c r="G13" s="239"/>
      <c r="H13" s="240"/>
      <c r="J13" s="27" t="s">
        <v>11</v>
      </c>
      <c r="K13" s="244" t="s">
        <v>477</v>
      </c>
      <c r="L13" s="245"/>
    </row>
    <row r="14" spans="2:12" ht="20.149999999999999" customHeight="1" x14ac:dyDescent="0.45">
      <c r="B14" s="246" t="s">
        <v>1192</v>
      </c>
      <c r="C14" s="247"/>
      <c r="D14" s="248"/>
      <c r="E14" s="26"/>
      <c r="F14" s="238"/>
      <c r="G14" s="239"/>
      <c r="H14" s="240"/>
      <c r="J14" s="27" t="s">
        <v>29</v>
      </c>
      <c r="K14" s="244" t="s">
        <v>15</v>
      </c>
      <c r="L14" s="245"/>
    </row>
    <row r="15" spans="2:12" ht="18" customHeight="1" thickBot="1" x14ac:dyDescent="0.5">
      <c r="B15" s="241"/>
      <c r="C15" s="242"/>
      <c r="D15" s="243"/>
      <c r="E15" s="22"/>
      <c r="F15" s="241"/>
      <c r="G15" s="242"/>
      <c r="H15" s="243"/>
      <c r="J15" s="28" t="s">
        <v>12</v>
      </c>
      <c r="K15" s="252" t="s">
        <v>1195</v>
      </c>
      <c r="L15" s="253"/>
    </row>
    <row r="16" spans="2:12" ht="19" thickBot="1" x14ac:dyDescent="0.5">
      <c r="J16" s="18"/>
    </row>
    <row r="17" spans="2:16" ht="30" customHeight="1" thickBot="1" x14ac:dyDescent="0.5">
      <c r="B17" s="7" t="s">
        <v>2</v>
      </c>
      <c r="C17" s="8" t="s">
        <v>3</v>
      </c>
      <c r="D17" s="254" t="s">
        <v>4</v>
      </c>
      <c r="E17" s="255"/>
      <c r="F17" s="255"/>
      <c r="G17" s="255"/>
      <c r="H17" s="255"/>
      <c r="I17" s="255"/>
      <c r="J17" s="256"/>
      <c r="K17" s="8" t="s">
        <v>6</v>
      </c>
      <c r="L17" s="9" t="s">
        <v>7</v>
      </c>
      <c r="M17" s="29"/>
      <c r="N17" s="133" t="s">
        <v>1041</v>
      </c>
      <c r="O17" s="133" t="s">
        <v>1043</v>
      </c>
      <c r="P17" s="133" t="s">
        <v>1044</v>
      </c>
    </row>
    <row r="18" spans="2:16" ht="20.149999999999999" customHeight="1" x14ac:dyDescent="0.45">
      <c r="B18" s="30"/>
      <c r="C18" s="18"/>
      <c r="D18" s="168"/>
      <c r="E18" s="169"/>
      <c r="F18" s="169"/>
      <c r="G18" s="169"/>
      <c r="H18" s="169"/>
      <c r="I18" s="169"/>
      <c r="J18" s="169"/>
      <c r="K18" s="31"/>
      <c r="L18" s="60"/>
      <c r="M18" s="61"/>
      <c r="N18" s="82"/>
      <c r="O18" s="82"/>
      <c r="P18" s="82"/>
    </row>
    <row r="19" spans="2:16" ht="20.149999999999999" customHeight="1" x14ac:dyDescent="0.45">
      <c r="B19" s="30"/>
      <c r="C19" s="18"/>
      <c r="D19" s="271" t="s">
        <v>1193</v>
      </c>
      <c r="E19" s="271"/>
      <c r="F19" s="271"/>
      <c r="G19" s="271"/>
      <c r="H19" s="271"/>
      <c r="I19" s="271"/>
      <c r="J19" s="271"/>
      <c r="K19" s="170">
        <v>3210</v>
      </c>
      <c r="L19" s="171">
        <v>3210</v>
      </c>
      <c r="M19" s="61"/>
      <c r="N19" s="82"/>
      <c r="O19" s="82"/>
      <c r="P19" s="82"/>
    </row>
    <row r="20" spans="2:16" ht="20.149999999999999" customHeight="1" x14ac:dyDescent="0.45">
      <c r="B20" s="30"/>
      <c r="C20" s="18"/>
      <c r="D20" s="271"/>
      <c r="E20" s="271"/>
      <c r="F20" s="271"/>
      <c r="G20" s="271"/>
      <c r="H20" s="271"/>
      <c r="I20" s="271"/>
      <c r="J20" s="271"/>
      <c r="K20" s="170"/>
      <c r="L20" s="171"/>
      <c r="M20" s="61"/>
      <c r="N20" s="82"/>
      <c r="O20" s="82"/>
      <c r="P20" s="82"/>
    </row>
    <row r="21" spans="2:16" ht="20.149999999999999" customHeight="1" x14ac:dyDescent="0.45">
      <c r="B21" s="30"/>
      <c r="C21" s="18"/>
      <c r="D21" s="257"/>
      <c r="E21" s="257"/>
      <c r="F21" s="257"/>
      <c r="G21" s="63"/>
      <c r="H21" s="134"/>
      <c r="I21" s="273"/>
      <c r="J21" s="273"/>
      <c r="K21" s="31"/>
      <c r="L21" s="60"/>
      <c r="M21" s="61"/>
      <c r="N21" s="82"/>
      <c r="O21" s="82"/>
      <c r="P21" s="82"/>
    </row>
    <row r="22" spans="2:16" ht="20.149999999999999" customHeight="1" x14ac:dyDescent="0.45">
      <c r="B22" s="30"/>
      <c r="C22" s="18"/>
      <c r="D22" s="257"/>
      <c r="E22" s="257"/>
      <c r="F22" s="257"/>
      <c r="G22" s="63"/>
      <c r="H22" s="56"/>
      <c r="I22" s="260"/>
      <c r="J22" s="260"/>
      <c r="K22" s="31"/>
      <c r="L22" s="60"/>
      <c r="M22" s="61"/>
      <c r="N22" s="82"/>
      <c r="O22" s="82"/>
      <c r="P22" s="82"/>
    </row>
    <row r="23" spans="2:16" ht="20.149999999999999" customHeight="1" x14ac:dyDescent="0.45">
      <c r="B23" s="30"/>
      <c r="C23" s="18"/>
      <c r="D23" s="257"/>
      <c r="E23" s="257"/>
      <c r="F23" s="257"/>
      <c r="G23" s="63"/>
      <c r="H23" s="56"/>
      <c r="I23" s="260"/>
      <c r="J23" s="260"/>
      <c r="K23" s="31"/>
      <c r="L23" s="60"/>
      <c r="M23" s="61"/>
      <c r="N23" s="82"/>
      <c r="O23" s="82"/>
      <c r="P23" s="82"/>
    </row>
    <row r="24" spans="2:16" ht="20.149999999999999" customHeight="1" x14ac:dyDescent="0.45">
      <c r="B24" s="30"/>
      <c r="C24" s="18"/>
      <c r="D24" s="257"/>
      <c r="E24" s="257"/>
      <c r="F24" s="257"/>
      <c r="G24" s="63"/>
      <c r="H24" s="56"/>
      <c r="I24" s="260"/>
      <c r="J24" s="260"/>
      <c r="K24" s="31"/>
      <c r="L24" s="60"/>
      <c r="M24" s="61"/>
      <c r="N24" s="82"/>
      <c r="O24" s="82"/>
      <c r="P24" s="82"/>
    </row>
    <row r="25" spans="2:16" ht="20.149999999999999" customHeight="1" x14ac:dyDescent="0.45">
      <c r="B25" s="30"/>
      <c r="C25" s="18"/>
      <c r="D25" s="257"/>
      <c r="E25" s="257"/>
      <c r="F25" s="257"/>
      <c r="G25" s="63"/>
      <c r="H25" s="56"/>
      <c r="I25" s="260"/>
      <c r="J25" s="260"/>
      <c r="K25" s="31"/>
      <c r="L25" s="60"/>
      <c r="M25" s="61"/>
      <c r="N25" s="82"/>
      <c r="O25" s="82"/>
      <c r="P25" s="82"/>
    </row>
    <row r="26" spans="2:16" ht="20.149999999999999" customHeight="1" x14ac:dyDescent="0.45">
      <c r="B26" s="30"/>
      <c r="C26" s="18"/>
      <c r="D26" s="257"/>
      <c r="E26" s="257"/>
      <c r="F26" s="257"/>
      <c r="G26" s="63"/>
      <c r="H26" s="56"/>
      <c r="I26" s="260"/>
      <c r="J26" s="260"/>
      <c r="K26" s="31"/>
      <c r="L26" s="60"/>
      <c r="M26" s="61"/>
      <c r="N26" s="82"/>
      <c r="O26" s="82"/>
      <c r="P26" s="82"/>
    </row>
    <row r="27" spans="2:16" ht="20.149999999999999" customHeight="1" x14ac:dyDescent="0.45">
      <c r="B27" s="30"/>
      <c r="C27" s="18"/>
      <c r="D27" s="257"/>
      <c r="E27" s="257"/>
      <c r="F27" s="257"/>
      <c r="G27" s="63"/>
      <c r="H27" s="56"/>
      <c r="I27" s="260"/>
      <c r="J27" s="260"/>
      <c r="K27" s="31"/>
      <c r="L27" s="60"/>
      <c r="M27" s="61"/>
      <c r="N27" s="82"/>
      <c r="O27" s="82"/>
      <c r="P27" s="82"/>
    </row>
    <row r="28" spans="2:16" ht="20.149999999999999" customHeight="1" x14ac:dyDescent="0.45">
      <c r="B28" s="30"/>
      <c r="C28" s="18"/>
      <c r="D28" s="257"/>
      <c r="E28" s="257"/>
      <c r="F28" s="257"/>
      <c r="G28" s="63"/>
      <c r="H28" s="134"/>
      <c r="I28" s="272"/>
      <c r="J28" s="272"/>
      <c r="K28" s="31"/>
      <c r="L28" s="60"/>
      <c r="M28" s="61"/>
      <c r="N28" s="82"/>
      <c r="O28" s="82"/>
      <c r="P28" s="82"/>
    </row>
    <row r="29" spans="2:16" ht="20.149999999999999" customHeight="1" x14ac:dyDescent="0.45">
      <c r="B29" s="30"/>
      <c r="C29" s="18"/>
      <c r="D29" s="257"/>
      <c r="E29" s="257"/>
      <c r="F29" s="257"/>
      <c r="G29" s="63"/>
      <c r="H29" s="134"/>
      <c r="I29" s="272"/>
      <c r="J29" s="272"/>
      <c r="K29" s="31"/>
      <c r="L29" s="60"/>
      <c r="M29" s="61"/>
      <c r="N29" s="82"/>
      <c r="O29" s="82"/>
      <c r="P29" s="82"/>
    </row>
    <row r="30" spans="2:16" ht="20.149999999999999" customHeight="1" x14ac:dyDescent="0.45">
      <c r="B30" s="30"/>
      <c r="C30" s="18"/>
      <c r="D30" s="257"/>
      <c r="E30" s="257"/>
      <c r="F30" s="257"/>
      <c r="G30" s="63"/>
      <c r="H30" s="127"/>
      <c r="I30" s="260"/>
      <c r="J30" s="260"/>
      <c r="K30" s="31"/>
      <c r="L30" s="60"/>
      <c r="M30" s="61"/>
      <c r="N30" s="82"/>
      <c r="O30" s="82"/>
      <c r="P30" s="82"/>
    </row>
    <row r="31" spans="2:16" ht="20.149999999999999" customHeight="1" x14ac:dyDescent="0.45">
      <c r="B31" s="30"/>
      <c r="C31" s="18"/>
      <c r="G31" s="63"/>
      <c r="H31" s="127"/>
      <c r="I31" s="56"/>
      <c r="J31" s="56"/>
      <c r="K31" s="31"/>
      <c r="L31" s="60"/>
      <c r="M31" s="61"/>
      <c r="N31" s="82"/>
      <c r="O31" s="82"/>
      <c r="P31" s="82"/>
    </row>
    <row r="32" spans="2:16" ht="20.149999999999999" customHeight="1" thickBot="1" x14ac:dyDescent="0.5">
      <c r="B32" s="33"/>
      <c r="C32" s="34"/>
      <c r="D32" s="267"/>
      <c r="E32" s="267"/>
      <c r="F32" s="267"/>
      <c r="G32" s="34"/>
      <c r="H32" s="57"/>
      <c r="I32" s="268"/>
      <c r="J32" s="268"/>
      <c r="K32" s="35"/>
      <c r="L32" s="36"/>
    </row>
    <row r="33" spans="2:14" ht="20.149999999999999" customHeight="1" thickBot="1" x14ac:dyDescent="0.5">
      <c r="B33" s="37"/>
      <c r="L33" s="38"/>
    </row>
    <row r="34" spans="2:14" ht="20.149999999999999" customHeight="1" x14ac:dyDescent="0.45">
      <c r="B34" s="10" t="s">
        <v>17</v>
      </c>
      <c r="C34" s="6"/>
      <c r="D34" s="6"/>
      <c r="E34" s="6"/>
      <c r="F34" s="6"/>
      <c r="G34" s="6"/>
      <c r="H34" s="6"/>
      <c r="I34" s="6"/>
      <c r="J34" s="261" t="s">
        <v>14</v>
      </c>
      <c r="K34" s="262"/>
      <c r="L34" s="39">
        <f>SUM(L14:L30)</f>
        <v>3210</v>
      </c>
      <c r="M34" s="59">
        <f>SUM(P18:P30)</f>
        <v>0</v>
      </c>
      <c r="N34" s="80">
        <f>M34/L34</f>
        <v>0</v>
      </c>
    </row>
    <row r="35" spans="2:14" ht="20.149999999999999" customHeight="1" x14ac:dyDescent="0.45">
      <c r="B35" s="10" t="s">
        <v>18</v>
      </c>
      <c r="C35" s="6"/>
      <c r="D35" s="6"/>
      <c r="E35" s="6"/>
      <c r="F35" s="6"/>
      <c r="G35" s="6"/>
      <c r="H35" s="6"/>
      <c r="I35" s="6"/>
      <c r="J35" s="40" t="s">
        <v>21</v>
      </c>
      <c r="K35" s="41"/>
      <c r="L35" s="42">
        <f>L34*K35</f>
        <v>0</v>
      </c>
    </row>
    <row r="36" spans="2:14" ht="20.149999999999999" customHeight="1" x14ac:dyDescent="0.45">
      <c r="B36" s="10" t="s">
        <v>19</v>
      </c>
      <c r="C36" s="6"/>
      <c r="D36" s="6"/>
      <c r="E36" s="6"/>
      <c r="F36" s="6"/>
      <c r="G36" s="6"/>
      <c r="H36" s="6"/>
      <c r="I36" s="6"/>
      <c r="J36" s="263" t="s">
        <v>20</v>
      </c>
      <c r="K36" s="264"/>
      <c r="L36" s="42">
        <f>L34-L35</f>
        <v>3210</v>
      </c>
    </row>
    <row r="37" spans="2:14" ht="20.149999999999999" customHeight="1" x14ac:dyDescent="0.45">
      <c r="B37" s="10" t="s">
        <v>23</v>
      </c>
      <c r="C37" s="6"/>
      <c r="D37" s="6"/>
      <c r="E37" s="6"/>
      <c r="F37" s="6"/>
      <c r="G37" s="6"/>
      <c r="H37" s="6"/>
      <c r="I37" s="6"/>
      <c r="J37" s="74" t="s">
        <v>16</v>
      </c>
      <c r="K37" s="75">
        <v>7.0000000000000007E-2</v>
      </c>
      <c r="L37" s="43">
        <f>L36*K37</f>
        <v>224.70000000000002</v>
      </c>
    </row>
    <row r="38" spans="2:14" ht="20.149999999999999" customHeight="1" thickBot="1" x14ac:dyDescent="0.5">
      <c r="B38" s="10" t="s">
        <v>24</v>
      </c>
      <c r="C38" s="6"/>
      <c r="D38" s="6"/>
      <c r="E38" s="6"/>
      <c r="F38" s="6"/>
      <c r="G38" s="6"/>
      <c r="H38" s="6"/>
      <c r="I38" s="6"/>
      <c r="J38" s="265" t="s">
        <v>22</v>
      </c>
      <c r="K38" s="266"/>
      <c r="L38" s="44">
        <f>L36+L37</f>
        <v>3434.7</v>
      </c>
    </row>
    <row r="39" spans="2:14" ht="20.149999999999999" customHeight="1" x14ac:dyDescent="0.45">
      <c r="B39" s="10" t="s">
        <v>25</v>
      </c>
      <c r="C39" s="6"/>
      <c r="D39" s="6"/>
      <c r="E39" s="6"/>
      <c r="F39" s="6"/>
      <c r="G39" s="6"/>
      <c r="H39" s="6"/>
      <c r="I39" s="6"/>
      <c r="L39" s="38"/>
    </row>
    <row r="40" spans="2:14" ht="20.149999999999999" customHeight="1" x14ac:dyDescent="0.45">
      <c r="B40" s="37"/>
      <c r="L40" s="38"/>
    </row>
    <row r="41" spans="2:14" x14ac:dyDescent="0.45">
      <c r="B41" s="37"/>
      <c r="L41" s="38"/>
    </row>
    <row r="42" spans="2:14" ht="20.149999999999999" customHeight="1" x14ac:dyDescent="0.45">
      <c r="B42" s="37"/>
      <c r="L42" s="38"/>
    </row>
    <row r="43" spans="2:14" ht="20.149999999999999" customHeight="1" x14ac:dyDescent="0.45">
      <c r="B43" s="37"/>
      <c r="L43" s="38"/>
    </row>
    <row r="44" spans="2:14" x14ac:dyDescent="0.45">
      <c r="B44" s="45"/>
      <c r="C44" s="46"/>
      <c r="D44" s="46"/>
      <c r="J44" s="46"/>
      <c r="K44" s="46"/>
      <c r="L44" s="47"/>
    </row>
    <row r="45" spans="2:14" ht="20.149999999999999" customHeight="1" x14ac:dyDescent="0.45">
      <c r="B45" s="37" t="s">
        <v>26</v>
      </c>
      <c r="J45" s="20" t="s">
        <v>27</v>
      </c>
      <c r="L45" s="38"/>
    </row>
    <row r="46" spans="2:14" ht="19" thickBot="1" x14ac:dyDescent="0.5">
      <c r="B46" s="48"/>
      <c r="C46" s="49"/>
      <c r="D46" s="49"/>
      <c r="E46" s="49"/>
      <c r="F46" s="49"/>
      <c r="G46" s="49"/>
      <c r="H46" s="49"/>
      <c r="I46" s="49"/>
      <c r="J46" s="49"/>
      <c r="K46" s="49"/>
      <c r="L46" s="50"/>
    </row>
  </sheetData>
  <mergeCells count="38">
    <mergeCell ref="B1:L8"/>
    <mergeCell ref="K10:L10"/>
    <mergeCell ref="F11:H15"/>
    <mergeCell ref="K11:L11"/>
    <mergeCell ref="K12:L12"/>
    <mergeCell ref="B13:D13"/>
    <mergeCell ref="K13:L13"/>
    <mergeCell ref="B14:D14"/>
    <mergeCell ref="K14:L14"/>
    <mergeCell ref="B15:D15"/>
    <mergeCell ref="D21:F21"/>
    <mergeCell ref="I21:J21"/>
    <mergeCell ref="D22:F22"/>
    <mergeCell ref="I22:J22"/>
    <mergeCell ref="K15:L15"/>
    <mergeCell ref="I28:J28"/>
    <mergeCell ref="D23:F23"/>
    <mergeCell ref="I23:J23"/>
    <mergeCell ref="D24:F24"/>
    <mergeCell ref="I24:J24"/>
    <mergeCell ref="D25:F25"/>
    <mergeCell ref="I25:J25"/>
    <mergeCell ref="J34:K34"/>
    <mergeCell ref="J36:K36"/>
    <mergeCell ref="J38:K38"/>
    <mergeCell ref="D17:J17"/>
    <mergeCell ref="D19:J20"/>
    <mergeCell ref="D29:F29"/>
    <mergeCell ref="I29:J29"/>
    <mergeCell ref="D30:F30"/>
    <mergeCell ref="I30:J30"/>
    <mergeCell ref="D32:F32"/>
    <mergeCell ref="I32:J32"/>
    <mergeCell ref="D26:F26"/>
    <mergeCell ref="I26:J26"/>
    <mergeCell ref="D27:F27"/>
    <mergeCell ref="I27:J27"/>
    <mergeCell ref="D28:F28"/>
  </mergeCells>
  <pageMargins left="0.5" right="0.25" top="0.5" bottom="0.25" header="0.31496062992126" footer="0.31496062992126"/>
  <pageSetup paperSize="9" scale="74" orientation="portrait" horizontalDpi="4294967293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5D321-B535-4C8A-85F8-28BEA8575BC8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46387-9644-4914-8553-51257D0DB8F0}">
  <sheetPr codeName="Sheet3">
    <tabColor rgb="FFFFC000"/>
    <pageSetUpPr fitToPage="1"/>
  </sheetPr>
  <dimension ref="B2:R34"/>
  <sheetViews>
    <sheetView workbookViewId="0">
      <selection activeCell="B3" sqref="B3:B4"/>
    </sheetView>
  </sheetViews>
  <sheetFormatPr defaultRowHeight="14.5" x14ac:dyDescent="0.35"/>
  <cols>
    <col min="2" max="2" width="10.1796875" customWidth="1"/>
    <col min="3" max="3" width="23.54296875" customWidth="1"/>
    <col min="4" max="4" width="11.1796875" customWidth="1"/>
    <col min="5" max="5" width="19.453125" customWidth="1"/>
    <col min="6" max="6" width="13.453125" style="123" customWidth="1"/>
  </cols>
  <sheetData>
    <row r="2" spans="2:18" ht="23.5" x14ac:dyDescent="0.55000000000000004">
      <c r="B2" s="71" t="s">
        <v>1225</v>
      </c>
      <c r="C2" s="71"/>
      <c r="D2" s="194" t="s">
        <v>1223</v>
      </c>
    </row>
    <row r="3" spans="2:18" ht="20.149999999999999" customHeight="1" x14ac:dyDescent="0.35">
      <c r="B3" s="215" t="s">
        <v>356</v>
      </c>
      <c r="C3" s="217" t="s">
        <v>4</v>
      </c>
      <c r="D3" s="218" t="s">
        <v>481</v>
      </c>
      <c r="E3" s="220" t="s">
        <v>480</v>
      </c>
      <c r="F3" s="222" t="s">
        <v>6</v>
      </c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</row>
    <row r="4" spans="2:18" ht="20.149999999999999" customHeight="1" x14ac:dyDescent="0.35">
      <c r="B4" s="215"/>
      <c r="C4" s="217"/>
      <c r="D4" s="219"/>
      <c r="E4" s="221"/>
      <c r="F4" s="223"/>
      <c r="G4" s="81" t="s">
        <v>478</v>
      </c>
      <c r="H4" s="81" t="s">
        <v>479</v>
      </c>
      <c r="I4" s="81" t="s">
        <v>478</v>
      </c>
      <c r="J4" s="81" t="s">
        <v>479</v>
      </c>
      <c r="K4" s="81" t="s">
        <v>478</v>
      </c>
      <c r="L4" s="81" t="s">
        <v>479</v>
      </c>
      <c r="M4" s="81" t="s">
        <v>478</v>
      </c>
      <c r="N4" s="81" t="s">
        <v>479</v>
      </c>
      <c r="O4" s="81" t="s">
        <v>478</v>
      </c>
      <c r="P4" s="81" t="s">
        <v>479</v>
      </c>
      <c r="Q4" s="81" t="s">
        <v>478</v>
      </c>
      <c r="R4" s="81" t="s">
        <v>479</v>
      </c>
    </row>
    <row r="5" spans="2:18" ht="25" customHeight="1" x14ac:dyDescent="0.35">
      <c r="B5" s="5" t="s">
        <v>531</v>
      </c>
      <c r="C5" s="1" t="str">
        <f>VLOOKUP(B5,'Sales Master'!$B$3:$D$2462,2,0)</f>
        <v>Chendol浆咯</v>
      </c>
      <c r="D5" s="68" t="str">
        <f>VLOOKUP(B5,'Sales Master'!$B$3:$E$2462,4,0)</f>
        <v>DO!</v>
      </c>
      <c r="E5" s="1" t="str">
        <f>VLOOKUP(B5,'Sales Master'!$B$3:$F$2462,5,0)</f>
        <v>NW(2.2:0.8) 3 KG/BAG</v>
      </c>
      <c r="F5" s="76"/>
      <c r="G5" s="2"/>
      <c r="H5" s="1"/>
      <c r="I5" s="2"/>
      <c r="J5" s="1"/>
      <c r="K5" s="2"/>
      <c r="L5" s="1"/>
      <c r="M5" s="2"/>
      <c r="N5" s="1"/>
      <c r="O5" s="2"/>
      <c r="P5" s="1"/>
      <c r="Q5" s="2"/>
      <c r="R5" s="1"/>
    </row>
    <row r="6" spans="2:18" ht="25" customHeight="1" x14ac:dyDescent="0.35">
      <c r="B6" s="5" t="s">
        <v>530</v>
      </c>
      <c r="C6" s="1" t="str">
        <f>VLOOKUP(B6,'Sales Master'!$B$3:$D$2462,2,0)</f>
        <v>Bobo ChaCha Cubes 摩摩喳喳</v>
      </c>
      <c r="D6" s="68" t="str">
        <f>VLOOKUP(B6,'Sales Master'!$B$3:$E$2462,4,0)</f>
        <v>DO!</v>
      </c>
      <c r="E6" s="1" t="str">
        <f>VLOOKUP(B6,'Sales Master'!$B$3:$F$2462,5,0)</f>
        <v>800 GM/BAG</v>
      </c>
      <c r="F6" s="76"/>
      <c r="G6" s="2"/>
      <c r="H6" s="1"/>
      <c r="I6" s="2"/>
      <c r="J6" s="1"/>
      <c r="K6" s="2"/>
      <c r="L6" s="1"/>
      <c r="M6" s="2"/>
      <c r="N6" s="1"/>
      <c r="O6" s="2"/>
      <c r="P6" s="1"/>
      <c r="Q6" s="2"/>
      <c r="R6" s="1"/>
    </row>
    <row r="7" spans="2:18" ht="25" customHeight="1" x14ac:dyDescent="0.35">
      <c r="B7" s="5" t="s">
        <v>535</v>
      </c>
      <c r="C7" s="1" t="str">
        <f>VLOOKUP(B7,'Sales Master'!$B$3:$D$2462,2,0)</f>
        <v>Pong Thai Hai (Wet) 碰大海</v>
      </c>
      <c r="D7" s="68" t="str">
        <f>VLOOKUP(B7,'Sales Master'!$B$3:$E$2462,4,0)</f>
        <v>DO!</v>
      </c>
      <c r="E7" s="1" t="str">
        <f>VLOOKUP(B7,'Sales Master'!$B$3:$F$2462,5,0)</f>
        <v>1KG</v>
      </c>
      <c r="F7" s="76"/>
      <c r="G7" s="2"/>
      <c r="H7" s="1"/>
      <c r="I7" s="2"/>
      <c r="J7" s="1"/>
      <c r="K7" s="2"/>
      <c r="L7" s="1"/>
      <c r="M7" s="2"/>
      <c r="N7" s="1"/>
      <c r="O7" s="2"/>
      <c r="P7" s="1"/>
      <c r="Q7" s="2"/>
      <c r="R7" s="1"/>
    </row>
    <row r="8" spans="2:18" ht="25" customHeight="1" x14ac:dyDescent="0.35">
      <c r="B8" s="5" t="s">
        <v>555</v>
      </c>
      <c r="C8" s="1" t="str">
        <f>VLOOKUP(B8,'Sales Master'!$B$3:$D$2462,2,0)</f>
        <v>Tadpole蝌蚪</v>
      </c>
      <c r="D8" s="68" t="s">
        <v>425</v>
      </c>
      <c r="E8" s="1" t="str">
        <f>VLOOKUP(B8,'Sales Master'!$B$3:$F$2462,5,0)</f>
        <v>1 kg/Bag</v>
      </c>
      <c r="F8" s="76"/>
      <c r="G8" s="2"/>
      <c r="H8" s="1"/>
      <c r="I8" s="2"/>
      <c r="J8" s="1"/>
      <c r="K8" s="2"/>
      <c r="L8" s="1"/>
      <c r="M8" s="2"/>
      <c r="N8" s="1"/>
      <c r="O8" s="2"/>
      <c r="P8" s="1"/>
      <c r="Q8" s="2"/>
      <c r="R8" s="1"/>
    </row>
    <row r="9" spans="2:18" ht="25" customHeight="1" x14ac:dyDescent="0.35">
      <c r="B9" s="5" t="s">
        <v>578</v>
      </c>
      <c r="C9" s="1" t="str">
        <f>VLOOKUP(B9,'Sales Master'!$B$3:$D$2462,2,0)</f>
        <v>Agar Powder菜燕粉</v>
      </c>
      <c r="D9" s="68" t="str">
        <f>VLOOKUP(B9,'Sales Master'!$B$3:$E$2462,4,0)</f>
        <v>Rose</v>
      </c>
      <c r="E9" s="1" t="str">
        <f>VLOOKUP(B9,'Sales Master'!$B$3:$F$2462,5,0)</f>
        <v>(12g x 12pkt)/盒</v>
      </c>
      <c r="F9" s="76"/>
      <c r="G9" s="2"/>
      <c r="H9" s="1"/>
      <c r="I9" s="2"/>
      <c r="J9" s="1"/>
      <c r="K9" s="2"/>
      <c r="L9" s="1"/>
      <c r="M9" s="2"/>
      <c r="N9" s="1"/>
      <c r="O9" s="2"/>
      <c r="P9" s="1"/>
      <c r="Q9" s="2"/>
      <c r="R9" s="1"/>
    </row>
    <row r="10" spans="2:18" ht="25" customHeight="1" x14ac:dyDescent="0.35">
      <c r="B10" s="5" t="s">
        <v>638</v>
      </c>
      <c r="C10" s="1" t="str">
        <f>VLOOKUP(B10,'Sales Master'!$B$3:$D$2462,2,0)</f>
        <v>Chin Chow  仙草</v>
      </c>
      <c r="D10" s="68" t="str">
        <f>VLOOKUP(B10,'Sales Master'!$B$3:$E$2462,4,0)</f>
        <v>TSM</v>
      </c>
      <c r="E10" s="1" t="str">
        <f>VLOOKUP(B10,'Sales Master'!$B$3:$F$2462,5,0)</f>
        <v>5KGS/PKT</v>
      </c>
      <c r="F10" s="76"/>
      <c r="G10" s="2"/>
      <c r="H10" s="1"/>
      <c r="I10" s="2"/>
      <c r="J10" s="1"/>
      <c r="K10" s="2"/>
      <c r="L10" s="1"/>
      <c r="M10" s="2"/>
      <c r="N10" s="1"/>
      <c r="O10" s="2"/>
      <c r="P10" s="1"/>
      <c r="Q10" s="2"/>
      <c r="R10" s="1"/>
    </row>
    <row r="11" spans="2:18" ht="25" customHeight="1" x14ac:dyDescent="0.35">
      <c r="B11" s="5" t="s">
        <v>687</v>
      </c>
      <c r="C11" s="1" t="str">
        <f>VLOOKUP(B11,'Sales Master'!$B$3:$D$2462,2,0)</f>
        <v>Small Sago 小丸</v>
      </c>
      <c r="D11" s="68" t="str">
        <f>VLOOKUP(B11,'Sales Master'!$B$3:$E$2462,4,0)</f>
        <v>-</v>
      </c>
      <c r="E11" s="1" t="str">
        <f>VLOOKUP(B11,'Sales Master'!$B$3:$F$2462,5,0)</f>
        <v>5 kgs</v>
      </c>
      <c r="F11" s="76"/>
      <c r="G11" s="2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</row>
    <row r="12" spans="2:18" ht="25" customHeight="1" x14ac:dyDescent="0.35">
      <c r="B12" s="5" t="s">
        <v>684</v>
      </c>
      <c r="C12" s="1" t="str">
        <f>VLOOKUP(B12,'Sales Master'!$B$3:$D$2462,2,0)</f>
        <v>Big Sago 大丸</v>
      </c>
      <c r="D12" s="68" t="str">
        <f>VLOOKUP(B12,'Sales Master'!$B$3:$E$2462,4,0)</f>
        <v>-</v>
      </c>
      <c r="E12" s="1" t="str">
        <f>VLOOKUP(B12,'Sales Master'!$B$3:$F$2462,5,0)</f>
        <v>1 kg</v>
      </c>
      <c r="F12" s="76"/>
      <c r="G12" s="2"/>
      <c r="H12" s="1"/>
      <c r="I12" s="2"/>
      <c r="J12" s="1"/>
      <c r="K12" s="2"/>
      <c r="L12" s="1"/>
      <c r="M12" s="2"/>
      <c r="N12" s="1"/>
      <c r="O12" s="2"/>
      <c r="P12" s="1"/>
      <c r="Q12" s="2"/>
      <c r="R12" s="1"/>
    </row>
    <row r="13" spans="2:18" ht="25" customHeight="1" x14ac:dyDescent="0.35">
      <c r="B13" s="5" t="s">
        <v>690</v>
      </c>
      <c r="C13" s="1" t="str">
        <f>VLOOKUP(B13,'Sales Master'!$B$3:$D$2462,2,0)</f>
        <v>Dried Longan 龙眼干</v>
      </c>
      <c r="D13" s="68" t="s">
        <v>463</v>
      </c>
      <c r="E13" s="1" t="str">
        <f>VLOOKUP(B13,'Sales Master'!$B$3:$F$2462,5,0)</f>
        <v>1 kg</v>
      </c>
      <c r="F13" s="76"/>
      <c r="G13" s="2"/>
      <c r="H13" s="1"/>
      <c r="I13" s="2"/>
      <c r="J13" s="1"/>
      <c r="K13" s="2"/>
      <c r="L13" s="1"/>
      <c r="M13" s="2"/>
      <c r="N13" s="1"/>
      <c r="O13" s="2"/>
      <c r="P13" s="1"/>
      <c r="Q13" s="2"/>
      <c r="R13" s="1"/>
    </row>
    <row r="14" spans="2:18" ht="25" customHeight="1" x14ac:dyDescent="0.35">
      <c r="B14" s="5" t="s">
        <v>699</v>
      </c>
      <c r="C14" s="1" t="str">
        <f>VLOOKUP(B14,'Sales Master'!$B$3:$D$2462,2,0)</f>
        <v>Red Date 红枣 (Seedless)</v>
      </c>
      <c r="D14" s="68" t="str">
        <f>VLOOKUP(B14,'Sales Master'!$B$3:$E$2462,4,0)</f>
        <v>-</v>
      </c>
      <c r="E14" s="1" t="str">
        <f>VLOOKUP(B14,'Sales Master'!$B$3:$F$2462,5,0)</f>
        <v>1 kg</v>
      </c>
      <c r="F14" s="76"/>
      <c r="G14" s="2"/>
      <c r="H14" s="1"/>
      <c r="I14" s="2"/>
      <c r="J14" s="1"/>
      <c r="K14" s="2"/>
      <c r="L14" s="1"/>
      <c r="M14" s="2"/>
      <c r="N14" s="1"/>
      <c r="O14" s="2"/>
      <c r="P14" s="1"/>
      <c r="Q14" s="2"/>
      <c r="R14" s="1"/>
    </row>
    <row r="15" spans="2:18" ht="25" customHeight="1" x14ac:dyDescent="0.35">
      <c r="B15" s="5" t="s">
        <v>768</v>
      </c>
      <c r="C15" s="1" t="str">
        <f>VLOOKUP(B15,'Sales Master'!$B$3:$D$2462,2,0)</f>
        <v>Longan in Syrup龙眼</v>
      </c>
      <c r="D15" s="68" t="str">
        <f>VLOOKUP(B15,'Sales Master'!$B$3:$E$2462,4,0)</f>
        <v>YiFong</v>
      </c>
      <c r="E15" s="1" t="str">
        <f>VLOOKUP(B15,'Sales Master'!$B$3:$F$2462,5,0)</f>
        <v>(565gm x 12)/箱</v>
      </c>
      <c r="F15" s="76"/>
      <c r="G15" s="2"/>
      <c r="H15" s="1"/>
      <c r="I15" s="2"/>
      <c r="J15" s="1"/>
      <c r="K15" s="2"/>
      <c r="L15" s="1"/>
      <c r="M15" s="2"/>
      <c r="N15" s="1"/>
      <c r="O15" s="2"/>
      <c r="P15" s="1"/>
      <c r="Q15" s="2"/>
      <c r="R15" s="1"/>
    </row>
    <row r="16" spans="2:18" ht="25" customHeight="1" x14ac:dyDescent="0.35">
      <c r="B16" s="5" t="s">
        <v>774</v>
      </c>
      <c r="C16" s="1" t="str">
        <f>VLOOKUP(B16,'Sales Master'!$B$3:$D$2462,2,0)</f>
        <v>Lychee in Syrup荔枝</v>
      </c>
      <c r="D16" s="68" t="str">
        <f>VLOOKUP(B16,'Sales Master'!$B$3:$E$2462,4,0)</f>
        <v>MiLi</v>
      </c>
      <c r="E16" s="1" t="str">
        <f>VLOOKUP(B16,'Sales Master'!$B$3:$F$2462,5,0)</f>
        <v>12can/箱</v>
      </c>
      <c r="F16" s="76"/>
      <c r="G16" s="2"/>
      <c r="H16" s="1"/>
      <c r="I16" s="2"/>
      <c r="J16" s="1"/>
      <c r="K16" s="2"/>
      <c r="L16" s="1"/>
      <c r="M16" s="2"/>
      <c r="N16" s="1"/>
      <c r="O16" s="2"/>
      <c r="P16" s="1"/>
      <c r="Q16" s="2"/>
      <c r="R16" s="1"/>
    </row>
    <row r="17" spans="2:18" ht="25" customHeight="1" x14ac:dyDescent="0.35">
      <c r="B17" s="5" t="s">
        <v>777</v>
      </c>
      <c r="C17" s="1" t="str">
        <f>VLOOKUP(B17,'Sales Master'!$B$3:$D$2462,2,0)</f>
        <v>Fruit Cocktail杂果</v>
      </c>
      <c r="D17" s="68" t="str">
        <f>VLOOKUP(B17,'Sales Master'!$B$3:$E$2462,4,0)</f>
        <v>Statue</v>
      </c>
      <c r="E17" s="1" t="str">
        <f>VLOOKUP(B17,'Sales Master'!$B$3:$F$2462,5,0)</f>
        <v>(820gm x 12)/箱</v>
      </c>
      <c r="F17" s="76"/>
      <c r="G17" s="2"/>
      <c r="H17" s="1"/>
      <c r="I17" s="2"/>
      <c r="J17" s="1"/>
      <c r="K17" s="2"/>
      <c r="L17" s="1"/>
      <c r="M17" s="2"/>
      <c r="N17" s="1"/>
      <c r="O17" s="2"/>
      <c r="P17" s="1"/>
      <c r="Q17" s="2"/>
      <c r="R17" s="1"/>
    </row>
    <row r="18" spans="2:18" ht="25" customHeight="1" x14ac:dyDescent="0.35">
      <c r="B18" s="5" t="s">
        <v>787</v>
      </c>
      <c r="C18" s="1" t="str">
        <f>VLOOKUP(B18,'Sales Master'!$B$3:$D$2462,2,0)</f>
        <v>Carnation Milk三花淡奶水</v>
      </c>
      <c r="D18" s="68" t="str">
        <f>VLOOKUP(B18,'Sales Master'!$B$3:$E$2462,4,0)</f>
        <v>Threeflower</v>
      </c>
      <c r="E18" s="1" t="str">
        <f>VLOOKUP(B18,'Sales Master'!$B$3:$F$2462,5,0)</f>
        <v>405 gm x48 can/Ctn</v>
      </c>
      <c r="F18" s="76"/>
      <c r="G18" s="2"/>
      <c r="H18" s="1"/>
      <c r="I18" s="2"/>
      <c r="J18" s="1"/>
      <c r="K18" s="2"/>
      <c r="L18" s="1"/>
      <c r="M18" s="2"/>
      <c r="N18" s="1"/>
      <c r="O18" s="2"/>
      <c r="P18" s="1"/>
      <c r="Q18" s="2"/>
      <c r="R18" s="1"/>
    </row>
    <row r="19" spans="2:18" ht="25" customHeight="1" x14ac:dyDescent="0.35">
      <c r="B19" s="5" t="s">
        <v>798</v>
      </c>
      <c r="C19" s="1" t="str">
        <f>VLOOKUP(B19,'Sales Master'!$B$3:$D$2462,2,0)</f>
        <v>GingKo Nut白果罐</v>
      </c>
      <c r="D19" s="68" t="str">
        <f>VLOOKUP(B19,'Sales Master'!$B$3:$E$2462,4,0)</f>
        <v>MiLi</v>
      </c>
      <c r="E19" s="1" t="str">
        <f>VLOOKUP(B19,'Sales Master'!$B$3:$F$2462,5,0)</f>
        <v>(397gm x 24)/箱</v>
      </c>
      <c r="F19" s="76"/>
      <c r="G19" s="2"/>
      <c r="H19" s="1"/>
      <c r="I19" s="2"/>
      <c r="J19" s="1"/>
      <c r="K19" s="2"/>
      <c r="L19" s="1"/>
      <c r="M19" s="2"/>
      <c r="N19" s="1"/>
      <c r="O19" s="2"/>
      <c r="P19" s="1"/>
      <c r="Q19" s="2"/>
      <c r="R19" s="1"/>
    </row>
    <row r="20" spans="2:18" ht="25" customHeight="1" x14ac:dyDescent="0.35">
      <c r="B20" s="5" t="s">
        <v>811</v>
      </c>
      <c r="C20" s="1" t="str">
        <f>VLOOKUP(B20,'Sales Master'!$B$3:$D$2462,2,0)</f>
        <v>Coconut Milk 椰浆</v>
      </c>
      <c r="D20" s="68" t="str">
        <f>VLOOKUP(B20,'Sales Master'!$B$3:$E$2462,4,0)</f>
        <v>Sin-ind</v>
      </c>
      <c r="E20" s="1" t="str">
        <f>VLOOKUP(B20,'Sales Master'!$B$3:$F$2462,5,0)</f>
        <v>(1L x 12bag)/箱</v>
      </c>
      <c r="F20" s="76"/>
      <c r="G20" s="2"/>
      <c r="H20" s="1"/>
      <c r="I20" s="2"/>
      <c r="J20" s="1"/>
      <c r="K20" s="2"/>
      <c r="L20" s="1"/>
      <c r="M20" s="2"/>
      <c r="N20" s="1"/>
      <c r="O20" s="2"/>
      <c r="P20" s="1"/>
      <c r="Q20" s="2"/>
      <c r="R20" s="1"/>
    </row>
    <row r="21" spans="2:18" ht="25" customHeight="1" x14ac:dyDescent="0.35">
      <c r="B21" s="5" t="s">
        <v>1083</v>
      </c>
      <c r="C21" s="1" t="str">
        <f>VLOOKUP(B21,'Sales Master'!$B$3:$D$2462,2,0)</f>
        <v>CORN CREAM</v>
      </c>
      <c r="D21" s="68" t="str">
        <f>VLOOKUP(B21,'Sales Master'!$B$3:$E$2462,4,0)</f>
        <v>GOLDEN BOY</v>
      </c>
      <c r="E21" s="1" t="str">
        <f>VLOOKUP(B21,'Sales Master'!$B$3:$F$2462,5,0)</f>
        <v>24 CAN/CARTON</v>
      </c>
      <c r="F21" s="76"/>
      <c r="G21" s="2"/>
      <c r="H21" s="1"/>
      <c r="I21" s="2"/>
      <c r="J21" s="1"/>
      <c r="K21" s="2"/>
      <c r="L21" s="1"/>
      <c r="M21" s="2"/>
      <c r="N21" s="1"/>
      <c r="O21" s="2"/>
      <c r="P21" s="1"/>
      <c r="Q21" s="2"/>
      <c r="R21" s="1"/>
    </row>
    <row r="22" spans="2:18" ht="25" customHeight="1" x14ac:dyDescent="0.35">
      <c r="B22" s="5" t="s">
        <v>835</v>
      </c>
      <c r="C22" s="1" t="str">
        <f>VLOOKUP(B22,'Sales Master'!$B$3:$D$2462,2,0)</f>
        <v>Fine Sugar 白糖</v>
      </c>
      <c r="D22" s="68" t="str">
        <f>VLOOKUP(B22,'Sales Master'!$B$3:$E$2462,4,0)</f>
        <v>MITRPHOL</v>
      </c>
      <c r="E22" s="1" t="str">
        <f>VLOOKUP(B22,'Sales Master'!$B$3:$F$2462,5,0)</f>
        <v>25 KGS</v>
      </c>
      <c r="F22" s="76"/>
      <c r="G22" s="2"/>
      <c r="H22" s="1"/>
      <c r="I22" s="2"/>
      <c r="J22" s="1"/>
      <c r="K22" s="2"/>
      <c r="L22" s="1"/>
      <c r="M22" s="2"/>
      <c r="N22" s="1"/>
      <c r="O22" s="2"/>
      <c r="P22" s="1"/>
      <c r="Q22" s="2"/>
      <c r="R22" s="1"/>
    </row>
    <row r="23" spans="2:18" ht="25" customHeight="1" x14ac:dyDescent="0.35">
      <c r="B23" s="5" t="s">
        <v>851</v>
      </c>
      <c r="C23" s="1" t="str">
        <f>VLOOKUP(B23,'Sales Master'!$B$3:$D$2462,2,0)</f>
        <v>Sweet Potato 番薯</v>
      </c>
      <c r="D23" s="68" t="str">
        <f>VLOOKUP(B23,'Sales Master'!$B$3:$E$2462,4,0)</f>
        <v>Malaysia</v>
      </c>
      <c r="E23" s="1" t="str">
        <f>VLOOKUP(B23,'Sales Master'!$B$3:$F$2462,5,0)</f>
        <v>1 KG</v>
      </c>
      <c r="F23" s="76"/>
      <c r="G23" s="2"/>
      <c r="H23" s="1"/>
      <c r="I23" s="2"/>
      <c r="J23" s="1"/>
      <c r="K23" s="2"/>
      <c r="L23" s="1"/>
      <c r="M23" s="2"/>
      <c r="N23" s="1"/>
      <c r="O23" s="2"/>
      <c r="P23" s="1"/>
      <c r="Q23" s="2"/>
      <c r="R23" s="1"/>
    </row>
    <row r="24" spans="2:18" ht="25" customHeight="1" x14ac:dyDescent="0.35">
      <c r="B24" s="5" t="s">
        <v>853</v>
      </c>
      <c r="C24" s="1" t="str">
        <f>VLOOKUP(B24,'Sales Master'!$B$3:$D$2462,2,0)</f>
        <v>Yam 芋头</v>
      </c>
      <c r="D24" s="68" t="str">
        <f>VLOOKUP(B24,'Sales Master'!$B$3:$E$2462,4,0)</f>
        <v>Thailand</v>
      </c>
      <c r="E24" s="1" t="str">
        <f>VLOOKUP(B24,'Sales Master'!$B$3:$F$2462,5,0)</f>
        <v>1 KG</v>
      </c>
      <c r="F24" s="76"/>
      <c r="G24" s="2"/>
      <c r="H24" s="1"/>
      <c r="I24" s="2"/>
      <c r="J24" s="1"/>
      <c r="K24" s="2"/>
      <c r="L24" s="1"/>
      <c r="M24" s="2"/>
      <c r="N24" s="1"/>
      <c r="O24" s="2"/>
      <c r="P24" s="1"/>
      <c r="Q24" s="2"/>
      <c r="R24" s="1"/>
    </row>
    <row r="25" spans="2:18" ht="25" customHeight="1" x14ac:dyDescent="0.35">
      <c r="B25" s="5" t="s">
        <v>856</v>
      </c>
      <c r="C25" s="1" t="str">
        <f>VLOOKUP(B25,'Sales Master'!$B$3:$D$2462,2,0)</f>
        <v>Pandan Leaf 班兰叶</v>
      </c>
      <c r="D25" s="68" t="str">
        <f>VLOOKUP(B25,'Sales Master'!$B$3:$E$2462,4,0)</f>
        <v>-</v>
      </c>
      <c r="E25" s="1" t="str">
        <f>VLOOKUP(B25,'Sales Master'!$B$3:$F$2462,5,0)</f>
        <v>1 kg</v>
      </c>
      <c r="F25" s="76"/>
      <c r="G25" s="2"/>
      <c r="H25" s="1"/>
      <c r="I25" s="2"/>
      <c r="J25" s="1"/>
      <c r="K25" s="2"/>
      <c r="L25" s="1"/>
      <c r="M25" s="2"/>
      <c r="N25" s="1"/>
      <c r="O25" s="2"/>
      <c r="P25" s="1"/>
      <c r="Q25" s="2"/>
      <c r="R25" s="1"/>
    </row>
    <row r="26" spans="2:18" ht="25" customHeight="1" x14ac:dyDescent="0.35">
      <c r="B26" s="5" t="s">
        <v>866</v>
      </c>
      <c r="C26" s="1" t="str">
        <f>VLOOKUP(B26,'Sales Master'!$B$3:$D$2462,2,0)</f>
        <v>Food Coloring - Liquid)颜色-水</v>
      </c>
      <c r="D26" s="68" t="str">
        <f>VLOOKUP(B26,'Sales Master'!$B$3:$E$2462,4,0)</f>
        <v>Red/红</v>
      </c>
      <c r="E26" s="1" t="str">
        <f>VLOOKUP(B26,'Sales Master'!$B$3:$F$2462,5,0)</f>
        <v>500 ML/BTL</v>
      </c>
      <c r="F26" s="76"/>
      <c r="G26" s="2"/>
      <c r="H26" s="1"/>
      <c r="I26" s="2"/>
      <c r="J26" s="1"/>
      <c r="K26" s="2"/>
      <c r="L26" s="1"/>
      <c r="M26" s="2"/>
      <c r="N26" s="1"/>
      <c r="O26" s="2"/>
      <c r="P26" s="1"/>
      <c r="Q26" s="2"/>
      <c r="R26" s="1"/>
    </row>
    <row r="27" spans="2:18" ht="25" customHeight="1" x14ac:dyDescent="0.35">
      <c r="B27" s="5" t="s">
        <v>869</v>
      </c>
      <c r="C27" s="1" t="str">
        <f>VLOOKUP(B27,'Sales Master'!$B$3:$D$2462,2,0)</f>
        <v>Food Coloring - Liquid)颜色-水</v>
      </c>
      <c r="D27" s="68" t="str">
        <f>VLOOKUP(B27,'Sales Master'!$B$3:$E$2462,4,0)</f>
        <v>Black/黑</v>
      </c>
      <c r="E27" s="1" t="str">
        <f>VLOOKUP(B27,'Sales Master'!$B$3:$F$2462,5,0)</f>
        <v>500 ML/BTL</v>
      </c>
      <c r="F27" s="76"/>
      <c r="G27" s="2"/>
      <c r="H27" s="1"/>
      <c r="I27" s="2"/>
      <c r="J27" s="1"/>
      <c r="K27" s="2"/>
      <c r="L27" s="1"/>
      <c r="M27" s="2"/>
      <c r="N27" s="1"/>
      <c r="O27" s="2"/>
      <c r="P27" s="1"/>
      <c r="Q27" s="2"/>
      <c r="R27" s="1"/>
    </row>
    <row r="28" spans="2:18" ht="25" customHeight="1" x14ac:dyDescent="0.35">
      <c r="B28" s="5" t="s">
        <v>868</v>
      </c>
      <c r="C28" s="1" t="str">
        <f>VLOOKUP(B28,'Sales Master'!$B$3:$D$2462,2,0)</f>
        <v>Food Coloring - Liquid)颜色-水</v>
      </c>
      <c r="D28" s="68" t="str">
        <f>VLOOKUP(B28,'Sales Master'!$B$3:$E$2462,4,0)</f>
        <v>Yellow/黄</v>
      </c>
      <c r="E28" s="1" t="str">
        <f>VLOOKUP(B28,'Sales Master'!$B$3:$F$2462,5,0)</f>
        <v>500 ML/BTL</v>
      </c>
      <c r="F28" s="7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2:18" ht="25" customHeight="1" x14ac:dyDescent="0.35"/>
    <row r="30" spans="2:18" ht="25" customHeight="1" x14ac:dyDescent="0.35"/>
    <row r="31" spans="2:18" ht="25" customHeight="1" x14ac:dyDescent="0.35"/>
    <row r="32" spans="2:18" ht="25" customHeight="1" x14ac:dyDescent="0.35"/>
    <row r="33" ht="25" customHeight="1" x14ac:dyDescent="0.35"/>
    <row r="34" ht="25" customHeight="1" x14ac:dyDescent="0.35"/>
  </sheetData>
  <mergeCells count="11">
    <mergeCell ref="B3:B4"/>
    <mergeCell ref="K3:L3"/>
    <mergeCell ref="M3:N3"/>
    <mergeCell ref="O3:P3"/>
    <mergeCell ref="Q3:R3"/>
    <mergeCell ref="C3:C4"/>
    <mergeCell ref="D3:D4"/>
    <mergeCell ref="E3:E4"/>
    <mergeCell ref="G3:H3"/>
    <mergeCell ref="I3:J3"/>
    <mergeCell ref="F3:F4"/>
  </mergeCells>
  <pageMargins left="0.25" right="0.761811024" top="0.5" bottom="0.25" header="0.31496062992126" footer="0.31496062992126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C8F2A-5B08-470D-978B-CFA590F45DB3}">
  <sheetPr codeName="Sheet4">
    <tabColor rgb="FFFFC000"/>
    <pageSetUpPr fitToPage="1"/>
  </sheetPr>
  <dimension ref="B2:R35"/>
  <sheetViews>
    <sheetView tabSelected="1" workbookViewId="0">
      <selection activeCell="B3" sqref="B3:B4"/>
    </sheetView>
  </sheetViews>
  <sheetFormatPr defaultRowHeight="14.5" x14ac:dyDescent="0.35"/>
  <cols>
    <col min="2" max="2" width="10.1796875" customWidth="1"/>
    <col min="3" max="3" width="23.54296875" customWidth="1"/>
    <col min="4" max="4" width="11.1796875" customWidth="1"/>
    <col min="5" max="5" width="19.453125" customWidth="1"/>
    <col min="6" max="6" width="13.453125" style="123" customWidth="1"/>
  </cols>
  <sheetData>
    <row r="2" spans="2:18" ht="23.5" x14ac:dyDescent="0.55000000000000004">
      <c r="B2" s="71" t="s">
        <v>1226</v>
      </c>
      <c r="C2" s="71"/>
      <c r="D2" s="194" t="s">
        <v>1221</v>
      </c>
    </row>
    <row r="3" spans="2:18" ht="20.149999999999999" customHeight="1" x14ac:dyDescent="0.35">
      <c r="B3" s="215" t="s">
        <v>356</v>
      </c>
      <c r="C3" s="217" t="s">
        <v>4</v>
      </c>
      <c r="D3" s="218" t="s">
        <v>481</v>
      </c>
      <c r="E3" s="220" t="s">
        <v>480</v>
      </c>
      <c r="F3" s="222" t="s">
        <v>6</v>
      </c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</row>
    <row r="4" spans="2:18" ht="20.149999999999999" customHeight="1" x14ac:dyDescent="0.35">
      <c r="B4" s="215"/>
      <c r="C4" s="217"/>
      <c r="D4" s="219"/>
      <c r="E4" s="221"/>
      <c r="F4" s="223"/>
      <c r="G4" s="81" t="s">
        <v>478</v>
      </c>
      <c r="H4" s="81" t="s">
        <v>479</v>
      </c>
      <c r="I4" s="81" t="s">
        <v>478</v>
      </c>
      <c r="J4" s="81" t="s">
        <v>479</v>
      </c>
      <c r="K4" s="81" t="s">
        <v>478</v>
      </c>
      <c r="L4" s="81" t="s">
        <v>479</v>
      </c>
      <c r="M4" s="81" t="s">
        <v>478</v>
      </c>
      <c r="N4" s="81" t="s">
        <v>479</v>
      </c>
      <c r="O4" s="81" t="s">
        <v>478</v>
      </c>
      <c r="P4" s="81" t="s">
        <v>479</v>
      </c>
      <c r="Q4" s="81" t="s">
        <v>478</v>
      </c>
      <c r="R4" s="81" t="s">
        <v>479</v>
      </c>
    </row>
    <row r="5" spans="2:18" ht="25" customHeight="1" x14ac:dyDescent="0.35">
      <c r="B5" s="5" t="s">
        <v>644</v>
      </c>
      <c r="C5" s="1" t="str">
        <f>VLOOKUP(B5,'Sales Master'!$B$3:$D$2462,2,0)</f>
        <v>Red Bean红豆 (5.5 mm)</v>
      </c>
      <c r="D5" s="68" t="s">
        <v>427</v>
      </c>
      <c r="E5" s="1" t="str">
        <f>VLOOKUP(B5,'Sales Master'!$B$3:$F$2462,5,0)</f>
        <v>5 kgs</v>
      </c>
      <c r="F5" s="76">
        <v>19.5</v>
      </c>
      <c r="G5" s="2"/>
      <c r="H5" s="1"/>
      <c r="I5" s="2"/>
      <c r="J5" s="1"/>
      <c r="K5" s="2"/>
      <c r="L5" s="1"/>
      <c r="M5" s="2"/>
      <c r="N5" s="1"/>
      <c r="O5" s="2"/>
      <c r="P5" s="1"/>
      <c r="Q5" s="2"/>
      <c r="R5" s="1"/>
    </row>
    <row r="6" spans="2:18" ht="25" customHeight="1" x14ac:dyDescent="0.35">
      <c r="B6" s="5" t="s">
        <v>654</v>
      </c>
      <c r="C6" s="1" t="str">
        <f>VLOOKUP(B6,'Sales Master'!$B$3:$D$2462,2,0)</f>
        <v>Chia Tao赤豆</v>
      </c>
      <c r="D6" s="68" t="s">
        <v>427</v>
      </c>
      <c r="E6" s="1" t="str">
        <f>VLOOKUP(B6,'Sales Master'!$B$3:$F$2462,5,0)</f>
        <v>5 kgs</v>
      </c>
      <c r="F6" s="76">
        <v>19</v>
      </c>
      <c r="G6" s="2"/>
      <c r="H6" s="1"/>
      <c r="I6" s="2"/>
      <c r="J6" s="1"/>
      <c r="K6" s="2"/>
      <c r="L6" s="1"/>
      <c r="M6" s="2"/>
      <c r="N6" s="1"/>
      <c r="O6" s="2"/>
      <c r="P6" s="1"/>
      <c r="Q6" s="2"/>
      <c r="R6" s="1"/>
    </row>
    <row r="7" spans="2:18" ht="25" customHeight="1" x14ac:dyDescent="0.35">
      <c r="B7" s="5" t="s">
        <v>657</v>
      </c>
      <c r="C7" s="1" t="str">
        <f>VLOOKUP(B7,'Sales Master'!$B$3:$D$2462,2,0)</f>
        <v>Green Bean 绿豆</v>
      </c>
      <c r="D7" s="68" t="s">
        <v>427</v>
      </c>
      <c r="E7" s="1" t="s">
        <v>394</v>
      </c>
      <c r="F7" s="76">
        <v>15</v>
      </c>
      <c r="G7" s="2"/>
      <c r="H7" s="1"/>
      <c r="I7" s="2"/>
      <c r="J7" s="1"/>
      <c r="K7" s="2"/>
      <c r="L7" s="1"/>
      <c r="M7" s="2"/>
      <c r="N7" s="1"/>
      <c r="O7" s="2"/>
      <c r="P7" s="1"/>
      <c r="Q7" s="2"/>
      <c r="R7" s="1"/>
    </row>
    <row r="8" spans="2:18" ht="25" customHeight="1" x14ac:dyDescent="0.35">
      <c r="B8" s="5" t="s">
        <v>671</v>
      </c>
      <c r="C8" s="1" t="str">
        <f>VLOOKUP(B8,'Sales Master'!$B$3:$D$2462,2,0)</f>
        <v>Black Glutinous Rice 黑糯米</v>
      </c>
      <c r="D8" s="68" t="s">
        <v>52</v>
      </c>
      <c r="E8" s="1" t="str">
        <f>VLOOKUP(B8,'Sales Master'!$B$3:$F$2462,5,0)</f>
        <v>5 kgs</v>
      </c>
      <c r="F8" s="76">
        <v>18</v>
      </c>
      <c r="G8" s="2"/>
      <c r="H8" s="1"/>
      <c r="I8" s="2"/>
      <c r="J8" s="1"/>
      <c r="K8" s="2"/>
      <c r="L8" s="1"/>
      <c r="M8" s="2"/>
      <c r="N8" s="1"/>
      <c r="O8" s="2"/>
      <c r="P8" s="1"/>
      <c r="Q8" s="2"/>
      <c r="R8" s="1"/>
    </row>
    <row r="9" spans="2:18" ht="25" customHeight="1" x14ac:dyDescent="0.35">
      <c r="B9" s="5" t="s">
        <v>676</v>
      </c>
      <c r="C9" s="1" t="str">
        <f>VLOOKUP(B9,'Sales Master'!$B$3:$D$2462,2,0)</f>
        <v>White Glutinous Rice白糯米</v>
      </c>
      <c r="D9" s="68" t="s">
        <v>52</v>
      </c>
      <c r="E9" s="1" t="str">
        <f>VLOOKUP(B9,'Sales Master'!$B$3:$F$2462,5,0)</f>
        <v>1 kg</v>
      </c>
      <c r="F9" s="76">
        <v>2.4</v>
      </c>
      <c r="G9" s="2"/>
      <c r="H9" s="1"/>
      <c r="I9" s="2"/>
      <c r="J9" s="1"/>
      <c r="K9" s="2"/>
      <c r="L9" s="1"/>
      <c r="M9" s="2"/>
      <c r="N9" s="1"/>
      <c r="O9" s="2"/>
      <c r="P9" s="1"/>
      <c r="Q9" s="2"/>
      <c r="R9" s="1"/>
    </row>
    <row r="10" spans="2:18" ht="25" customHeight="1" x14ac:dyDescent="0.35">
      <c r="B10" s="5" t="s">
        <v>683</v>
      </c>
      <c r="C10" s="1" t="str">
        <f>VLOOKUP(B10,'Sales Master'!$B$3:$D$2462,2,0)</f>
        <v>Big Sago 大丸</v>
      </c>
      <c r="D10" s="68" t="str">
        <f>VLOOKUP(B10,'Sales Master'!$B$3:$E$2462,4,0)</f>
        <v>-</v>
      </c>
      <c r="E10" s="1" t="str">
        <f>VLOOKUP(B10,'Sales Master'!$B$3:$F$2462,5,0)</f>
        <v>5 kgs</v>
      </c>
      <c r="F10" s="92">
        <v>13</v>
      </c>
      <c r="G10" s="2"/>
      <c r="H10" s="1"/>
      <c r="I10" s="2"/>
      <c r="J10" s="1"/>
      <c r="K10" s="2"/>
      <c r="L10" s="1"/>
      <c r="M10" s="2"/>
      <c r="N10" s="1"/>
      <c r="O10" s="2"/>
      <c r="P10" s="1"/>
      <c r="Q10" s="2"/>
      <c r="R10" s="1"/>
    </row>
    <row r="11" spans="2:18" ht="25" customHeight="1" x14ac:dyDescent="0.35">
      <c r="B11" s="5" t="s">
        <v>688</v>
      </c>
      <c r="C11" s="1" t="str">
        <f>VLOOKUP(B11,'Sales Master'!$B$3:$D$2462,2,0)</f>
        <v>Small Sago 小丸</v>
      </c>
      <c r="D11" s="68" t="str">
        <f>VLOOKUP(B11,'Sales Master'!$B$3:$E$2462,4,0)</f>
        <v>-</v>
      </c>
      <c r="E11" s="1" t="str">
        <f>VLOOKUP(B11,'Sales Master'!$B$3:$F$2462,5,0)</f>
        <v>1 kg</v>
      </c>
      <c r="F11" s="92">
        <v>3.2</v>
      </c>
      <c r="G11" s="2"/>
      <c r="H11" s="193"/>
      <c r="I11" s="2"/>
      <c r="J11" s="1"/>
      <c r="K11" s="2"/>
      <c r="L11" s="1"/>
      <c r="M11" s="2"/>
      <c r="N11" s="1"/>
      <c r="O11" s="2"/>
      <c r="P11" s="1"/>
      <c r="Q11" s="2"/>
      <c r="R11" s="1"/>
    </row>
    <row r="12" spans="2:18" ht="25" customHeight="1" x14ac:dyDescent="0.35">
      <c r="B12" s="5" t="s">
        <v>690</v>
      </c>
      <c r="C12" s="1" t="str">
        <f>VLOOKUP(B12,'Sales Master'!$B$3:$D$2462,2,0)</f>
        <v>Dried Longan 龙眼干</v>
      </c>
      <c r="D12" s="68" t="str">
        <f>VLOOKUP(B12,'Sales Master'!$B$3:$E$2462,4,0)</f>
        <v>TL</v>
      </c>
      <c r="E12" s="1" t="str">
        <f>VLOOKUP(B12,'Sales Master'!$B$3:$F$2462,5,0)</f>
        <v>1 kg</v>
      </c>
      <c r="F12" s="92">
        <v>15</v>
      </c>
      <c r="G12" s="2"/>
      <c r="H12" s="209"/>
      <c r="I12" s="2"/>
      <c r="J12" s="1"/>
      <c r="K12" s="2"/>
      <c r="L12" s="1"/>
      <c r="M12" s="2"/>
      <c r="N12" s="1"/>
      <c r="O12" s="2"/>
      <c r="P12" s="1"/>
      <c r="Q12" s="2"/>
      <c r="R12" s="1"/>
    </row>
    <row r="13" spans="2:18" ht="25" customHeight="1" x14ac:dyDescent="0.35">
      <c r="B13" s="5" t="s">
        <v>696</v>
      </c>
      <c r="C13" s="1" t="str">
        <f>VLOOKUP(B13,'Sales Master'!$B$3:$D$2462,2,0)</f>
        <v>Fungus黄 木耳朵</v>
      </c>
      <c r="D13" s="68" t="str">
        <f>VLOOKUP(B13,'Sales Master'!$B$3:$E$2462,4,0)</f>
        <v>黄</v>
      </c>
      <c r="E13" s="1" t="str">
        <f>VLOOKUP(B13,'Sales Master'!$B$3:$F$2462,5,0)</f>
        <v>1 kg</v>
      </c>
      <c r="F13" s="76">
        <v>17</v>
      </c>
      <c r="G13" s="2"/>
      <c r="H13" s="1"/>
      <c r="I13" s="2"/>
      <c r="J13" s="1"/>
      <c r="K13" s="2"/>
      <c r="L13" s="1"/>
      <c r="M13" s="2"/>
      <c r="N13" s="1"/>
      <c r="O13" s="2"/>
      <c r="P13" s="1"/>
      <c r="Q13" s="2"/>
      <c r="R13" s="1"/>
    </row>
    <row r="14" spans="2:18" ht="25" customHeight="1" x14ac:dyDescent="0.35">
      <c r="B14" s="5" t="s">
        <v>761</v>
      </c>
      <c r="C14" s="1" t="str">
        <f>VLOOKUP(B14,'Sales Master'!$B$3:$D$2462,2,0)</f>
        <v>Sea Coconut海底椰</v>
      </c>
      <c r="D14" s="68" t="str">
        <f>VLOOKUP(B14,'Sales Master'!$B$3:$E$2462,4,0)</f>
        <v>Chefs</v>
      </c>
      <c r="E14" s="1" t="str">
        <f>VLOOKUP(B14,'Sales Master'!$B$3:$F$2462,5,0)</f>
        <v>1 Can X A10</v>
      </c>
      <c r="F14" s="92">
        <v>22</v>
      </c>
      <c r="G14" s="2"/>
      <c r="H14" s="1"/>
      <c r="I14" s="2"/>
      <c r="J14" s="1"/>
      <c r="K14" s="2"/>
      <c r="L14" s="1"/>
      <c r="M14" s="2"/>
      <c r="N14" s="1"/>
      <c r="O14" s="2"/>
      <c r="P14" s="1"/>
      <c r="Q14" s="2"/>
      <c r="R14" s="1"/>
    </row>
    <row r="15" spans="2:18" ht="25" customHeight="1" x14ac:dyDescent="0.35">
      <c r="B15" s="5" t="s">
        <v>768</v>
      </c>
      <c r="C15" s="1" t="str">
        <f>VLOOKUP(B15,'Sales Master'!$B$3:$D$2462,2,0)</f>
        <v>Longan in Syrup龙眼</v>
      </c>
      <c r="D15" s="68" t="str">
        <f>VLOOKUP(B15,'Sales Master'!$B$3:$E$2462,4,0)</f>
        <v>YiFong</v>
      </c>
      <c r="E15" s="1" t="str">
        <f>VLOOKUP(B15,'Sales Master'!$B$3:$F$2462,5,0)</f>
        <v>(565gm x 12)/箱</v>
      </c>
      <c r="F15" s="76">
        <v>28</v>
      </c>
      <c r="G15" s="2"/>
      <c r="H15" s="1"/>
      <c r="I15" s="2"/>
      <c r="J15" s="1"/>
      <c r="K15" s="2"/>
      <c r="L15" s="1"/>
      <c r="M15" s="2"/>
      <c r="N15" s="1"/>
      <c r="O15" s="2"/>
      <c r="P15" s="1"/>
      <c r="Q15" s="2"/>
      <c r="R15" s="1"/>
    </row>
    <row r="16" spans="2:18" ht="25" customHeight="1" x14ac:dyDescent="0.35">
      <c r="B16" s="5" t="s">
        <v>784</v>
      </c>
      <c r="C16" s="1" t="str">
        <f>VLOOKUP(B16,'Sales Master'!$B$3:$D$2462,2,0)</f>
        <v>Canned Red Bean 罐头 红豆</v>
      </c>
      <c r="D16" s="68" t="s">
        <v>1219</v>
      </c>
      <c r="E16" s="1" t="str">
        <f>VLOOKUP(B16,'Sales Master'!$B$3:$F$2462,5,0)</f>
        <v xml:space="preserve">3.3KG/Can </v>
      </c>
      <c r="F16" s="76">
        <v>13</v>
      </c>
      <c r="G16" s="2"/>
      <c r="H16" s="1"/>
      <c r="I16" s="2"/>
      <c r="J16" s="1"/>
      <c r="K16" s="2"/>
      <c r="L16" s="1"/>
      <c r="M16" s="2"/>
      <c r="N16" s="1"/>
      <c r="O16" s="2"/>
      <c r="P16" s="1"/>
      <c r="Q16" s="2"/>
      <c r="R16" s="1"/>
    </row>
    <row r="17" spans="2:18" ht="25" customHeight="1" x14ac:dyDescent="0.35">
      <c r="B17" s="5" t="s">
        <v>997</v>
      </c>
      <c r="C17" s="1" t="str">
        <f>VLOOKUP(B17,'Sales Master'!$B$3:$D$2462,2,0)</f>
        <v>Fruit Cocktail杂果</v>
      </c>
      <c r="D17" s="68" t="s">
        <v>1197</v>
      </c>
      <c r="E17" s="1" t="str">
        <f>VLOOKUP(B17,'Sales Master'!$B$3:$F$2462,5,0)</f>
        <v>(836gm x 12)/箱</v>
      </c>
      <c r="F17" s="76">
        <v>28</v>
      </c>
      <c r="G17" s="2"/>
      <c r="H17" s="1"/>
      <c r="I17" s="2"/>
      <c r="J17" s="1"/>
      <c r="K17" s="2"/>
      <c r="L17" s="1"/>
      <c r="M17" s="2"/>
      <c r="N17" s="1"/>
      <c r="O17" s="2"/>
      <c r="P17" s="1"/>
      <c r="Q17" s="2"/>
      <c r="R17" s="1"/>
    </row>
    <row r="18" spans="2:18" ht="25" customHeight="1" x14ac:dyDescent="0.35">
      <c r="B18" s="5" t="s">
        <v>831</v>
      </c>
      <c r="C18" s="1" t="str">
        <f>VLOOKUP(B18,'Sales Master'!$B$3:$D$2462,2,0)</f>
        <v>Brown Sugar 黑糖</v>
      </c>
      <c r="D18" s="68" t="str">
        <f>VLOOKUP(B18,'Sales Master'!$B$3:$E$2462,4,0)</f>
        <v>Star</v>
      </c>
      <c r="E18" s="1" t="str">
        <f>VLOOKUP(B18,'Sales Master'!$B$3:$F$2462,5,0)</f>
        <v>6 kgs</v>
      </c>
      <c r="F18" s="76">
        <v>18</v>
      </c>
      <c r="G18" s="2"/>
      <c r="H18" s="1"/>
      <c r="I18" s="2"/>
      <c r="J18" s="1"/>
      <c r="K18" s="2"/>
      <c r="L18" s="1"/>
      <c r="M18" s="2"/>
      <c r="N18" s="1"/>
      <c r="O18" s="2"/>
      <c r="P18" s="1"/>
      <c r="Q18" s="2"/>
      <c r="R18" s="1"/>
    </row>
    <row r="19" spans="2:18" ht="25" customHeight="1" x14ac:dyDescent="0.35">
      <c r="B19" s="5" t="s">
        <v>833</v>
      </c>
      <c r="C19" s="1" t="str">
        <f>VLOOKUP(B19,'Sales Master'!$B$3:$D$2462,2,0)</f>
        <v>Red Sugar 赤糖</v>
      </c>
      <c r="D19" s="68" t="str">
        <f>VLOOKUP(B19,'Sales Master'!$B$3:$E$2462,4,0)</f>
        <v>Star</v>
      </c>
      <c r="E19" s="1" t="str">
        <f>VLOOKUP(B19,'Sales Master'!$B$3:$F$2462,5,0)</f>
        <v>6 kgs</v>
      </c>
      <c r="F19" s="76">
        <v>18</v>
      </c>
      <c r="G19" s="2"/>
      <c r="H19" s="1"/>
      <c r="I19" s="2"/>
      <c r="J19" s="1"/>
      <c r="K19" s="2"/>
      <c r="L19" s="1"/>
      <c r="M19" s="2"/>
      <c r="N19" s="1"/>
      <c r="O19" s="2"/>
      <c r="P19" s="1"/>
      <c r="Q19" s="2"/>
      <c r="R19" s="1"/>
    </row>
    <row r="20" spans="2:18" ht="25" customHeight="1" x14ac:dyDescent="0.35">
      <c r="B20" s="5" t="s">
        <v>856</v>
      </c>
      <c r="C20" s="1" t="str">
        <f>VLOOKUP(B20,'Sales Master'!$B$3:$D$2462,2,0)</f>
        <v>Pandan Leaf 班兰叶</v>
      </c>
      <c r="D20" s="68" t="str">
        <f>VLOOKUP(B20,'Sales Master'!$B$3:$E$2462,4,0)</f>
        <v>-</v>
      </c>
      <c r="E20" s="1" t="str">
        <f>VLOOKUP(B20,'Sales Master'!$B$3:$F$2462,5,0)</f>
        <v>1 kg</v>
      </c>
      <c r="F20" s="76">
        <v>2</v>
      </c>
      <c r="G20" s="2"/>
      <c r="H20" s="1"/>
      <c r="I20" s="2"/>
      <c r="J20" s="1"/>
      <c r="K20" s="2"/>
      <c r="L20" s="1"/>
      <c r="M20" s="2"/>
      <c r="N20" s="1"/>
      <c r="O20" s="2"/>
      <c r="P20" s="1"/>
      <c r="Q20" s="2"/>
      <c r="R20" s="1"/>
    </row>
    <row r="21" spans="2:18" ht="25" customHeight="1" x14ac:dyDescent="0.35">
      <c r="B21" s="5" t="s">
        <v>639</v>
      </c>
      <c r="C21" s="1" t="str">
        <f>VLOOKUP(B21,'Sales Master'!$B$3:$D$2462,2,0)</f>
        <v>Selaseh (Basil Seed) 青蛙蛋</v>
      </c>
      <c r="D21" s="68" t="str">
        <f>VLOOKUP(B21,'Sales Master'!$B$3:$E$2462,4,0)</f>
        <v>Tukhmaria</v>
      </c>
      <c r="E21" s="1" t="str">
        <f>VLOOKUP(B21,'Sales Master'!$B$3:$F$2462,5,0)</f>
        <v>500 gm</v>
      </c>
      <c r="F21" s="76">
        <v>10</v>
      </c>
      <c r="G21" s="2"/>
      <c r="H21" s="1"/>
      <c r="I21" s="2"/>
      <c r="J21" s="1"/>
      <c r="K21" s="2"/>
      <c r="L21" s="1"/>
      <c r="M21" s="2"/>
      <c r="N21" s="1"/>
      <c r="O21" s="2"/>
      <c r="P21" s="1"/>
      <c r="Q21" s="2"/>
      <c r="R21" s="1"/>
    </row>
    <row r="22" spans="2:18" ht="25" customHeight="1" x14ac:dyDescent="0.35">
      <c r="B22" s="5" t="s">
        <v>636</v>
      </c>
      <c r="C22" s="1" t="str">
        <f>VLOOKUP(B22,'Sales Master'!$B$3:$D$2462,2,0)</f>
        <v>Atap Seeds in Syrup亚嗒子</v>
      </c>
      <c r="D22" s="68" t="str">
        <f>VLOOKUP(B22,'Sales Master'!$B$3:$E$2462,4,0)</f>
        <v>DO!</v>
      </c>
      <c r="E22" s="1" t="str">
        <f>VLOOKUP(B22,'Sales Master'!$B$3:$F$2462,5,0)</f>
        <v>NW (1.6:0.6) 2.2 kgs</v>
      </c>
      <c r="F22" s="92">
        <v>12</v>
      </c>
      <c r="G22" s="2"/>
      <c r="H22" s="1"/>
      <c r="I22" s="2"/>
      <c r="J22" s="1"/>
      <c r="K22" s="2"/>
      <c r="L22" s="1"/>
      <c r="M22" s="2"/>
      <c r="N22" s="1"/>
      <c r="O22" s="2"/>
      <c r="P22" s="1"/>
      <c r="Q22" s="2"/>
      <c r="R22" s="1"/>
    </row>
    <row r="23" spans="2:18" ht="25" customHeight="1" x14ac:dyDescent="0.35">
      <c r="B23" s="5" t="s">
        <v>835</v>
      </c>
      <c r="C23" s="1" t="str">
        <f>VLOOKUP(B23,'Sales Master'!$B$3:$D$2462,2,0)</f>
        <v>Fine Sugar 白糖</v>
      </c>
      <c r="D23" s="68" t="str">
        <f>VLOOKUP(B23,'Sales Master'!$B$3:$E$2462,4,0)</f>
        <v>MITRPHOL</v>
      </c>
      <c r="E23" s="1" t="str">
        <f>VLOOKUP(B23,'Sales Master'!$B$3:$F$2462,5,0)</f>
        <v>25 KGS</v>
      </c>
      <c r="F23" s="76">
        <v>35.5</v>
      </c>
      <c r="G23" s="2"/>
      <c r="H23" s="1"/>
      <c r="I23" s="2"/>
      <c r="J23" s="1"/>
      <c r="K23" s="2"/>
      <c r="L23" s="1"/>
      <c r="M23" s="2"/>
      <c r="N23" s="1"/>
      <c r="O23" s="2"/>
      <c r="P23" s="1"/>
      <c r="Q23" s="2"/>
      <c r="R23" s="1"/>
    </row>
    <row r="24" spans="2:18" ht="25" customHeight="1" x14ac:dyDescent="0.35">
      <c r="B24" s="5" t="s">
        <v>841</v>
      </c>
      <c r="C24" s="1" t="str">
        <f>VLOOKUP(B24,'Sales Master'!$B$3:$D$2462,2,0)</f>
        <v>Coconut Sugar椰糖</v>
      </c>
      <c r="D24" s="68" t="str">
        <f>VLOOKUP(B24,'Sales Master'!$B$3:$E$2462,4,0)</f>
        <v>2P</v>
      </c>
      <c r="E24" s="1" t="s">
        <v>49</v>
      </c>
      <c r="F24" s="76">
        <v>2.8</v>
      </c>
      <c r="G24" s="2"/>
      <c r="H24" s="1"/>
      <c r="I24" s="2"/>
      <c r="J24" s="1"/>
      <c r="K24" s="2"/>
      <c r="L24" s="1"/>
      <c r="M24" s="2"/>
      <c r="N24" s="1"/>
      <c r="O24" s="2"/>
      <c r="P24" s="1"/>
      <c r="Q24" s="2"/>
      <c r="R24" s="1"/>
    </row>
    <row r="25" spans="2:18" ht="25" customHeight="1" x14ac:dyDescent="0.35">
      <c r="B25" s="5" t="s">
        <v>851</v>
      </c>
      <c r="C25" s="1" t="str">
        <f>VLOOKUP(B25,'Sales Master'!$B$3:$D$2462,2,0)</f>
        <v>Sweet Potato 番薯</v>
      </c>
      <c r="D25" s="68" t="str">
        <f>VLOOKUP(B25,'Sales Master'!$B$3:$E$2462,4,0)</f>
        <v>Malaysia</v>
      </c>
      <c r="E25" s="1" t="str">
        <f>VLOOKUP(B25,'Sales Master'!$B$3:$F$2462,5,0)</f>
        <v>1 KG</v>
      </c>
      <c r="F25" s="76">
        <v>3</v>
      </c>
      <c r="G25" s="2"/>
      <c r="H25" s="1"/>
      <c r="I25" s="2"/>
      <c r="J25" s="1"/>
      <c r="K25" s="2"/>
      <c r="L25" s="1"/>
      <c r="M25" s="2"/>
      <c r="N25" s="1"/>
      <c r="O25" s="2"/>
      <c r="P25" s="1"/>
      <c r="Q25" s="2"/>
      <c r="R25" s="1"/>
    </row>
    <row r="26" spans="2:18" ht="25" customHeight="1" x14ac:dyDescent="0.35">
      <c r="B26" s="5" t="s">
        <v>853</v>
      </c>
      <c r="C26" s="1" t="str">
        <f>VLOOKUP(B26,'Sales Master'!$B$3:$D$2462,2,0)</f>
        <v>Yam 芋头</v>
      </c>
      <c r="D26" s="68" t="str">
        <f>VLOOKUP(B26,'Sales Master'!$B$3:$E$2462,4,0)</f>
        <v>Thailand</v>
      </c>
      <c r="E26" s="1" t="str">
        <f>VLOOKUP(B26,'Sales Master'!$B$3:$F$2462,5,0)</f>
        <v>1 KG</v>
      </c>
      <c r="F26" s="76">
        <v>4.8</v>
      </c>
      <c r="G26" s="2"/>
      <c r="H26" s="1"/>
      <c r="I26" s="2"/>
      <c r="J26" s="1"/>
      <c r="K26" s="2"/>
      <c r="L26" s="1"/>
      <c r="M26" s="2"/>
      <c r="N26" s="1"/>
      <c r="O26" s="2"/>
      <c r="P26" s="1"/>
      <c r="Q26" s="2"/>
      <c r="R26" s="1"/>
    </row>
    <row r="27" spans="2:18" ht="25" customHeight="1" x14ac:dyDescent="0.35">
      <c r="B27" s="5" t="s">
        <v>856</v>
      </c>
      <c r="C27" s="1" t="str">
        <f>VLOOKUP(B27,'Sales Master'!$B$3:$D$2462,2,0)</f>
        <v>Pandan Leaf 班兰叶</v>
      </c>
      <c r="D27" s="68" t="str">
        <f>VLOOKUP(B27,'Sales Master'!$B$3:$E$2462,4,0)</f>
        <v>-</v>
      </c>
      <c r="E27" s="1" t="str">
        <f>VLOOKUP(B27,'Sales Master'!$B$3:$F$2462,5,0)</f>
        <v>1 kg</v>
      </c>
      <c r="F27" s="76">
        <v>2.1</v>
      </c>
      <c r="G27" s="2"/>
      <c r="H27" s="1"/>
      <c r="I27" s="2"/>
      <c r="J27" s="1"/>
      <c r="K27" s="2"/>
      <c r="L27" s="1"/>
      <c r="M27" s="2"/>
      <c r="N27" s="1"/>
      <c r="O27" s="2"/>
      <c r="P27" s="1"/>
      <c r="Q27" s="2"/>
      <c r="R27" s="1"/>
    </row>
    <row r="28" spans="2:18" ht="25" customHeight="1" x14ac:dyDescent="0.35">
      <c r="B28" s="5" t="s">
        <v>531</v>
      </c>
      <c r="C28" s="1" t="str">
        <f>VLOOKUP(B28,'Sales Master'!$B$3:$D$2462,2,0)</f>
        <v>Chendol浆咯</v>
      </c>
      <c r="D28" s="68" t="str">
        <f>VLOOKUP(B28,'Sales Master'!$B$3:$E$2462,4,0)</f>
        <v>DO!</v>
      </c>
      <c r="E28" s="1" t="str">
        <f>VLOOKUP(B28,'Sales Master'!$B$3:$F$2462,5,0)</f>
        <v>NW(2.2:0.8) 3 KG/BAG</v>
      </c>
      <c r="F28" s="76">
        <v>8</v>
      </c>
      <c r="G28" s="2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</row>
    <row r="29" spans="2:18" ht="25" customHeight="1" x14ac:dyDescent="0.35">
      <c r="B29" s="5" t="s">
        <v>641</v>
      </c>
      <c r="C29" s="1" t="str">
        <f>VLOOKUP(B29,'Sales Master'!$B$3:$D$2462,2,0)</f>
        <v>GingKo Nut (Peel off)白果仁</v>
      </c>
      <c r="D29" s="68" t="str">
        <f>VLOOKUP(B29,'Sales Master'!$B$3:$E$2462,4,0)</f>
        <v>-</v>
      </c>
      <c r="E29" s="1" t="str">
        <f>VLOOKUP(B29,'Sales Master'!$B$3:$F$2462,5,0)</f>
        <v>1 kg (2 X 500GM)</v>
      </c>
      <c r="F29" s="76">
        <v>5</v>
      </c>
      <c r="G29" s="2"/>
      <c r="H29" s="1"/>
      <c r="I29" s="2"/>
      <c r="J29" s="1"/>
      <c r="K29" s="2"/>
      <c r="L29" s="1"/>
      <c r="M29" s="2"/>
      <c r="N29" s="1"/>
      <c r="O29" s="2"/>
      <c r="P29" s="1"/>
      <c r="Q29" s="2"/>
      <c r="R29" s="1"/>
    </row>
    <row r="30" spans="2:18" ht="25" customHeight="1" x14ac:dyDescent="0.35">
      <c r="B30" s="5" t="s">
        <v>680</v>
      </c>
      <c r="C30" s="1" t="str">
        <f>VLOOKUP(B30,'Sales Master'!$B$3:$D$2462,2,0)</f>
        <v>Pearl Barley 薏米</v>
      </c>
      <c r="D30" s="68" t="str">
        <f>VLOOKUP(B30,'Sales Master'!$B$3:$E$2462,4,0)</f>
        <v>-</v>
      </c>
      <c r="E30" s="1" t="str">
        <f>VLOOKUP(B30,'Sales Master'!$B$3:$F$2462,5,0)</f>
        <v>5 kgs</v>
      </c>
      <c r="F30" s="76">
        <v>11.5</v>
      </c>
      <c r="G30" s="2"/>
      <c r="H30" s="1"/>
      <c r="I30" s="2"/>
      <c r="J30" s="1"/>
      <c r="K30" s="2"/>
      <c r="L30" s="1"/>
      <c r="M30" s="2"/>
      <c r="N30" s="1"/>
      <c r="O30" s="2"/>
      <c r="P30" s="1"/>
      <c r="Q30" s="2"/>
      <c r="R30" s="1"/>
    </row>
    <row r="31" spans="2:18" ht="25" customHeight="1" x14ac:dyDescent="0.35">
      <c r="B31" s="5" t="s">
        <v>530</v>
      </c>
      <c r="C31" s="1" t="str">
        <f>VLOOKUP(B31,'Sales Master'!$B$3:$D$2462,2,0)</f>
        <v>Bobo ChaCha Cubes 摩摩喳喳</v>
      </c>
      <c r="D31" s="68" t="str">
        <f>VLOOKUP(B31,'Sales Master'!$B$3:$E$2462,4,0)</f>
        <v>DO!</v>
      </c>
      <c r="E31" s="1" t="str">
        <f>VLOOKUP(B31,'Sales Master'!$B$3:$F$2462,5,0)</f>
        <v>800 GM/BAG</v>
      </c>
      <c r="F31" s="76">
        <v>9</v>
      </c>
      <c r="G31" s="2"/>
      <c r="H31" s="1"/>
      <c r="I31" s="2"/>
      <c r="J31" s="1"/>
      <c r="K31" s="2"/>
      <c r="L31" s="1"/>
      <c r="M31" s="2"/>
      <c r="N31" s="1"/>
      <c r="O31" s="2"/>
      <c r="P31" s="1"/>
      <c r="Q31" s="2"/>
      <c r="R31" s="1"/>
    </row>
    <row r="32" spans="2:18" ht="25" customHeight="1" x14ac:dyDescent="0.35"/>
    <row r="33" ht="25" customHeight="1" x14ac:dyDescent="0.35"/>
    <row r="34" ht="25" customHeight="1" x14ac:dyDescent="0.35"/>
    <row r="35" ht="25" customHeight="1" x14ac:dyDescent="0.35"/>
  </sheetData>
  <mergeCells count="11">
    <mergeCell ref="Q3:R3"/>
    <mergeCell ref="B3:B4"/>
    <mergeCell ref="C3:C4"/>
    <mergeCell ref="D3:D4"/>
    <mergeCell ref="E3:E4"/>
    <mergeCell ref="F3:F4"/>
    <mergeCell ref="G3:H3"/>
    <mergeCell ref="I3:J3"/>
    <mergeCell ref="K3:L3"/>
    <mergeCell ref="M3:N3"/>
    <mergeCell ref="O3:P3"/>
  </mergeCells>
  <pageMargins left="0.70866141732283505" right="0.70866141732283505" top="0.74803149606299202" bottom="0.74803149606299202" header="0.31496062992126" footer="0.31496062992126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0E912-0DD0-4802-85BF-1AA7A6F62535}">
  <sheetPr codeName="Sheet5">
    <tabColor rgb="FFFFC000"/>
    <pageSetUpPr fitToPage="1"/>
  </sheetPr>
  <dimension ref="B2:R40"/>
  <sheetViews>
    <sheetView topLeftCell="A8" workbookViewId="0">
      <selection activeCell="B3" sqref="B3:B4"/>
    </sheetView>
  </sheetViews>
  <sheetFormatPr defaultRowHeight="14.5" x14ac:dyDescent="0.35"/>
  <cols>
    <col min="2" max="2" width="10.1796875" customWidth="1"/>
    <col min="3" max="3" width="28.6328125" customWidth="1"/>
    <col min="4" max="4" width="11.1796875" customWidth="1"/>
    <col min="5" max="5" width="19.453125" customWidth="1"/>
    <col min="6" max="6" width="13.26953125" style="123" customWidth="1"/>
  </cols>
  <sheetData>
    <row r="2" spans="2:18" ht="23.5" x14ac:dyDescent="0.55000000000000004">
      <c r="B2" s="71" t="s">
        <v>1224</v>
      </c>
      <c r="C2" s="71"/>
      <c r="D2" s="194" t="s">
        <v>1222</v>
      </c>
    </row>
    <row r="3" spans="2:18" ht="20.149999999999999" customHeight="1" x14ac:dyDescent="0.35">
      <c r="B3" s="218" t="s">
        <v>356</v>
      </c>
      <c r="C3" s="228" t="s">
        <v>4</v>
      </c>
      <c r="D3" s="218" t="s">
        <v>481</v>
      </c>
      <c r="E3" s="220" t="s">
        <v>357</v>
      </c>
      <c r="F3" s="222" t="s">
        <v>6</v>
      </c>
      <c r="G3" s="224" t="s">
        <v>1218</v>
      </c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2:18" ht="20.149999999999999" customHeight="1" x14ac:dyDescent="0.35">
      <c r="B4" s="219"/>
      <c r="C4" s="229"/>
      <c r="D4" s="219"/>
      <c r="E4" s="221"/>
      <c r="F4" s="223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2:18" ht="25" customHeight="1" x14ac:dyDescent="0.35">
      <c r="B5" s="191" t="s">
        <v>530</v>
      </c>
      <c r="C5" s="210" t="str">
        <f>VLOOKUP(B5,'Sales Master'!$B$3:$D$2462,2,0)</f>
        <v>Bobo ChaCha Cubes 摩摩喳喳</v>
      </c>
      <c r="D5" s="68" t="str">
        <f>VLOOKUP(B5,'Sales Master'!$B$3:$E$2462,4,0)</f>
        <v>DO!</v>
      </c>
      <c r="E5" s="1" t="str">
        <f>VLOOKUP(B5,'Sales Master'!$B$3:$F$2462,5,0)</f>
        <v>800 GM/BAG</v>
      </c>
      <c r="F5" s="7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2:18" ht="25" customHeight="1" x14ac:dyDescent="0.35">
      <c r="B6" s="191" t="s">
        <v>531</v>
      </c>
      <c r="C6" s="210" t="str">
        <f>VLOOKUP(B6,'Sales Master'!$B$3:$D$2462,2,0)</f>
        <v>Chendol浆咯</v>
      </c>
      <c r="D6" s="68" t="str">
        <f>VLOOKUP(B6,'Sales Master'!$B$3:$E$2462,4,0)</f>
        <v>DO!</v>
      </c>
      <c r="E6" s="1" t="str">
        <f>VLOOKUP(B6,'Sales Master'!$B$3:$F$2462,5,0)</f>
        <v>NW(2.2:0.8) 3 KG/BAG</v>
      </c>
      <c r="F6" s="7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2:18" ht="25" customHeight="1" x14ac:dyDescent="0.35">
      <c r="B7" s="191" t="s">
        <v>533</v>
      </c>
      <c r="C7" s="210" t="str">
        <f>VLOOKUP(B7,'Sales Master'!$B$3:$D$2462,2,0)</f>
        <v>Coconut Sugar Syrup 椰糖浆</v>
      </c>
      <c r="D7" s="68" t="str">
        <f>VLOOKUP(B7,'Sales Master'!$B$3:$E$2462,4,0)</f>
        <v>DO!</v>
      </c>
      <c r="E7" s="1" t="str">
        <f>VLOOKUP(B7,'Sales Master'!$B$3:$F$2462,5,0)</f>
        <v>4L/BTL</v>
      </c>
      <c r="F7" s="7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2:18" ht="25" customHeight="1" x14ac:dyDescent="0.35">
      <c r="B8" s="191" t="s">
        <v>535</v>
      </c>
      <c r="C8" s="210" t="str">
        <f>VLOOKUP(B8,'Sales Master'!$B$3:$D$2462,2,0)</f>
        <v>Pong Thai Hai (Wet) 碰大海</v>
      </c>
      <c r="D8" s="68" t="str">
        <f>VLOOKUP(B8,'Sales Master'!$B$3:$E$2462,4,0)</f>
        <v>DO!</v>
      </c>
      <c r="E8" s="1" t="str">
        <f>VLOOKUP(B8,'Sales Master'!$B$3:$F$2462,5,0)</f>
        <v>1KG</v>
      </c>
      <c r="F8" s="7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2:18" ht="25" customHeight="1" x14ac:dyDescent="0.35">
      <c r="B9" s="70" t="s">
        <v>571</v>
      </c>
      <c r="C9" s="210" t="str">
        <f>VLOOKUP(B9,'Sales Master'!$B$3:$D$2462,2,0)</f>
        <v>Jelly Powder "文头雪粉" (CARRAGEENAN)</v>
      </c>
      <c r="D9" s="68" t="str">
        <f>VLOOKUP(B9,'Sales Master'!$B$3:$E$2462,4,0)</f>
        <v>500/4000</v>
      </c>
      <c r="E9" s="1" t="str">
        <f>VLOOKUP(B9,'Sales Master'!$B$3:$F$2462,5,0)</f>
        <v>42gm x 10PKT/Bag</v>
      </c>
      <c r="F9" s="7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 ht="25" customHeight="1" x14ac:dyDescent="0.35">
      <c r="B10" s="192" t="s">
        <v>575</v>
      </c>
      <c r="C10" s="210" t="str">
        <f>VLOOKUP(B10,'Sales Master'!$B$3:$D$2462,2,0)</f>
        <v>Agar Powder菜燕粉</v>
      </c>
      <c r="D10" s="68" t="str">
        <f>VLOOKUP(B10,'Sales Master'!$B$3:$E$2462,4,0)</f>
        <v>No 1</v>
      </c>
      <c r="E10" s="1" t="str">
        <f>VLOOKUP(B10,'Sales Master'!$B$3:$F$2462,5,0)</f>
        <v>43 gms x 10PKT/Bag</v>
      </c>
      <c r="F10" s="7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ht="25" customHeight="1" x14ac:dyDescent="0.35">
      <c r="B11" s="191" t="s">
        <v>615</v>
      </c>
      <c r="C11" s="210" t="str">
        <f>VLOOKUP(B11,'Sales Master'!$B$3:$D$2462,2,0)</f>
        <v>Tapioca Flour 茨粉</v>
      </c>
      <c r="D11" s="68" t="str">
        <f>VLOOKUP(B11,'Sales Master'!$B$3:$E$2462,4,0)</f>
        <v>F/man 飞人</v>
      </c>
      <c r="E11" s="1" t="str">
        <f>VLOOKUP(B11,'Sales Master'!$B$3:$F$2462,5,0)</f>
        <v xml:space="preserve">500gm/pkt </v>
      </c>
      <c r="F11" s="7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2:18" ht="25" customHeight="1" x14ac:dyDescent="0.35">
      <c r="B12" s="191" t="s">
        <v>620</v>
      </c>
      <c r="C12" s="210" t="str">
        <f>VLOOKUP(B12,'Sales Master'!$B$3:$D$2462,2,0)</f>
        <v>Potato Starch 风车粉</v>
      </c>
      <c r="D12" s="68" t="str">
        <f>VLOOKUP(B12,'Sales Master'!$B$3:$E$2462,4,0)</f>
        <v>RE-PACK</v>
      </c>
      <c r="E12" s="1" t="str">
        <f>VLOOKUP(B12,'Sales Master'!$B$3:$F$2462,5,0)</f>
        <v>5 kg</v>
      </c>
      <c r="F12" s="7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2:18" ht="25" customHeight="1" x14ac:dyDescent="0.35">
      <c r="B13" s="191" t="s">
        <v>636</v>
      </c>
      <c r="C13" s="210" t="str">
        <f>VLOOKUP(B13,'Sales Master'!$B$3:$D$2462,2,0)</f>
        <v>Atap Seeds in Syrup亚嗒子</v>
      </c>
      <c r="D13" s="68" t="str">
        <f>VLOOKUP(B13,'Sales Master'!$B$3:$E$2462,4,0)</f>
        <v>DO!</v>
      </c>
      <c r="E13" s="1" t="str">
        <f>VLOOKUP(B13,'Sales Master'!$B$3:$F$2462,5,0)</f>
        <v>NW (1.6:0.6) 2.2 kgs</v>
      </c>
      <c r="F13" s="7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2:18" ht="25" customHeight="1" x14ac:dyDescent="0.35">
      <c r="B14" s="191" t="s">
        <v>657</v>
      </c>
      <c r="C14" s="210" t="str">
        <f>VLOOKUP(B14,'Sales Master'!$B$3:$D$2462,2,0)</f>
        <v>Green Bean 绿豆</v>
      </c>
      <c r="D14" s="68" t="str">
        <f>VLOOKUP(B14,'Sales Master'!$B$3:$E$2462,4,0)</f>
        <v>-</v>
      </c>
      <c r="E14" s="1" t="str">
        <f>VLOOKUP(B14,'Sales Master'!$B$3:$F$2462,5,0)</f>
        <v>5 kgs</v>
      </c>
      <c r="F14" s="7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18" ht="25" customHeight="1" x14ac:dyDescent="0.35">
      <c r="B15" s="192" t="s">
        <v>693</v>
      </c>
      <c r="C15" s="210" t="str">
        <f>VLOOKUP(B15,'Sales Master'!$B$3:$D$2462,2,0)</f>
        <v>Dried Longan 龙眼干</v>
      </c>
      <c r="D15" s="68" t="str">
        <f>VLOOKUP(B15,'Sales Master'!$B$3:$E$2462,4,0)</f>
        <v>中</v>
      </c>
      <c r="E15" s="1" t="str">
        <f>VLOOKUP(B15,'Sales Master'!$B$3:$F$2462,5,0)</f>
        <v>1 kg</v>
      </c>
      <c r="F15" s="7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18" ht="25" customHeight="1" x14ac:dyDescent="0.35">
      <c r="B16" s="191" t="s">
        <v>694</v>
      </c>
      <c r="C16" s="210" t="str">
        <f>VLOOKUP(B16,'Sales Master'!$B$3:$D$2462,2,0)</f>
        <v>Fungus 黄木耳</v>
      </c>
      <c r="D16" s="68" t="str">
        <f>VLOOKUP(B16,'Sales Master'!$B$3:$E$2462,4,0)</f>
        <v>黄</v>
      </c>
      <c r="E16" s="1" t="str">
        <f>VLOOKUP(B16,'Sales Master'!$B$3:$F$2462,5,0)</f>
        <v>1 kg</v>
      </c>
      <c r="F16" s="7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25" customHeight="1" x14ac:dyDescent="0.35">
      <c r="B17" s="191" t="s">
        <v>708</v>
      </c>
      <c r="C17" s="210" t="str">
        <f>VLOOKUP(B17,'Sales Master'!$B$3:$D$2462,2,0)</f>
        <v>Bean Curd Sheet 腐竹</v>
      </c>
      <c r="D17" s="68" t="str">
        <f>VLOOKUP(B17,'Sales Master'!$B$3:$E$2462,4,0)</f>
        <v>丰</v>
      </c>
      <c r="E17" s="1" t="str">
        <f>VLOOKUP(B17,'Sales Master'!$B$3:$F$2462,5,0)</f>
        <v xml:space="preserve">150g/pkt </v>
      </c>
      <c r="F17" s="7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25" customHeight="1" x14ac:dyDescent="0.35">
      <c r="B18" s="191" t="s">
        <v>711</v>
      </c>
      <c r="C18" s="210" t="str">
        <f>VLOOKUP(B18,'Sales Master'!$B$3:$D$2462,2,0)</f>
        <v>Bean Curd Sheet 腐竹</v>
      </c>
      <c r="D18" s="68" t="str">
        <f>VLOOKUP(B18,'Sales Master'!$B$3:$E$2462,4,0)</f>
        <v>生记</v>
      </c>
      <c r="E18" s="1" t="str">
        <f>VLOOKUP(B18,'Sales Master'!$B$3:$F$2462,5,0)</f>
        <v xml:space="preserve">150g/pkt </v>
      </c>
      <c r="F18" s="7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25" customHeight="1" x14ac:dyDescent="0.35">
      <c r="B19" s="192" t="s">
        <v>717</v>
      </c>
      <c r="C19" s="210" t="str">
        <f>VLOOKUP(B19,'Sales Master'!$B$3:$D$2462,2,0)</f>
        <v>Peanut 花生</v>
      </c>
      <c r="D19" s="68"/>
      <c r="E19" s="1" t="s">
        <v>73</v>
      </c>
      <c r="F19" s="7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25" customHeight="1" x14ac:dyDescent="0.35">
      <c r="B20" s="192" t="s">
        <v>755</v>
      </c>
      <c r="C20" s="210" t="str">
        <f>VLOOKUP(B20,'Sales Master'!$B$3:$D$2462,2,0)</f>
        <v>Sea Coconut海底椰</v>
      </c>
      <c r="D20" s="68" t="str">
        <f>VLOOKUP(B20,'Sales Master'!$B$3:$E$2462,4,0)</f>
        <v>MiLi</v>
      </c>
      <c r="E20" s="1" t="str">
        <f>VLOOKUP(B20,'Sales Master'!$B$3:$F$2462,5,0)</f>
        <v>(565gm x 12)/箱</v>
      </c>
      <c r="F20" s="7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25" customHeight="1" x14ac:dyDescent="0.35">
      <c r="B21" s="192" t="s">
        <v>761</v>
      </c>
      <c r="C21" s="210" t="str">
        <f>VLOOKUP(B21,'Sales Master'!$B$3:$D$2462,2,0)</f>
        <v>Sea Coconut海底椰</v>
      </c>
      <c r="D21" s="68" t="str">
        <f>VLOOKUP(B21,'Sales Master'!$B$3:$E$2462,4,0)</f>
        <v>Chefs</v>
      </c>
      <c r="E21" s="1" t="str">
        <f>VLOOKUP(B21,'Sales Master'!$B$3:$F$2462,5,0)</f>
        <v>1 Can X A10</v>
      </c>
      <c r="F21" s="7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25" customHeight="1" x14ac:dyDescent="0.35">
      <c r="B22" s="192" t="s">
        <v>768</v>
      </c>
      <c r="C22" s="210" t="str">
        <f>VLOOKUP(B22,'Sales Master'!$B$3:$D$2462,2,0)</f>
        <v>Longan in Syrup龙眼</v>
      </c>
      <c r="D22" s="68" t="str">
        <f>VLOOKUP(B22,'Sales Master'!$B$3:$E$2462,4,0)</f>
        <v>YiFong</v>
      </c>
      <c r="E22" s="1" t="str">
        <f>VLOOKUP(B22,'Sales Master'!$B$3:$F$2462,5,0)</f>
        <v>(565gm x 12)/箱</v>
      </c>
      <c r="F22" s="7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25" customHeight="1" x14ac:dyDescent="0.35">
      <c r="B23" s="192" t="s">
        <v>777</v>
      </c>
      <c r="C23" s="210" t="str">
        <f>VLOOKUP(B23,'Sales Master'!$B$3:$D$2462,2,0)</f>
        <v>Fruit Cocktail杂果</v>
      </c>
      <c r="D23" s="68" t="str">
        <f>VLOOKUP(B23,'Sales Master'!$B$3:$E$2462,4,0)</f>
        <v>Statue</v>
      </c>
      <c r="E23" s="1" t="str">
        <f>VLOOKUP(B23,'Sales Master'!$B$3:$F$2462,5,0)</f>
        <v>(820gm x 12)/箱</v>
      </c>
      <c r="F23" s="7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25" customHeight="1" x14ac:dyDescent="0.35">
      <c r="B24" s="192" t="s">
        <v>784</v>
      </c>
      <c r="C24" s="210" t="str">
        <f>VLOOKUP(B24,'Sales Master'!$B$3:$D$2462,2,0)</f>
        <v>Canned Red Bean 罐头 红豆</v>
      </c>
      <c r="D24" s="68" t="s">
        <v>1215</v>
      </c>
      <c r="E24" s="1" t="str">
        <f>VLOOKUP(B24,'Sales Master'!$B$3:$F$2462,5,0)</f>
        <v xml:space="preserve">3.3KG/Can </v>
      </c>
      <c r="F24" s="7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25" customHeight="1" x14ac:dyDescent="0.35">
      <c r="B25" s="192" t="s">
        <v>787</v>
      </c>
      <c r="C25" s="210" t="str">
        <f>VLOOKUP(B25,'Sales Master'!$B$3:$D$2462,2,0)</f>
        <v>Carnation Milk三花淡奶水</v>
      </c>
      <c r="D25" s="68" t="str">
        <f>VLOOKUP(B25,'Sales Master'!$B$3:$E$2462,4,0)</f>
        <v>Threeflower</v>
      </c>
      <c r="E25" s="1" t="str">
        <f>VLOOKUP(B25,'Sales Master'!$B$3:$F$2462,5,0)</f>
        <v>405 gm x48 can/Ctn</v>
      </c>
      <c r="F25" s="76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2:18" ht="25" customHeight="1" x14ac:dyDescent="0.35">
      <c r="B26" s="191" t="s">
        <v>798</v>
      </c>
      <c r="C26" s="210" t="str">
        <f>VLOOKUP(B26,'Sales Master'!$B$3:$D$2462,2,0)</f>
        <v>GingKo Nut白果罐</v>
      </c>
      <c r="D26" s="68" t="str">
        <f>VLOOKUP(B26,'Sales Master'!$B$3:$E$2462,4,0)</f>
        <v>MiLi</v>
      </c>
      <c r="E26" s="1" t="str">
        <f>VLOOKUP(B26,'Sales Master'!$B$3:$F$2462,5,0)</f>
        <v>(397gm x 24)/箱</v>
      </c>
      <c r="F26" s="7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2:18" ht="25" customHeight="1" x14ac:dyDescent="0.35">
      <c r="B27" s="192" t="s">
        <v>781</v>
      </c>
      <c r="C27" s="210" t="str">
        <f>VLOOKUP(B27,'Sales Master'!$B$3:$D$2462,2,0)</f>
        <v>Whole Corn玉米粒</v>
      </c>
      <c r="D27" s="68" t="str">
        <f>VLOOKUP(B27,'Sales Master'!$B$3:$E$2462,4,0)</f>
        <v>Statue</v>
      </c>
      <c r="E27" s="1" t="str">
        <f>VLOOKUP(B27,'Sales Master'!$B$3:$F$2462,5,0)</f>
        <v>(410gm x 24)/箱</v>
      </c>
      <c r="F27" s="7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2:18" ht="25" customHeight="1" x14ac:dyDescent="0.35">
      <c r="B28" s="192" t="s">
        <v>808</v>
      </c>
      <c r="C28" s="210" t="str">
        <f>VLOOKUP(B28,'Sales Master'!$B$3:$D$2462,2,0)</f>
        <v>Coconut Milk 椰浆</v>
      </c>
      <c r="D28" s="68" t="str">
        <f>VLOOKUP(B28,'Sales Master'!$B$3:$E$2462,4,0)</f>
        <v>Kara UHT</v>
      </c>
      <c r="E28" s="1" t="str">
        <f>VLOOKUP(B28,'Sales Master'!$B$3:$F$2462,5,0)</f>
        <v>(1L x 12bag)/箱</v>
      </c>
      <c r="F28" s="7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2:18" ht="25" customHeight="1" x14ac:dyDescent="0.35">
      <c r="B29" s="192" t="s">
        <v>811</v>
      </c>
      <c r="C29" s="210" t="str">
        <f>VLOOKUP(B29,'Sales Master'!$B$3:$D$2462,2,0)</f>
        <v>Coconut Milk 椰浆</v>
      </c>
      <c r="D29" s="68" t="str">
        <f>VLOOKUP(B29,'Sales Master'!$B$3:$E$2462,4,0)</f>
        <v>Sin-ind</v>
      </c>
      <c r="E29" s="1" t="str">
        <f>VLOOKUP(B29,'Sales Master'!$B$3:$F$2462,5,0)</f>
        <v>(1L x 12bag)/箱</v>
      </c>
      <c r="F29" s="7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2:18" ht="25" customHeight="1" x14ac:dyDescent="0.35">
      <c r="B30" s="192" t="s">
        <v>831</v>
      </c>
      <c r="C30" s="210" t="str">
        <f>VLOOKUP(B30,'Sales Master'!$B$3:$D$2462,2,0)</f>
        <v>Brown Sugar 黑糖</v>
      </c>
      <c r="D30" s="68" t="str">
        <f>VLOOKUP(B30,'Sales Master'!$B$3:$E$2462,4,0)</f>
        <v>Star</v>
      </c>
      <c r="E30" s="1" t="str">
        <f>VLOOKUP(B30,'Sales Master'!$B$3:$F$2462,5,0)</f>
        <v>6 kgs</v>
      </c>
      <c r="F30" s="76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2:18" ht="25" customHeight="1" x14ac:dyDescent="0.35">
      <c r="B31" s="192" t="s">
        <v>835</v>
      </c>
      <c r="C31" s="210" t="str">
        <f>VLOOKUP(B31,'Sales Master'!$B$3:$D$2462,2,0)</f>
        <v>Fine Sugar 白糖</v>
      </c>
      <c r="D31" s="68" t="str">
        <f>VLOOKUP(B31,'Sales Master'!$B$3:$E$2462,4,0)</f>
        <v>MITRPHOL</v>
      </c>
      <c r="E31" s="1" t="str">
        <f>VLOOKUP(B31,'Sales Master'!$B$3:$F$2462,5,0)</f>
        <v>25 KGS</v>
      </c>
      <c r="F31" s="7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2:18" ht="25" customHeight="1" x14ac:dyDescent="0.35">
      <c r="B32" s="192" t="s">
        <v>851</v>
      </c>
      <c r="C32" s="210" t="str">
        <f>VLOOKUP(B32,'Sales Master'!$B$3:$D$2462,2,0)</f>
        <v>Sweet Potato 番薯</v>
      </c>
      <c r="D32" s="68" t="str">
        <f>VLOOKUP(B32,'Sales Master'!$B$3:$E$2462,4,0)</f>
        <v>Malaysia</v>
      </c>
      <c r="E32" s="1" t="str">
        <f>VLOOKUP(B32,'Sales Master'!$B$3:$F$2462,5,0)</f>
        <v>1 KG</v>
      </c>
      <c r="F32" s="7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8" ht="25" customHeight="1" x14ac:dyDescent="0.35">
      <c r="B33" s="192" t="s">
        <v>853</v>
      </c>
      <c r="C33" s="210" t="str">
        <f>VLOOKUP(B33,'Sales Master'!$B$3:$D$2462,2,0)</f>
        <v>Yam 芋头</v>
      </c>
      <c r="D33" s="68" t="str">
        <f>VLOOKUP(B33,'Sales Master'!$B$3:$E$2462,4,0)</f>
        <v>Thailand</v>
      </c>
      <c r="E33" s="1" t="str">
        <f>VLOOKUP(B33,'Sales Master'!$B$3:$F$2462,5,0)</f>
        <v>1 KG</v>
      </c>
      <c r="F33" s="7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ht="25" customHeight="1" x14ac:dyDescent="0.35">
      <c r="B34" s="192" t="s">
        <v>856</v>
      </c>
      <c r="C34" s="210" t="str">
        <f>VLOOKUP(B34,'Sales Master'!$B$3:$D$2462,2,0)</f>
        <v>Pandan Leaf 班兰叶</v>
      </c>
      <c r="D34" s="68" t="str">
        <f>VLOOKUP(B34,'Sales Master'!$B$3:$E$2462,4,0)</f>
        <v>-</v>
      </c>
      <c r="E34" s="1" t="str">
        <f>VLOOKUP(B34,'Sales Master'!$B$3:$F$2462,5,0)</f>
        <v>1 kg</v>
      </c>
      <c r="F34" s="76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 ht="25" customHeight="1" x14ac:dyDescent="0.35">
      <c r="B35" s="192" t="s">
        <v>866</v>
      </c>
      <c r="C35" s="210" t="str">
        <f>VLOOKUP(B35,'Sales Master'!$B$3:$D$2462,2,0)</f>
        <v>Food Coloring - Liquid)颜色-水</v>
      </c>
      <c r="D35" s="68" t="str">
        <f>VLOOKUP(B35,'Sales Master'!$B$3:$E$2462,4,0)</f>
        <v>Red/红</v>
      </c>
      <c r="E35" s="1" t="str">
        <f>VLOOKUP(B35,'Sales Master'!$B$3:$F$2462,5,0)</f>
        <v>500 ML/BTL</v>
      </c>
      <c r="F35" s="7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18" ht="25" customHeight="1" x14ac:dyDescent="0.35">
      <c r="B36" s="192" t="s">
        <v>1216</v>
      </c>
      <c r="C36" s="210" t="str">
        <f>VLOOKUP(B36,'Sales Master'!$B$3:$D$2462,2,0)</f>
        <v>Almond Syrup 杏仁精</v>
      </c>
      <c r="D36" s="68" t="str">
        <f>VLOOKUP(B36,'Sales Master'!$B$3:$E$2462,4,0)</f>
        <v>Kwang Rong</v>
      </c>
      <c r="E36" s="1" t="str">
        <f>VLOOKUP(B36,'Sales Master'!$B$3:$F$2462,5,0)</f>
        <v>500 ml</v>
      </c>
      <c r="F36" s="76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18" ht="25" customHeight="1" x14ac:dyDescent="0.35">
      <c r="B37" s="225" t="s">
        <v>358</v>
      </c>
      <c r="C37" s="226"/>
      <c r="D37" s="226"/>
      <c r="E37" s="227"/>
      <c r="F37" s="13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18" ht="25" customHeight="1" x14ac:dyDescent="0.35"/>
    <row r="39" spans="2:18" ht="25" customHeight="1" x14ac:dyDescent="0.35"/>
    <row r="40" spans="2:18" ht="25" customHeight="1" x14ac:dyDescent="0.35"/>
  </sheetData>
  <sortState xmlns:xlrd2="http://schemas.microsoft.com/office/spreadsheetml/2017/richdata2" ref="B5:F34">
    <sortCondition ref="B5:B34"/>
  </sortState>
  <mergeCells count="7">
    <mergeCell ref="G3:R3"/>
    <mergeCell ref="B37:E37"/>
    <mergeCell ref="B3:B4"/>
    <mergeCell ref="C3:C4"/>
    <mergeCell ref="D3:D4"/>
    <mergeCell ref="E3:E4"/>
    <mergeCell ref="F3:F4"/>
  </mergeCells>
  <pageMargins left="0.74803149606299213" right="0.23622047244094491" top="0.51181102362204722" bottom="0.51181102362204722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0C588-D8BA-494F-8DEA-711D47CA5F78}">
  <sheetPr codeName="Sheet10">
    <pageSetUpPr fitToPage="1"/>
  </sheetPr>
  <dimension ref="B1:AA59"/>
  <sheetViews>
    <sheetView topLeftCell="D1" zoomScale="75" zoomScaleNormal="75" workbookViewId="0">
      <selection activeCell="B22" sqref="B22:F22"/>
    </sheetView>
  </sheetViews>
  <sheetFormatPr defaultColWidth="8.7265625" defaultRowHeight="18.5" x14ac:dyDescent="0.45"/>
  <cols>
    <col min="2" max="2" width="10.54296875" style="98" customWidth="1"/>
    <col min="3" max="3" width="32.54296875" style="98" customWidth="1"/>
    <col min="4" max="4" width="15.54296875" style="97" customWidth="1"/>
    <col min="5" max="5" width="10.54296875" style="97" customWidth="1"/>
    <col min="6" max="6" width="6.54296875" customWidth="1"/>
    <col min="7" max="7" width="2.54296875" customWidth="1"/>
    <col min="8" max="8" width="10.54296875" style="98" customWidth="1"/>
    <col min="9" max="9" width="35.54296875" style="98" customWidth="1"/>
    <col min="10" max="10" width="15.54296875" style="97" customWidth="1"/>
    <col min="11" max="11" width="10.54296875" style="97" customWidth="1"/>
    <col min="12" max="12" width="6.54296875" customWidth="1"/>
    <col min="13" max="13" width="2.54296875" customWidth="1"/>
    <col min="14" max="14" width="10.54296875" customWidth="1"/>
    <col min="15" max="15" width="35.54296875" customWidth="1"/>
    <col min="16" max="16" width="15.54296875" customWidth="1"/>
    <col min="18" max="18" width="6.54296875" customWidth="1"/>
    <col min="22" max="22" width="12.26953125" customWidth="1"/>
  </cols>
  <sheetData>
    <row r="1" spans="2:27" ht="19" thickBot="1" x14ac:dyDescent="0.5"/>
    <row r="2" spans="2:27" ht="25" customHeight="1" x14ac:dyDescent="0.35">
      <c r="B2" s="172" t="s">
        <v>513</v>
      </c>
      <c r="C2" s="205" t="s">
        <v>156</v>
      </c>
      <c r="D2" s="196" t="s">
        <v>517</v>
      </c>
      <c r="E2" s="174" t="s">
        <v>59</v>
      </c>
      <c r="F2" s="175"/>
      <c r="G2" s="176"/>
      <c r="H2" s="172" t="s">
        <v>634</v>
      </c>
      <c r="I2" s="173" t="s">
        <v>177</v>
      </c>
      <c r="J2" s="196" t="s">
        <v>151</v>
      </c>
      <c r="K2" s="174" t="s">
        <v>152</v>
      </c>
      <c r="L2" s="175"/>
      <c r="M2" s="177"/>
      <c r="N2" s="172" t="s">
        <v>755</v>
      </c>
      <c r="O2" s="173" t="s">
        <v>170</v>
      </c>
      <c r="P2" s="196" t="s">
        <v>331</v>
      </c>
      <c r="Q2" s="174" t="s">
        <v>273</v>
      </c>
      <c r="R2" s="199"/>
    </row>
    <row r="3" spans="2:27" ht="25" customHeight="1" x14ac:dyDescent="0.35">
      <c r="B3" s="178" t="s">
        <v>518</v>
      </c>
      <c r="C3" s="202" t="s">
        <v>157</v>
      </c>
      <c r="D3" s="195" t="s">
        <v>516</v>
      </c>
      <c r="E3" s="180" t="s">
        <v>59</v>
      </c>
      <c r="F3" s="181"/>
      <c r="G3" s="176"/>
      <c r="H3" s="178" t="s">
        <v>638</v>
      </c>
      <c r="I3" s="179" t="s">
        <v>470</v>
      </c>
      <c r="J3" s="195" t="s">
        <v>66</v>
      </c>
      <c r="K3" s="180" t="s">
        <v>416</v>
      </c>
      <c r="L3" s="181"/>
      <c r="M3" s="177"/>
      <c r="N3" s="178" t="s">
        <v>757</v>
      </c>
      <c r="O3" s="179" t="s">
        <v>170</v>
      </c>
      <c r="P3" s="195" t="s">
        <v>331</v>
      </c>
      <c r="Q3" s="185" t="s">
        <v>500</v>
      </c>
      <c r="R3" s="200"/>
    </row>
    <row r="4" spans="2:27" ht="25" customHeight="1" x14ac:dyDescent="0.35">
      <c r="B4" s="178" t="s">
        <v>520</v>
      </c>
      <c r="C4" s="202" t="s">
        <v>158</v>
      </c>
      <c r="D4" s="195" t="s">
        <v>305</v>
      </c>
      <c r="E4" s="180" t="s">
        <v>59</v>
      </c>
      <c r="F4" s="181"/>
      <c r="G4" s="176"/>
      <c r="H4" s="178" t="s">
        <v>639</v>
      </c>
      <c r="I4" s="179" t="s">
        <v>183</v>
      </c>
      <c r="J4" s="195" t="s">
        <v>49</v>
      </c>
      <c r="K4" s="180" t="s">
        <v>54</v>
      </c>
      <c r="L4" s="181"/>
      <c r="M4" s="177"/>
      <c r="N4" s="178" t="s">
        <v>761</v>
      </c>
      <c r="O4" s="179" t="s">
        <v>170</v>
      </c>
      <c r="P4" s="195" t="s">
        <v>90</v>
      </c>
      <c r="Q4" s="180" t="s">
        <v>43</v>
      </c>
      <c r="R4" s="200"/>
    </row>
    <row r="5" spans="2:27" ht="25" customHeight="1" x14ac:dyDescent="0.35">
      <c r="B5" s="178" t="s">
        <v>521</v>
      </c>
      <c r="C5" s="202" t="s">
        <v>159</v>
      </c>
      <c r="D5" s="195" t="s">
        <v>305</v>
      </c>
      <c r="E5" s="180" t="s">
        <v>59</v>
      </c>
      <c r="F5" s="181"/>
      <c r="G5" s="176"/>
      <c r="H5" s="178" t="s">
        <v>641</v>
      </c>
      <c r="I5" s="179" t="s">
        <v>238</v>
      </c>
      <c r="J5" s="195" t="s">
        <v>642</v>
      </c>
      <c r="K5" s="180" t="s">
        <v>461</v>
      </c>
      <c r="L5" s="181"/>
      <c r="M5" s="177"/>
      <c r="N5" s="178" t="s">
        <v>763</v>
      </c>
      <c r="O5" s="179" t="s">
        <v>348</v>
      </c>
      <c r="P5" s="195" t="s">
        <v>90</v>
      </c>
      <c r="Q5" s="180" t="s">
        <v>43</v>
      </c>
      <c r="R5" s="200"/>
      <c r="V5" s="12" t="s">
        <v>1010</v>
      </c>
    </row>
    <row r="6" spans="2:27" ht="25" customHeight="1" x14ac:dyDescent="0.35">
      <c r="B6" s="178" t="s">
        <v>522</v>
      </c>
      <c r="C6" s="202" t="s">
        <v>160</v>
      </c>
      <c r="D6" s="195" t="s">
        <v>305</v>
      </c>
      <c r="E6" s="180" t="s">
        <v>59</v>
      </c>
      <c r="F6" s="181"/>
      <c r="G6" s="176"/>
      <c r="H6" s="178" t="s">
        <v>644</v>
      </c>
      <c r="I6" s="179" t="s">
        <v>298</v>
      </c>
      <c r="J6" s="195" t="s">
        <v>53</v>
      </c>
      <c r="K6" s="180" t="s">
        <v>604</v>
      </c>
      <c r="L6" s="181"/>
      <c r="M6" s="177"/>
      <c r="N6" s="178" t="s">
        <v>767</v>
      </c>
      <c r="O6" s="179" t="s">
        <v>347</v>
      </c>
      <c r="P6" s="195" t="s">
        <v>90</v>
      </c>
      <c r="Q6" s="180" t="s">
        <v>43</v>
      </c>
      <c r="R6" s="200"/>
      <c r="V6" t="s">
        <v>1008</v>
      </c>
      <c r="W6">
        <v>3.25</v>
      </c>
      <c r="X6">
        <f>W6*0.07</f>
        <v>0.22750000000000004</v>
      </c>
      <c r="Y6">
        <f>W6+X6</f>
        <v>3.4775</v>
      </c>
      <c r="Z6">
        <v>5</v>
      </c>
      <c r="AA6">
        <f>Y6*Z6</f>
        <v>17.387499999999999</v>
      </c>
    </row>
    <row r="7" spans="2:27" ht="25" customHeight="1" x14ac:dyDescent="0.35">
      <c r="B7" s="178" t="s">
        <v>523</v>
      </c>
      <c r="C7" s="202" t="s">
        <v>161</v>
      </c>
      <c r="D7" s="195" t="s">
        <v>305</v>
      </c>
      <c r="E7" s="180" t="s">
        <v>1022</v>
      </c>
      <c r="F7" s="181"/>
      <c r="G7" s="176"/>
      <c r="H7" s="178" t="s">
        <v>649</v>
      </c>
      <c r="I7" s="179" t="s">
        <v>254</v>
      </c>
      <c r="J7" s="195" t="s">
        <v>53</v>
      </c>
      <c r="K7" s="180" t="s">
        <v>604</v>
      </c>
      <c r="L7" s="181"/>
      <c r="M7" s="177"/>
      <c r="N7" s="178" t="s">
        <v>768</v>
      </c>
      <c r="O7" s="179" t="s">
        <v>171</v>
      </c>
      <c r="P7" s="195" t="s">
        <v>331</v>
      </c>
      <c r="Q7" s="180" t="s">
        <v>400</v>
      </c>
      <c r="R7" s="200"/>
      <c r="W7">
        <v>3.75</v>
      </c>
      <c r="X7">
        <f>W7/107*7</f>
        <v>0.24532710280373829</v>
      </c>
      <c r="Y7">
        <f>W7+X7</f>
        <v>3.9953271028037385</v>
      </c>
      <c r="Z7">
        <v>5</v>
      </c>
      <c r="AA7">
        <f>Y7*Z7</f>
        <v>19.976635514018692</v>
      </c>
    </row>
    <row r="8" spans="2:27" ht="25" customHeight="1" x14ac:dyDescent="0.35">
      <c r="B8" s="178" t="s">
        <v>524</v>
      </c>
      <c r="C8" s="202" t="s">
        <v>466</v>
      </c>
      <c r="D8" s="195" t="s">
        <v>342</v>
      </c>
      <c r="E8" s="180" t="s">
        <v>1022</v>
      </c>
      <c r="F8" s="181"/>
      <c r="G8" s="176"/>
      <c r="H8" s="178" t="s">
        <v>652</v>
      </c>
      <c r="I8" s="179" t="s">
        <v>286</v>
      </c>
      <c r="J8" s="195" t="s">
        <v>53</v>
      </c>
      <c r="K8" s="182" t="s">
        <v>604</v>
      </c>
      <c r="L8" s="183"/>
      <c r="M8" s="184"/>
      <c r="N8" s="178" t="s">
        <v>774</v>
      </c>
      <c r="O8" s="179" t="s">
        <v>172</v>
      </c>
      <c r="P8" s="201" t="s">
        <v>463</v>
      </c>
      <c r="Q8" s="180" t="s">
        <v>1207</v>
      </c>
      <c r="R8" s="200"/>
      <c r="X8">
        <f>X7-X6</f>
        <v>1.7827102803738254E-2</v>
      </c>
      <c r="AA8">
        <f>AA7-AA6-X8</f>
        <v>2.5713084112149547</v>
      </c>
    </row>
    <row r="9" spans="2:27" ht="25" customHeight="1" x14ac:dyDescent="0.35">
      <c r="B9" s="178" t="s">
        <v>525</v>
      </c>
      <c r="C9" s="202" t="s">
        <v>467</v>
      </c>
      <c r="D9" s="195" t="s">
        <v>305</v>
      </c>
      <c r="E9" s="180" t="s">
        <v>1022</v>
      </c>
      <c r="F9" s="181"/>
      <c r="G9" s="176"/>
      <c r="H9" s="178" t="s">
        <v>654</v>
      </c>
      <c r="I9" s="179" t="s">
        <v>185</v>
      </c>
      <c r="J9" s="195" t="s">
        <v>53</v>
      </c>
      <c r="K9" s="182" t="s">
        <v>604</v>
      </c>
      <c r="L9" s="183"/>
      <c r="M9" s="184"/>
      <c r="N9" s="178" t="s">
        <v>770</v>
      </c>
      <c r="O9" s="179" t="s">
        <v>172</v>
      </c>
      <c r="P9" s="195" t="s">
        <v>338</v>
      </c>
      <c r="Q9" s="180" t="s">
        <v>46</v>
      </c>
      <c r="R9" s="200"/>
    </row>
    <row r="10" spans="2:27" ht="25" customHeight="1" x14ac:dyDescent="0.35">
      <c r="B10" s="178" t="s">
        <v>526</v>
      </c>
      <c r="C10" s="202" t="s">
        <v>227</v>
      </c>
      <c r="D10" s="195" t="s">
        <v>305</v>
      </c>
      <c r="E10" s="180" t="s">
        <v>1022</v>
      </c>
      <c r="F10" s="181"/>
      <c r="G10" s="176"/>
      <c r="H10" s="178" t="s">
        <v>657</v>
      </c>
      <c r="I10" s="179" t="s">
        <v>186</v>
      </c>
      <c r="J10" s="195" t="s">
        <v>53</v>
      </c>
      <c r="K10" s="180" t="s">
        <v>604</v>
      </c>
      <c r="L10" s="181"/>
      <c r="M10" s="177"/>
      <c r="N10" s="178" t="s">
        <v>777</v>
      </c>
      <c r="O10" s="179" t="s">
        <v>173</v>
      </c>
      <c r="P10" s="195" t="s">
        <v>333</v>
      </c>
      <c r="Q10" s="180" t="s">
        <v>47</v>
      </c>
      <c r="R10" s="200"/>
    </row>
    <row r="11" spans="2:27" ht="25" customHeight="1" x14ac:dyDescent="0.35">
      <c r="B11" s="178" t="s">
        <v>529</v>
      </c>
      <c r="C11" s="206" t="s">
        <v>1220</v>
      </c>
      <c r="D11" s="195" t="s">
        <v>55</v>
      </c>
      <c r="E11" s="180" t="s">
        <v>1022</v>
      </c>
      <c r="F11" s="181"/>
      <c r="G11" s="176"/>
      <c r="H11" s="178" t="s">
        <v>665</v>
      </c>
      <c r="I11" s="179" t="s">
        <v>187</v>
      </c>
      <c r="J11" s="195" t="s">
        <v>435</v>
      </c>
      <c r="K11" s="180" t="s">
        <v>604</v>
      </c>
      <c r="L11" s="181"/>
      <c r="M11" s="177"/>
      <c r="N11" s="178" t="s">
        <v>784</v>
      </c>
      <c r="O11" s="179" t="s">
        <v>216</v>
      </c>
      <c r="P11" s="195" t="s">
        <v>270</v>
      </c>
      <c r="Q11" s="180" t="s">
        <v>447</v>
      </c>
      <c r="R11" s="200"/>
      <c r="V11" t="s">
        <v>1009</v>
      </c>
      <c r="W11">
        <v>3.25</v>
      </c>
      <c r="X11">
        <f>W11*0.07</f>
        <v>0.22750000000000004</v>
      </c>
      <c r="Y11">
        <f>W11+X11</f>
        <v>3.4775</v>
      </c>
      <c r="Z11">
        <v>5</v>
      </c>
      <c r="AA11">
        <f>Y11*Z11</f>
        <v>17.387499999999999</v>
      </c>
    </row>
    <row r="12" spans="2:27" ht="25" customHeight="1" x14ac:dyDescent="0.35">
      <c r="B12" s="178" t="s">
        <v>530</v>
      </c>
      <c r="C12" s="202" t="s">
        <v>469</v>
      </c>
      <c r="D12" s="195" t="s">
        <v>306</v>
      </c>
      <c r="E12" s="180" t="s">
        <v>59</v>
      </c>
      <c r="F12" s="181"/>
      <c r="G12" s="176"/>
      <c r="H12" s="178" t="s">
        <v>671</v>
      </c>
      <c r="I12" s="179" t="s">
        <v>188</v>
      </c>
      <c r="J12" s="195" t="s">
        <v>53</v>
      </c>
      <c r="K12" s="180" t="s">
        <v>35</v>
      </c>
      <c r="L12" s="181"/>
      <c r="M12" s="177"/>
      <c r="N12" s="178" t="s">
        <v>787</v>
      </c>
      <c r="O12" s="179" t="s">
        <v>506</v>
      </c>
      <c r="P12" s="195" t="s">
        <v>457</v>
      </c>
      <c r="Q12" s="180" t="s">
        <v>1207</v>
      </c>
      <c r="R12" s="200"/>
      <c r="W12">
        <v>3.75</v>
      </c>
      <c r="X12">
        <f>W12*0.07</f>
        <v>0.26250000000000001</v>
      </c>
      <c r="Y12">
        <f>W12+X12</f>
        <v>4.0125000000000002</v>
      </c>
      <c r="Z12">
        <v>5</v>
      </c>
      <c r="AA12">
        <f>Y12*Z12</f>
        <v>20.0625</v>
      </c>
    </row>
    <row r="13" spans="2:27" ht="25" customHeight="1" x14ac:dyDescent="0.35">
      <c r="B13" s="178" t="s">
        <v>531</v>
      </c>
      <c r="C13" s="202" t="s">
        <v>166</v>
      </c>
      <c r="D13" s="195" t="s">
        <v>259</v>
      </c>
      <c r="E13" s="180" t="s">
        <v>59</v>
      </c>
      <c r="F13" s="181"/>
      <c r="G13" s="176"/>
      <c r="H13" s="178" t="s">
        <v>675</v>
      </c>
      <c r="I13" s="179" t="s">
        <v>189</v>
      </c>
      <c r="J13" s="195" t="s">
        <v>53</v>
      </c>
      <c r="K13" s="180" t="s">
        <v>35</v>
      </c>
      <c r="L13" s="181"/>
      <c r="M13" s="177"/>
      <c r="N13" s="178" t="s">
        <v>789</v>
      </c>
      <c r="O13" s="179" t="s">
        <v>505</v>
      </c>
      <c r="P13" s="195" t="s">
        <v>456</v>
      </c>
      <c r="Q13" s="180" t="s">
        <v>320</v>
      </c>
      <c r="R13" s="200"/>
      <c r="X13">
        <f>X12-X11</f>
        <v>3.4999999999999976E-2</v>
      </c>
      <c r="AA13">
        <f>AA12-AA11-X13</f>
        <v>2.6400000000000006</v>
      </c>
    </row>
    <row r="14" spans="2:27" ht="25" customHeight="1" x14ac:dyDescent="0.35">
      <c r="B14" s="178" t="s">
        <v>532</v>
      </c>
      <c r="C14" s="202" t="s">
        <v>896</v>
      </c>
      <c r="D14" s="195" t="s">
        <v>259</v>
      </c>
      <c r="E14" s="180" t="s">
        <v>416</v>
      </c>
      <c r="F14" s="181"/>
      <c r="G14" s="176"/>
      <c r="H14" s="178" t="s">
        <v>678</v>
      </c>
      <c r="I14" s="179" t="s">
        <v>190</v>
      </c>
      <c r="J14" s="195" t="s">
        <v>71</v>
      </c>
      <c r="K14" s="180" t="s">
        <v>35</v>
      </c>
      <c r="L14" s="181"/>
      <c r="M14" s="177"/>
      <c r="N14" s="178" t="s">
        <v>792</v>
      </c>
      <c r="O14" s="179" t="s">
        <v>791</v>
      </c>
      <c r="P14" s="195" t="s">
        <v>458</v>
      </c>
      <c r="Q14" s="185" t="s">
        <v>324</v>
      </c>
      <c r="R14" s="200"/>
    </row>
    <row r="15" spans="2:27" ht="25" customHeight="1" x14ac:dyDescent="0.35">
      <c r="B15" s="178" t="s">
        <v>533</v>
      </c>
      <c r="C15" s="202" t="s">
        <v>468</v>
      </c>
      <c r="D15" s="195" t="s">
        <v>311</v>
      </c>
      <c r="E15" s="180" t="s">
        <v>59</v>
      </c>
      <c r="F15" s="181"/>
      <c r="G15" s="176"/>
      <c r="H15" s="178" t="s">
        <v>680</v>
      </c>
      <c r="I15" s="179" t="s">
        <v>191</v>
      </c>
      <c r="J15" s="195" t="s">
        <v>53</v>
      </c>
      <c r="K15" s="182" t="s">
        <v>264</v>
      </c>
      <c r="L15" s="183"/>
      <c r="M15" s="184"/>
      <c r="N15" s="178" t="s">
        <v>798</v>
      </c>
      <c r="O15" s="179" t="s">
        <v>237</v>
      </c>
      <c r="P15" s="195" t="s">
        <v>336</v>
      </c>
      <c r="Q15" s="180" t="s">
        <v>1207</v>
      </c>
      <c r="R15" s="200"/>
      <c r="V15" t="s">
        <v>1009</v>
      </c>
      <c r="W15">
        <v>3.25</v>
      </c>
      <c r="X15">
        <f>W15*0.07</f>
        <v>0.22750000000000004</v>
      </c>
      <c r="Y15">
        <f>W15+X15</f>
        <v>3.4775</v>
      </c>
      <c r="Z15">
        <v>5</v>
      </c>
      <c r="AA15">
        <f>Y15*Z15</f>
        <v>17.387499999999999</v>
      </c>
    </row>
    <row r="16" spans="2:27" ht="25" customHeight="1" x14ac:dyDescent="0.35">
      <c r="B16" s="178" t="s">
        <v>534</v>
      </c>
      <c r="C16" s="202" t="s">
        <v>894</v>
      </c>
      <c r="D16" s="195" t="s">
        <v>311</v>
      </c>
      <c r="E16" s="182" t="s">
        <v>59</v>
      </c>
      <c r="F16" s="183"/>
      <c r="G16" s="176"/>
      <c r="H16" s="178" t="s">
        <v>683</v>
      </c>
      <c r="I16" s="179" t="s">
        <v>192</v>
      </c>
      <c r="J16" s="195" t="s">
        <v>53</v>
      </c>
      <c r="K16" s="180" t="s">
        <v>604</v>
      </c>
      <c r="L16" s="181"/>
      <c r="M16" s="177"/>
      <c r="N16" s="178" t="s">
        <v>799</v>
      </c>
      <c r="O16" s="179" t="s">
        <v>176</v>
      </c>
      <c r="P16" s="195" t="s">
        <v>337</v>
      </c>
      <c r="Q16" s="180" t="s">
        <v>240</v>
      </c>
      <c r="R16" s="200"/>
      <c r="W16">
        <v>3.35</v>
      </c>
      <c r="X16">
        <f>W16*0.07</f>
        <v>0.23450000000000004</v>
      </c>
      <c r="Y16">
        <f>W16+X16</f>
        <v>3.5845000000000002</v>
      </c>
      <c r="Z16">
        <v>5</v>
      </c>
      <c r="AA16">
        <f>Y16*Z16</f>
        <v>17.922499999999999</v>
      </c>
    </row>
    <row r="17" spans="2:27" ht="25" customHeight="1" x14ac:dyDescent="0.35">
      <c r="B17" s="178" t="s">
        <v>535</v>
      </c>
      <c r="C17" s="202" t="s">
        <v>201</v>
      </c>
      <c r="D17" s="195" t="s">
        <v>355</v>
      </c>
      <c r="E17" s="180" t="s">
        <v>59</v>
      </c>
      <c r="F17" s="181"/>
      <c r="G17" s="176"/>
      <c r="H17" s="178" t="s">
        <v>687</v>
      </c>
      <c r="I17" s="179" t="s">
        <v>193</v>
      </c>
      <c r="J17" s="195" t="s">
        <v>53</v>
      </c>
      <c r="K17" s="180" t="s">
        <v>604</v>
      </c>
      <c r="L17" s="181"/>
      <c r="M17" s="177"/>
      <c r="N17" s="178" t="s">
        <v>805</v>
      </c>
      <c r="O17" s="179" t="s">
        <v>289</v>
      </c>
      <c r="P17" s="195" t="s">
        <v>338</v>
      </c>
      <c r="Q17" s="180" t="s">
        <v>1207</v>
      </c>
      <c r="R17" s="200"/>
      <c r="X17">
        <f>X16-X15</f>
        <v>7.0000000000000062E-3</v>
      </c>
      <c r="AA17">
        <f>AA16-AA15-X17</f>
        <v>0.52800000000000014</v>
      </c>
    </row>
    <row r="18" spans="2:27" ht="25" customHeight="1" x14ac:dyDescent="0.35">
      <c r="B18" s="178" t="s">
        <v>1130</v>
      </c>
      <c r="C18" s="202" t="s">
        <v>1132</v>
      </c>
      <c r="D18" s="195" t="s">
        <v>33</v>
      </c>
      <c r="E18" s="180" t="s">
        <v>59</v>
      </c>
      <c r="F18" s="181"/>
      <c r="G18" s="176"/>
      <c r="H18" s="178" t="s">
        <v>690</v>
      </c>
      <c r="I18" s="179" t="s">
        <v>194</v>
      </c>
      <c r="J18" s="195" t="s">
        <v>33</v>
      </c>
      <c r="K18" s="180" t="s">
        <v>149</v>
      </c>
      <c r="L18" s="181"/>
      <c r="M18" s="177"/>
      <c r="N18" s="178" t="s">
        <v>808</v>
      </c>
      <c r="O18" s="179" t="s">
        <v>208</v>
      </c>
      <c r="P18" s="195" t="s">
        <v>339</v>
      </c>
      <c r="Q18" s="180" t="s">
        <v>1212</v>
      </c>
      <c r="R18" s="200"/>
    </row>
    <row r="19" spans="2:27" ht="25" customHeight="1" x14ac:dyDescent="0.35">
      <c r="B19" s="178" t="s">
        <v>546</v>
      </c>
      <c r="C19" s="202" t="s">
        <v>441</v>
      </c>
      <c r="D19" s="195" t="s">
        <v>424</v>
      </c>
      <c r="E19" s="180" t="s">
        <v>425</v>
      </c>
      <c r="F19" s="186"/>
      <c r="G19" s="176"/>
      <c r="H19" s="178" t="s">
        <v>693</v>
      </c>
      <c r="I19" s="179" t="s">
        <v>194</v>
      </c>
      <c r="J19" s="195" t="s">
        <v>33</v>
      </c>
      <c r="K19" s="180" t="s">
        <v>302</v>
      </c>
      <c r="L19" s="181"/>
      <c r="M19" s="177"/>
      <c r="N19" s="178" t="s">
        <v>812</v>
      </c>
      <c r="O19" s="179" t="s">
        <v>248</v>
      </c>
      <c r="P19" s="195" t="s">
        <v>129</v>
      </c>
      <c r="Q19" s="180" t="s">
        <v>35</v>
      </c>
      <c r="R19" s="200"/>
    </row>
    <row r="20" spans="2:27" ht="25" customHeight="1" x14ac:dyDescent="0.35">
      <c r="B20" s="178" t="s">
        <v>551</v>
      </c>
      <c r="C20" s="202" t="s">
        <v>1165</v>
      </c>
      <c r="D20" s="195" t="s">
        <v>33</v>
      </c>
      <c r="E20" s="180" t="s">
        <v>59</v>
      </c>
      <c r="F20" s="181"/>
      <c r="G20" s="176"/>
      <c r="H20" s="178" t="s">
        <v>694</v>
      </c>
      <c r="I20" s="179" t="s">
        <v>390</v>
      </c>
      <c r="J20" s="195" t="s">
        <v>33</v>
      </c>
      <c r="K20" s="180" t="s">
        <v>304</v>
      </c>
      <c r="L20" s="181"/>
      <c r="M20" s="177"/>
      <c r="N20" s="178" t="s">
        <v>1011</v>
      </c>
      <c r="O20" s="179" t="s">
        <v>289</v>
      </c>
      <c r="P20" s="195" t="s">
        <v>338</v>
      </c>
      <c r="Q20" s="185" t="s">
        <v>378</v>
      </c>
      <c r="R20" s="200"/>
    </row>
    <row r="21" spans="2:27" ht="25" customHeight="1" x14ac:dyDescent="0.35">
      <c r="B21" s="178" t="s">
        <v>1031</v>
      </c>
      <c r="C21" s="202" t="s">
        <v>1026</v>
      </c>
      <c r="D21" s="195" t="s">
        <v>40</v>
      </c>
      <c r="E21" s="180" t="s">
        <v>1035</v>
      </c>
      <c r="F21" s="200"/>
      <c r="G21" s="176"/>
      <c r="H21" s="178" t="s">
        <v>696</v>
      </c>
      <c r="I21" s="179" t="s">
        <v>391</v>
      </c>
      <c r="J21" s="195" t="s">
        <v>33</v>
      </c>
      <c r="K21" s="180" t="s">
        <v>304</v>
      </c>
      <c r="L21" s="181"/>
      <c r="M21" s="177"/>
      <c r="N21" s="178" t="s">
        <v>1040</v>
      </c>
      <c r="O21" s="179" t="s">
        <v>1208</v>
      </c>
      <c r="P21" s="195" t="s">
        <v>333</v>
      </c>
      <c r="Q21" s="180" t="s">
        <v>802</v>
      </c>
      <c r="R21" s="200"/>
    </row>
    <row r="22" spans="2:27" ht="25" customHeight="1" x14ac:dyDescent="0.35">
      <c r="B22" s="178" t="s">
        <v>1102</v>
      </c>
      <c r="C22" s="202" t="s">
        <v>1078</v>
      </c>
      <c r="D22" s="195" t="s">
        <v>1206</v>
      </c>
      <c r="E22" s="180" t="s">
        <v>59</v>
      </c>
      <c r="F22" s="200"/>
      <c r="G22" s="176"/>
      <c r="H22" s="178" t="s">
        <v>697</v>
      </c>
      <c r="I22" s="179" t="s">
        <v>252</v>
      </c>
      <c r="J22" s="195" t="s">
        <v>33</v>
      </c>
      <c r="K22" s="180" t="s">
        <v>302</v>
      </c>
      <c r="L22" s="181"/>
      <c r="M22" s="177"/>
      <c r="N22" s="211" t="s">
        <v>1083</v>
      </c>
      <c r="O22" s="179" t="s">
        <v>1209</v>
      </c>
      <c r="P22" s="195" t="s">
        <v>334</v>
      </c>
      <c r="Q22" s="212" t="s">
        <v>984</v>
      </c>
      <c r="R22" s="200"/>
    </row>
    <row r="23" spans="2:27" ht="25" customHeight="1" x14ac:dyDescent="0.35">
      <c r="B23" s="178" t="s">
        <v>552</v>
      </c>
      <c r="C23" s="202" t="s">
        <v>142</v>
      </c>
      <c r="D23" s="195" t="s">
        <v>554</v>
      </c>
      <c r="E23" s="180" t="s">
        <v>447</v>
      </c>
      <c r="F23" s="200"/>
      <c r="G23" s="176"/>
      <c r="H23" s="178" t="s">
        <v>699</v>
      </c>
      <c r="I23" s="179" t="s">
        <v>195</v>
      </c>
      <c r="J23" s="195" t="s">
        <v>33</v>
      </c>
      <c r="K23" s="180" t="s">
        <v>35</v>
      </c>
      <c r="L23" s="181"/>
      <c r="M23" s="177"/>
      <c r="N23" s="211" t="s">
        <v>1204</v>
      </c>
      <c r="O23" s="179" t="s">
        <v>1210</v>
      </c>
      <c r="P23" s="195" t="s">
        <v>335</v>
      </c>
      <c r="Q23" s="212" t="s">
        <v>1211</v>
      </c>
      <c r="R23" s="200"/>
    </row>
    <row r="24" spans="2:27" ht="25" customHeight="1" x14ac:dyDescent="0.35">
      <c r="B24" s="178" t="s">
        <v>555</v>
      </c>
      <c r="C24" s="202" t="s">
        <v>163</v>
      </c>
      <c r="D24" s="195" t="s">
        <v>454</v>
      </c>
      <c r="E24" s="180" t="s">
        <v>967</v>
      </c>
      <c r="F24" s="200"/>
      <c r="G24" s="176"/>
      <c r="H24" s="178" t="s">
        <v>701</v>
      </c>
      <c r="I24" s="179" t="s">
        <v>196</v>
      </c>
      <c r="J24" s="195" t="s">
        <v>503</v>
      </c>
      <c r="K24" s="180" t="s">
        <v>56</v>
      </c>
      <c r="L24" s="181"/>
      <c r="M24" s="177"/>
      <c r="N24" s="178" t="s">
        <v>828</v>
      </c>
      <c r="O24" s="179" t="s">
        <v>472</v>
      </c>
      <c r="P24" s="195" t="s">
        <v>69</v>
      </c>
      <c r="Q24" s="180" t="s">
        <v>35</v>
      </c>
      <c r="R24" s="200"/>
    </row>
    <row r="25" spans="2:27" ht="25" customHeight="1" x14ac:dyDescent="0.35">
      <c r="B25" s="178" t="s">
        <v>556</v>
      </c>
      <c r="C25" s="202" t="s">
        <v>162</v>
      </c>
      <c r="D25" s="195" t="s">
        <v>454</v>
      </c>
      <c r="E25" s="180" t="s">
        <v>967</v>
      </c>
      <c r="F25" s="200"/>
      <c r="G25" s="176"/>
      <c r="H25" s="178" t="s">
        <v>702</v>
      </c>
      <c r="I25" s="179" t="s">
        <v>239</v>
      </c>
      <c r="J25" s="197" t="s">
        <v>53</v>
      </c>
      <c r="K25" s="182" t="s">
        <v>35</v>
      </c>
      <c r="L25" s="183"/>
      <c r="M25" s="184"/>
      <c r="N25" s="178" t="s">
        <v>831</v>
      </c>
      <c r="O25" s="179" t="s">
        <v>197</v>
      </c>
      <c r="P25" s="195" t="s">
        <v>260</v>
      </c>
      <c r="Q25" s="180" t="s">
        <v>287</v>
      </c>
      <c r="R25" s="200"/>
    </row>
    <row r="26" spans="2:27" ht="25" customHeight="1" x14ac:dyDescent="0.35">
      <c r="B26" s="178" t="s">
        <v>557</v>
      </c>
      <c r="C26" s="202" t="s">
        <v>164</v>
      </c>
      <c r="D26" s="195" t="s">
        <v>454</v>
      </c>
      <c r="E26" s="180" t="s">
        <v>1022</v>
      </c>
      <c r="F26" s="200"/>
      <c r="G26" s="176"/>
      <c r="H26" s="178" t="s">
        <v>703</v>
      </c>
      <c r="I26" s="179" t="s">
        <v>704</v>
      </c>
      <c r="J26" s="197" t="s">
        <v>73</v>
      </c>
      <c r="K26" s="182" t="s">
        <v>461</v>
      </c>
      <c r="L26" s="183"/>
      <c r="M26" s="184"/>
      <c r="N26" s="178" t="s">
        <v>833</v>
      </c>
      <c r="O26" s="179" t="s">
        <v>198</v>
      </c>
      <c r="P26" s="195" t="s">
        <v>260</v>
      </c>
      <c r="Q26" s="180" t="s">
        <v>287</v>
      </c>
      <c r="R26" s="200"/>
    </row>
    <row r="27" spans="2:27" ht="25" customHeight="1" x14ac:dyDescent="0.35">
      <c r="B27" s="178" t="s">
        <v>567</v>
      </c>
      <c r="C27" s="202" t="s">
        <v>471</v>
      </c>
      <c r="D27" s="195" t="s">
        <v>40</v>
      </c>
      <c r="E27" s="180" t="s">
        <v>461</v>
      </c>
      <c r="F27" s="200"/>
      <c r="G27" s="176"/>
      <c r="H27" s="178" t="s">
        <v>705</v>
      </c>
      <c r="I27" s="179" t="s">
        <v>200</v>
      </c>
      <c r="J27" s="195" t="s">
        <v>33</v>
      </c>
      <c r="K27" s="180" t="s">
        <v>461</v>
      </c>
      <c r="L27" s="181"/>
      <c r="M27" s="177"/>
      <c r="N27" s="178" t="s">
        <v>839</v>
      </c>
      <c r="O27" s="179" t="s">
        <v>199</v>
      </c>
      <c r="P27" s="195" t="s">
        <v>121</v>
      </c>
      <c r="Q27" s="180" t="s">
        <v>287</v>
      </c>
      <c r="R27" s="200"/>
    </row>
    <row r="28" spans="2:27" ht="25" customHeight="1" x14ac:dyDescent="0.35">
      <c r="B28" s="178" t="s">
        <v>571</v>
      </c>
      <c r="C28" s="202" t="s">
        <v>168</v>
      </c>
      <c r="D28" s="195" t="s">
        <v>452</v>
      </c>
      <c r="E28" s="180" t="s">
        <v>265</v>
      </c>
      <c r="F28" s="200"/>
      <c r="G28" s="176"/>
      <c r="H28" s="178" t="s">
        <v>708</v>
      </c>
      <c r="I28" s="179" t="s">
        <v>202</v>
      </c>
      <c r="J28" s="195" t="s">
        <v>326</v>
      </c>
      <c r="K28" s="180" t="s">
        <v>150</v>
      </c>
      <c r="L28" s="181"/>
      <c r="M28" s="177"/>
      <c r="N28" s="178" t="s">
        <v>840</v>
      </c>
      <c r="O28" s="179" t="s">
        <v>179</v>
      </c>
      <c r="P28" s="195" t="s">
        <v>62</v>
      </c>
      <c r="Q28" s="180"/>
      <c r="R28" s="200"/>
    </row>
    <row r="29" spans="2:27" ht="25" customHeight="1" x14ac:dyDescent="0.35">
      <c r="B29" s="178" t="s">
        <v>575</v>
      </c>
      <c r="C29" s="202" t="s">
        <v>169</v>
      </c>
      <c r="D29" s="195" t="s">
        <v>491</v>
      </c>
      <c r="E29" s="180" t="s">
        <v>263</v>
      </c>
      <c r="F29" s="200"/>
      <c r="G29" s="176"/>
      <c r="H29" s="178" t="s">
        <v>714</v>
      </c>
      <c r="I29" s="179" t="s">
        <v>178</v>
      </c>
      <c r="J29" s="195" t="s">
        <v>64</v>
      </c>
      <c r="K29" s="180" t="s">
        <v>425</v>
      </c>
      <c r="L29" s="181"/>
      <c r="M29" s="177"/>
      <c r="N29" s="178" t="s">
        <v>845</v>
      </c>
      <c r="O29" s="179" t="s">
        <v>211</v>
      </c>
      <c r="P29" s="195" t="s">
        <v>244</v>
      </c>
      <c r="Q29" s="180" t="s">
        <v>35</v>
      </c>
      <c r="R29" s="200"/>
    </row>
    <row r="30" spans="2:27" ht="25" customHeight="1" x14ac:dyDescent="0.35">
      <c r="B30" s="178" t="s">
        <v>578</v>
      </c>
      <c r="C30" s="202" t="s">
        <v>169</v>
      </c>
      <c r="D30" s="195" t="s">
        <v>315</v>
      </c>
      <c r="E30" s="180" t="s">
        <v>124</v>
      </c>
      <c r="F30" s="200"/>
      <c r="G30" s="176"/>
      <c r="H30" s="178" t="s">
        <v>715</v>
      </c>
      <c r="I30" s="179" t="s">
        <v>296</v>
      </c>
      <c r="J30" s="195" t="s">
        <v>495</v>
      </c>
      <c r="K30" s="180" t="s">
        <v>35</v>
      </c>
      <c r="L30" s="181"/>
      <c r="M30" s="177"/>
      <c r="N30" s="178" t="s">
        <v>847</v>
      </c>
      <c r="O30" s="179" t="s">
        <v>213</v>
      </c>
      <c r="P30" s="195" t="s">
        <v>245</v>
      </c>
      <c r="Q30" s="180" t="s">
        <v>299</v>
      </c>
      <c r="R30" s="200"/>
    </row>
    <row r="31" spans="2:27" ht="25" customHeight="1" x14ac:dyDescent="0.35">
      <c r="B31" s="178" t="s">
        <v>579</v>
      </c>
      <c r="C31" s="202" t="s">
        <v>228</v>
      </c>
      <c r="D31" s="195" t="s">
        <v>33</v>
      </c>
      <c r="E31" s="180" t="s">
        <v>35</v>
      </c>
      <c r="F31" s="200"/>
      <c r="G31" s="176"/>
      <c r="H31" s="178" t="s">
        <v>716</v>
      </c>
      <c r="I31" s="179" t="s">
        <v>217</v>
      </c>
      <c r="J31" s="195" t="s">
        <v>346</v>
      </c>
      <c r="K31" s="180"/>
      <c r="L31" s="181"/>
      <c r="M31" s="177"/>
      <c r="N31" s="178" t="s">
        <v>850</v>
      </c>
      <c r="O31" s="179" t="s">
        <v>165</v>
      </c>
      <c r="P31" s="195" t="s">
        <v>33</v>
      </c>
      <c r="Q31" s="180" t="s">
        <v>35</v>
      </c>
      <c r="R31" s="200"/>
    </row>
    <row r="32" spans="2:27" ht="25" customHeight="1" x14ac:dyDescent="0.35">
      <c r="B32" s="178" t="s">
        <v>589</v>
      </c>
      <c r="C32" s="202" t="s">
        <v>285</v>
      </c>
      <c r="D32" s="195" t="s">
        <v>493</v>
      </c>
      <c r="E32" s="182" t="s">
        <v>266</v>
      </c>
      <c r="F32" s="200"/>
      <c r="G32" s="176"/>
      <c r="H32" s="178" t="s">
        <v>718</v>
      </c>
      <c r="I32" s="179" t="s">
        <v>473</v>
      </c>
      <c r="J32" s="195" t="s">
        <v>33</v>
      </c>
      <c r="K32" s="180" t="s">
        <v>35</v>
      </c>
      <c r="L32" s="181"/>
      <c r="M32" s="177"/>
      <c r="N32" s="178" t="s">
        <v>851</v>
      </c>
      <c r="O32" s="179" t="s">
        <v>204</v>
      </c>
      <c r="P32" s="195" t="s">
        <v>73</v>
      </c>
      <c r="Q32" s="180" t="s">
        <v>35</v>
      </c>
      <c r="R32" s="200"/>
    </row>
    <row r="33" spans="2:18" ht="25" customHeight="1" x14ac:dyDescent="0.35">
      <c r="B33" s="178" t="s">
        <v>591</v>
      </c>
      <c r="C33" s="202" t="s">
        <v>312</v>
      </c>
      <c r="D33" s="195" t="s">
        <v>314</v>
      </c>
      <c r="E33" s="180" t="s">
        <v>313</v>
      </c>
      <c r="F33" s="200"/>
      <c r="G33" s="176"/>
      <c r="H33" s="178" t="s">
        <v>719</v>
      </c>
      <c r="I33" s="179" t="s">
        <v>325</v>
      </c>
      <c r="J33" s="195" t="s">
        <v>120</v>
      </c>
      <c r="K33" s="182" t="s">
        <v>137</v>
      </c>
      <c r="L33" s="183"/>
      <c r="M33" s="184"/>
      <c r="N33" s="178" t="s">
        <v>853</v>
      </c>
      <c r="O33" s="179" t="s">
        <v>205</v>
      </c>
      <c r="P33" s="195" t="s">
        <v>73</v>
      </c>
      <c r="Q33" s="213" t="s">
        <v>895</v>
      </c>
      <c r="R33" s="200"/>
    </row>
    <row r="34" spans="2:18" ht="25" customHeight="1" x14ac:dyDescent="0.35">
      <c r="B34" s="187" t="s">
        <v>595</v>
      </c>
      <c r="C34" s="207" t="s">
        <v>392</v>
      </c>
      <c r="D34" s="195" t="s">
        <v>393</v>
      </c>
      <c r="E34" s="182" t="s">
        <v>461</v>
      </c>
      <c r="F34" s="200"/>
      <c r="G34" s="176"/>
      <c r="H34" s="178" t="s">
        <v>720</v>
      </c>
      <c r="I34" s="179" t="s">
        <v>164</v>
      </c>
      <c r="J34" s="195" t="s">
        <v>259</v>
      </c>
      <c r="K34" s="180" t="s">
        <v>476</v>
      </c>
      <c r="L34" s="181"/>
      <c r="M34" s="177"/>
      <c r="N34" s="178" t="s">
        <v>856</v>
      </c>
      <c r="O34" s="179" t="s">
        <v>206</v>
      </c>
      <c r="P34" s="195" t="s">
        <v>33</v>
      </c>
      <c r="Q34" s="213" t="s">
        <v>425</v>
      </c>
      <c r="R34" s="200"/>
    </row>
    <row r="35" spans="2:18" ht="25" customHeight="1" x14ac:dyDescent="0.35">
      <c r="B35" s="178" t="s">
        <v>603</v>
      </c>
      <c r="C35" s="202" t="s">
        <v>180</v>
      </c>
      <c r="D35" s="195" t="s">
        <v>259</v>
      </c>
      <c r="E35" s="180" t="s">
        <v>604</v>
      </c>
      <c r="F35" s="200"/>
      <c r="G35" s="176"/>
      <c r="H35" s="178" t="s">
        <v>722</v>
      </c>
      <c r="I35" s="179" t="s">
        <v>212</v>
      </c>
      <c r="J35" s="195" t="s">
        <v>96</v>
      </c>
      <c r="K35" s="180" t="s">
        <v>35</v>
      </c>
      <c r="L35" s="181"/>
      <c r="M35" s="177"/>
      <c r="N35" s="178" t="s">
        <v>857</v>
      </c>
      <c r="O35" s="179" t="s">
        <v>247</v>
      </c>
      <c r="P35" s="195" t="s">
        <v>33</v>
      </c>
      <c r="Q35" s="213" t="s">
        <v>425</v>
      </c>
      <c r="R35" s="200"/>
    </row>
    <row r="36" spans="2:18" ht="25" customHeight="1" x14ac:dyDescent="0.35">
      <c r="B36" s="178" t="s">
        <v>612</v>
      </c>
      <c r="C36" s="202" t="s">
        <v>611</v>
      </c>
      <c r="D36" s="195" t="s">
        <v>73</v>
      </c>
      <c r="E36" s="180" t="s">
        <v>35</v>
      </c>
      <c r="F36" s="200"/>
      <c r="G36" s="176"/>
      <c r="H36" s="178" t="s">
        <v>723</v>
      </c>
      <c r="I36" s="179" t="s">
        <v>214</v>
      </c>
      <c r="J36" s="195" t="s">
        <v>259</v>
      </c>
      <c r="K36" s="180" t="s">
        <v>35</v>
      </c>
      <c r="L36" s="181"/>
      <c r="M36" s="177"/>
      <c r="N36" s="178" t="s">
        <v>858</v>
      </c>
      <c r="O36" s="179" t="s">
        <v>209</v>
      </c>
      <c r="P36" s="195" t="s">
        <v>33</v>
      </c>
      <c r="Q36" s="213" t="s">
        <v>461</v>
      </c>
      <c r="R36" s="200"/>
    </row>
    <row r="37" spans="2:18" ht="25" customHeight="1" x14ac:dyDescent="0.35">
      <c r="B37" s="178" t="s">
        <v>615</v>
      </c>
      <c r="C37" s="202" t="s">
        <v>182</v>
      </c>
      <c r="D37" s="195" t="s">
        <v>310</v>
      </c>
      <c r="E37" s="180" t="s">
        <v>1214</v>
      </c>
      <c r="F37" s="200"/>
      <c r="G37" s="176"/>
      <c r="H37" s="178" t="s">
        <v>994</v>
      </c>
      <c r="I37" s="179" t="s">
        <v>995</v>
      </c>
      <c r="J37" s="195" t="s">
        <v>1213</v>
      </c>
      <c r="K37" s="180"/>
      <c r="L37" s="181"/>
      <c r="M37" s="177"/>
      <c r="N37" s="178" t="s">
        <v>859</v>
      </c>
      <c r="O37" s="179" t="s">
        <v>210</v>
      </c>
      <c r="P37" s="195" t="s">
        <v>100</v>
      </c>
      <c r="Q37" s="213" t="s">
        <v>897</v>
      </c>
      <c r="R37" s="200"/>
    </row>
    <row r="38" spans="2:18" ht="25" customHeight="1" x14ac:dyDescent="0.35">
      <c r="B38" s="178" t="s">
        <v>616</v>
      </c>
      <c r="C38" s="202" t="s">
        <v>203</v>
      </c>
      <c r="D38" s="195" t="s">
        <v>276</v>
      </c>
      <c r="E38" s="180" t="s">
        <v>275</v>
      </c>
      <c r="F38" s="200"/>
      <c r="G38" s="176"/>
      <c r="H38" s="178" t="s">
        <v>999</v>
      </c>
      <c r="I38" s="179" t="s">
        <v>998</v>
      </c>
      <c r="J38" s="195" t="s">
        <v>259</v>
      </c>
      <c r="K38" s="180"/>
      <c r="L38" s="200"/>
      <c r="M38" s="176"/>
      <c r="N38" s="178" t="s">
        <v>866</v>
      </c>
      <c r="O38" s="179" t="s">
        <v>317</v>
      </c>
      <c r="P38" s="195" t="s">
        <v>92</v>
      </c>
      <c r="Q38" s="213" t="s">
        <v>307</v>
      </c>
      <c r="R38" s="200"/>
    </row>
    <row r="39" spans="2:18" ht="25" customHeight="1" x14ac:dyDescent="0.35">
      <c r="B39" s="178" t="s">
        <v>617</v>
      </c>
      <c r="C39" s="202" t="s">
        <v>203</v>
      </c>
      <c r="D39" s="195" t="s">
        <v>97</v>
      </c>
      <c r="E39" s="180" t="s">
        <v>275</v>
      </c>
      <c r="F39" s="200"/>
      <c r="G39" s="176"/>
      <c r="H39" s="178" t="s">
        <v>1001</v>
      </c>
      <c r="I39" s="179" t="s">
        <v>1002</v>
      </c>
      <c r="J39" s="195" t="s">
        <v>461</v>
      </c>
      <c r="K39" s="180"/>
      <c r="L39" s="200"/>
      <c r="M39" s="176"/>
      <c r="N39" s="178" t="s">
        <v>867</v>
      </c>
      <c r="O39" s="179" t="s">
        <v>317</v>
      </c>
      <c r="P39" s="195" t="s">
        <v>92</v>
      </c>
      <c r="Q39" s="213" t="s">
        <v>308</v>
      </c>
      <c r="R39" s="200"/>
    </row>
    <row r="40" spans="2:18" ht="25" customHeight="1" x14ac:dyDescent="0.35">
      <c r="B40" s="178" t="s">
        <v>620</v>
      </c>
      <c r="C40" s="202" t="s">
        <v>203</v>
      </c>
      <c r="D40" s="195" t="s">
        <v>97</v>
      </c>
      <c r="E40" s="180" t="s">
        <v>604</v>
      </c>
      <c r="F40" s="200"/>
      <c r="G40" s="176"/>
      <c r="H40" s="178" t="s">
        <v>1039</v>
      </c>
      <c r="I40" s="179" t="s">
        <v>1038</v>
      </c>
      <c r="J40" s="195" t="s">
        <v>461</v>
      </c>
      <c r="K40" s="180"/>
      <c r="L40" s="181"/>
      <c r="M40" s="177"/>
      <c r="N40" s="178" t="s">
        <v>868</v>
      </c>
      <c r="O40" s="179" t="s">
        <v>317</v>
      </c>
      <c r="P40" s="195" t="s">
        <v>92</v>
      </c>
      <c r="Q40" s="213" t="s">
        <v>309</v>
      </c>
      <c r="R40" s="181"/>
    </row>
    <row r="41" spans="2:18" ht="25" customHeight="1" thickBot="1" x14ac:dyDescent="0.4">
      <c r="B41" s="188" t="s">
        <v>626</v>
      </c>
      <c r="C41" s="208" t="s">
        <v>220</v>
      </c>
      <c r="D41" s="198" t="s">
        <v>376</v>
      </c>
      <c r="E41" s="190" t="s">
        <v>140</v>
      </c>
      <c r="F41" s="203"/>
      <c r="G41" s="176"/>
      <c r="H41" s="188" t="s">
        <v>1090</v>
      </c>
      <c r="I41" s="189" t="s">
        <v>1199</v>
      </c>
      <c r="J41" s="198" t="s">
        <v>1200</v>
      </c>
      <c r="K41" s="190"/>
      <c r="L41" s="204"/>
      <c r="M41" s="177"/>
      <c r="N41" s="188" t="s">
        <v>869</v>
      </c>
      <c r="O41" s="189" t="s">
        <v>317</v>
      </c>
      <c r="P41" s="198" t="s">
        <v>92</v>
      </c>
      <c r="Q41" s="214" t="s">
        <v>316</v>
      </c>
      <c r="R41" s="204"/>
    </row>
    <row r="42" spans="2:18" ht="25" customHeight="1" x14ac:dyDescent="0.45">
      <c r="G42" s="96"/>
    </row>
    <row r="43" spans="2:18" ht="25" customHeight="1" x14ac:dyDescent="0.45">
      <c r="G43" s="96"/>
    </row>
    <row r="44" spans="2:18" ht="25" customHeight="1" x14ac:dyDescent="0.45">
      <c r="G44" s="96"/>
    </row>
    <row r="45" spans="2:18" ht="25" customHeight="1" x14ac:dyDescent="0.45">
      <c r="G45" s="96"/>
    </row>
    <row r="46" spans="2:18" ht="25" customHeight="1" x14ac:dyDescent="0.45">
      <c r="G46" s="96"/>
    </row>
    <row r="47" spans="2:18" ht="25" customHeight="1" x14ac:dyDescent="0.45">
      <c r="G47" s="96"/>
    </row>
    <row r="48" spans="2:18" ht="25" customHeight="1" x14ac:dyDescent="0.45"/>
    <row r="49" ht="25" customHeight="1" x14ac:dyDescent="0.45"/>
    <row r="50" ht="25" customHeight="1" x14ac:dyDescent="0.45"/>
    <row r="51" ht="25" customHeight="1" x14ac:dyDescent="0.45"/>
    <row r="52" ht="25" customHeight="1" x14ac:dyDescent="0.45"/>
    <row r="53" ht="25" customHeight="1" x14ac:dyDescent="0.45"/>
    <row r="54" ht="25" customHeight="1" x14ac:dyDescent="0.45"/>
    <row r="55" ht="25" customHeight="1" x14ac:dyDescent="0.45"/>
    <row r="56" ht="25" customHeight="1" x14ac:dyDescent="0.45"/>
    <row r="57" ht="25" customHeight="1" x14ac:dyDescent="0.45"/>
    <row r="58" ht="25" customHeight="1" x14ac:dyDescent="0.45"/>
    <row r="59" ht="25" customHeight="1" x14ac:dyDescent="0.45"/>
  </sheetData>
  <printOptions horizontalCentered="1"/>
  <pageMargins left="0" right="0" top="0.51181102362204722" bottom="0.11811023622047245" header="0" footer="0.31496062992125984"/>
  <pageSetup paperSize="9" scale="54" orientation="landscape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60BF-54F1-4EB3-BBDD-E1D047F14948}">
  <sheetPr codeName="Sheet188">
    <tabColor rgb="FFFFFF00"/>
    <pageSetUpPr fitToPage="1"/>
  </sheetPr>
  <dimension ref="B5:T47"/>
  <sheetViews>
    <sheetView topLeftCell="B1" workbookViewId="0">
      <selection activeCell="B1" sqref="B1:L15"/>
    </sheetView>
  </sheetViews>
  <sheetFormatPr defaultColWidth="12.54296875" defaultRowHeight="18.5" x14ac:dyDescent="0.45"/>
  <cols>
    <col min="1" max="1" width="12.54296875" style="20"/>
    <col min="2" max="4" width="12.54296875" style="20" customWidth="1"/>
    <col min="5" max="5" width="1.54296875" style="20" customWidth="1"/>
    <col min="6" max="6" width="16.54296875" style="20" customWidth="1"/>
    <col min="7" max="7" width="8.54296875" style="20" customWidth="1"/>
    <col min="8" max="8" width="15.54296875" style="20" customWidth="1"/>
    <col min="9" max="9" width="2.54296875" style="20" customWidth="1"/>
    <col min="10" max="10" width="15.54296875" style="20" customWidth="1"/>
    <col min="11" max="11" width="10.54296875" style="20" customWidth="1"/>
    <col min="12" max="12" width="12.54296875" style="20" customWidth="1"/>
    <col min="13" max="16384" width="12.54296875" style="20"/>
  </cols>
  <sheetData>
    <row r="5" spans="2:20" ht="19" thickBot="1" x14ac:dyDescent="0.5">
      <c r="B5" s="19"/>
    </row>
    <row r="6" spans="2:20" ht="18" customHeight="1" thickTop="1" thickBot="1" x14ac:dyDescent="0.5">
      <c r="B6" s="21" t="s">
        <v>8</v>
      </c>
      <c r="C6" s="21"/>
      <c r="D6" s="22"/>
      <c r="E6" s="22"/>
      <c r="F6" s="23" t="s">
        <v>9</v>
      </c>
      <c r="G6" s="24"/>
      <c r="H6" s="24" t="s">
        <v>126</v>
      </c>
      <c r="J6" s="25" t="s">
        <v>28</v>
      </c>
      <c r="K6" s="230">
        <v>201910001</v>
      </c>
      <c r="L6" s="231"/>
    </row>
    <row r="7" spans="2:20" ht="20.149999999999999" customHeight="1" x14ac:dyDescent="0.45">
      <c r="B7" s="232" t="s">
        <v>414</v>
      </c>
      <c r="C7" s="233"/>
      <c r="D7" s="234"/>
      <c r="E7" s="26"/>
      <c r="F7" s="235" t="s">
        <v>415</v>
      </c>
      <c r="G7" s="236"/>
      <c r="H7" s="237"/>
      <c r="J7" s="27" t="s">
        <v>10</v>
      </c>
      <c r="K7" s="244" t="s">
        <v>413</v>
      </c>
      <c r="L7" s="245"/>
    </row>
    <row r="8" spans="2:20" ht="20.149999999999999" customHeight="1" x14ac:dyDescent="0.45">
      <c r="B8" s="246"/>
      <c r="C8" s="247"/>
      <c r="D8" s="248"/>
      <c r="E8" s="26"/>
      <c r="F8" s="238"/>
      <c r="G8" s="239"/>
      <c r="H8" s="240"/>
      <c r="J8" s="27" t="s">
        <v>127</v>
      </c>
      <c r="K8" s="244" t="s">
        <v>35</v>
      </c>
      <c r="L8" s="245"/>
    </row>
    <row r="9" spans="2:20" ht="20.149999999999999" customHeight="1" x14ac:dyDescent="0.45">
      <c r="B9" s="246"/>
      <c r="C9" s="247"/>
      <c r="D9" s="248"/>
      <c r="E9" s="26"/>
      <c r="F9" s="238"/>
      <c r="G9" s="239"/>
      <c r="H9" s="240"/>
      <c r="J9" s="27" t="s">
        <v>11</v>
      </c>
      <c r="K9" s="244" t="s">
        <v>13</v>
      </c>
      <c r="L9" s="245"/>
    </row>
    <row r="10" spans="2:20" ht="20.149999999999999" customHeight="1" x14ac:dyDescent="0.45">
      <c r="B10" s="246"/>
      <c r="C10" s="247"/>
      <c r="D10" s="248"/>
      <c r="E10" s="26"/>
      <c r="F10" s="238"/>
      <c r="G10" s="239"/>
      <c r="H10" s="240"/>
      <c r="J10" s="27" t="s">
        <v>29</v>
      </c>
      <c r="K10" s="244" t="s">
        <v>412</v>
      </c>
      <c r="L10" s="245"/>
    </row>
    <row r="11" spans="2:20" ht="18" customHeight="1" thickBot="1" x14ac:dyDescent="0.5">
      <c r="B11" s="249"/>
      <c r="C11" s="250"/>
      <c r="D11" s="251"/>
      <c r="E11" s="22"/>
      <c r="F11" s="241"/>
      <c r="G11" s="242"/>
      <c r="H11" s="243"/>
      <c r="J11" s="28" t="s">
        <v>12</v>
      </c>
      <c r="K11" s="252" t="s">
        <v>35</v>
      </c>
      <c r="L11" s="253"/>
    </row>
    <row r="12" spans="2:20" ht="19" thickBot="1" x14ac:dyDescent="0.5">
      <c r="J12" s="18"/>
      <c r="L12" s="20" t="s">
        <v>342</v>
      </c>
    </row>
    <row r="13" spans="2:20" ht="30" customHeight="1" thickBot="1" x14ac:dyDescent="0.5">
      <c r="B13" s="7" t="s">
        <v>2</v>
      </c>
      <c r="C13" s="8" t="s">
        <v>3</v>
      </c>
      <c r="D13" s="254" t="s">
        <v>4</v>
      </c>
      <c r="E13" s="255"/>
      <c r="F13" s="256"/>
      <c r="G13" s="15" t="s">
        <v>295</v>
      </c>
      <c r="H13" s="8" t="s">
        <v>30</v>
      </c>
      <c r="I13" s="254" t="s">
        <v>58</v>
      </c>
      <c r="J13" s="256"/>
      <c r="K13" s="8" t="s">
        <v>6</v>
      </c>
      <c r="L13" s="9" t="s">
        <v>7</v>
      </c>
      <c r="M13" s="29"/>
      <c r="N13" s="29" t="s">
        <v>377</v>
      </c>
      <c r="O13" s="29"/>
    </row>
    <row r="14" spans="2:20" ht="20.149999999999999" customHeight="1" x14ac:dyDescent="0.45">
      <c r="B14" s="30"/>
      <c r="C14" s="18" t="s">
        <v>98</v>
      </c>
      <c r="D14" s="257" t="s">
        <v>408</v>
      </c>
      <c r="E14" s="257"/>
      <c r="F14" s="257"/>
      <c r="G14" s="18">
        <v>200</v>
      </c>
      <c r="H14" s="18" t="s">
        <v>406</v>
      </c>
      <c r="I14" s="258" t="s">
        <v>407</v>
      </c>
      <c r="J14" s="258"/>
      <c r="K14" s="31">
        <v>3.5</v>
      </c>
      <c r="L14" s="32">
        <f>G14*K14</f>
        <v>700</v>
      </c>
      <c r="M14" s="61"/>
      <c r="N14" s="67" t="s">
        <v>233</v>
      </c>
      <c r="O14" s="20" t="s">
        <v>200</v>
      </c>
      <c r="R14" s="20">
        <v>3</v>
      </c>
      <c r="S14" s="20" t="s">
        <v>35</v>
      </c>
      <c r="T14" s="20" t="s">
        <v>33</v>
      </c>
    </row>
    <row r="15" spans="2:20" ht="20.149999999999999" customHeight="1" x14ac:dyDescent="0.45">
      <c r="B15" s="30"/>
      <c r="C15" s="18" t="s">
        <v>132</v>
      </c>
      <c r="D15" s="257" t="s">
        <v>409</v>
      </c>
      <c r="E15" s="257"/>
      <c r="F15" s="257"/>
      <c r="G15" s="18">
        <v>4684</v>
      </c>
      <c r="H15" s="18" t="s">
        <v>410</v>
      </c>
      <c r="I15" s="259" t="s">
        <v>407</v>
      </c>
      <c r="J15" s="259"/>
      <c r="K15" s="31">
        <v>1.9</v>
      </c>
      <c r="L15" s="32">
        <f>G15*K15</f>
        <v>8899.6</v>
      </c>
      <c r="M15" s="61"/>
      <c r="N15" s="20" t="s">
        <v>300</v>
      </c>
      <c r="O15" s="20" t="s">
        <v>167</v>
      </c>
      <c r="R15" s="20">
        <v>3</v>
      </c>
      <c r="S15" s="20" t="s">
        <v>35</v>
      </c>
      <c r="T15" s="20" t="s">
        <v>66</v>
      </c>
    </row>
    <row r="16" spans="2:20" ht="20.149999999999999" customHeight="1" x14ac:dyDescent="0.45">
      <c r="B16" s="30"/>
      <c r="C16" s="18"/>
      <c r="D16" s="257"/>
      <c r="E16" s="257"/>
      <c r="F16" s="257"/>
      <c r="G16" s="63"/>
      <c r="H16" s="56"/>
      <c r="I16" s="260"/>
      <c r="J16" s="260"/>
      <c r="K16" s="64"/>
      <c r="L16" s="60"/>
      <c r="M16" s="61"/>
      <c r="N16" s="20" t="s">
        <v>231</v>
      </c>
      <c r="O16" s="20" t="s">
        <v>187</v>
      </c>
      <c r="R16" s="20">
        <v>2</v>
      </c>
      <c r="S16" s="20" t="s">
        <v>35</v>
      </c>
      <c r="T16" s="20" t="s">
        <v>53</v>
      </c>
    </row>
    <row r="17" spans="2:20" ht="20.149999999999999" customHeight="1" x14ac:dyDescent="0.45">
      <c r="B17" s="30"/>
      <c r="C17" s="18"/>
      <c r="D17" s="257"/>
      <c r="E17" s="257"/>
      <c r="F17" s="257"/>
      <c r="G17" s="63"/>
      <c r="H17" s="56"/>
      <c r="I17" s="260"/>
      <c r="J17" s="260"/>
      <c r="K17" s="64"/>
      <c r="L17" s="60"/>
      <c r="M17" s="61"/>
      <c r="N17" s="67" t="s">
        <v>232</v>
      </c>
      <c r="O17" s="20" t="s">
        <v>239</v>
      </c>
      <c r="R17" s="20">
        <v>2</v>
      </c>
      <c r="S17" s="20" t="s">
        <v>35</v>
      </c>
      <c r="T17" s="20" t="s">
        <v>53</v>
      </c>
    </row>
    <row r="18" spans="2:20" ht="20.149999999999999" customHeight="1" x14ac:dyDescent="0.45">
      <c r="B18" s="30"/>
      <c r="C18" s="18"/>
      <c r="D18" s="257"/>
      <c r="E18" s="257"/>
      <c r="F18" s="257"/>
      <c r="G18" s="63"/>
      <c r="H18" s="56"/>
      <c r="I18" s="260"/>
      <c r="J18" s="260"/>
      <c r="K18" s="64"/>
      <c r="L18" s="60"/>
      <c r="M18" s="61"/>
      <c r="N18" s="20" t="s">
        <v>234</v>
      </c>
      <c r="O18" s="20" t="s">
        <v>178</v>
      </c>
      <c r="R18" s="20">
        <v>3</v>
      </c>
      <c r="S18" s="20" t="s">
        <v>51</v>
      </c>
      <c r="T18" s="20" t="s">
        <v>64</v>
      </c>
    </row>
    <row r="19" spans="2:20" ht="20.149999999999999" customHeight="1" x14ac:dyDescent="0.45">
      <c r="B19" s="30"/>
      <c r="C19" s="18"/>
      <c r="D19" s="257"/>
      <c r="E19" s="257"/>
      <c r="F19" s="257"/>
      <c r="G19" s="63"/>
      <c r="H19" s="56"/>
      <c r="I19" s="260"/>
      <c r="J19" s="260"/>
      <c r="K19" s="64"/>
      <c r="L19" s="60"/>
      <c r="M19" s="61"/>
      <c r="N19" s="67" t="s">
        <v>235</v>
      </c>
      <c r="O19" s="20" t="s">
        <v>289</v>
      </c>
      <c r="R19" s="20">
        <v>3</v>
      </c>
      <c r="S19" s="20" t="s">
        <v>290</v>
      </c>
      <c r="T19" s="20" t="s">
        <v>338</v>
      </c>
    </row>
    <row r="20" spans="2:20" ht="20.149999999999999" customHeight="1" x14ac:dyDescent="0.45">
      <c r="B20" s="30"/>
      <c r="C20" s="18"/>
      <c r="D20" s="257"/>
      <c r="E20" s="257"/>
      <c r="F20" s="257"/>
      <c r="G20" s="63"/>
      <c r="H20" s="56"/>
      <c r="I20" s="260"/>
      <c r="J20" s="260"/>
      <c r="K20" s="64"/>
      <c r="L20" s="60"/>
      <c r="M20" s="61"/>
    </row>
    <row r="21" spans="2:20" ht="20.149999999999999" customHeight="1" x14ac:dyDescent="0.45">
      <c r="B21" s="30"/>
      <c r="C21" s="18"/>
      <c r="D21" s="257"/>
      <c r="E21" s="257"/>
      <c r="F21" s="257"/>
      <c r="G21" s="63"/>
      <c r="H21" s="56"/>
      <c r="I21" s="260"/>
      <c r="J21" s="260"/>
      <c r="K21" s="64"/>
      <c r="L21" s="60"/>
      <c r="M21" s="61"/>
    </row>
    <row r="22" spans="2:20" ht="20.149999999999999" customHeight="1" x14ac:dyDescent="0.45">
      <c r="B22" s="30"/>
      <c r="C22" s="18"/>
      <c r="D22" s="257"/>
      <c r="E22" s="257"/>
      <c r="F22" s="257"/>
      <c r="G22" s="63"/>
      <c r="H22" s="56"/>
      <c r="I22" s="260"/>
      <c r="J22" s="260"/>
      <c r="K22" s="64"/>
      <c r="L22" s="60"/>
      <c r="M22" s="61"/>
    </row>
    <row r="23" spans="2:20" ht="20.149999999999999" customHeight="1" x14ac:dyDescent="0.45">
      <c r="B23" s="30"/>
      <c r="C23" s="18"/>
      <c r="D23" s="257"/>
      <c r="E23" s="257"/>
      <c r="F23" s="257"/>
      <c r="G23" s="63"/>
      <c r="H23" s="56"/>
      <c r="I23" s="260"/>
      <c r="J23" s="260"/>
      <c r="K23" s="64"/>
      <c r="L23" s="60"/>
      <c r="M23" s="61"/>
    </row>
    <row r="24" spans="2:20" ht="20.149999999999999" customHeight="1" x14ac:dyDescent="0.45">
      <c r="B24" s="30"/>
      <c r="C24" s="18"/>
      <c r="D24" s="257"/>
      <c r="E24" s="257"/>
      <c r="F24" s="257"/>
      <c r="G24" s="63"/>
      <c r="H24" s="56"/>
      <c r="I24" s="260"/>
      <c r="J24" s="260"/>
      <c r="K24" s="64"/>
      <c r="L24" s="60"/>
      <c r="M24" s="61"/>
    </row>
    <row r="25" spans="2:20" ht="20.149999999999999" customHeight="1" x14ac:dyDescent="0.45">
      <c r="B25" s="30"/>
      <c r="C25" s="18"/>
      <c r="D25" s="257"/>
      <c r="E25" s="257"/>
      <c r="F25" s="257"/>
      <c r="G25" s="63"/>
      <c r="H25" s="56"/>
      <c r="I25" s="260"/>
      <c r="J25" s="260"/>
      <c r="K25" s="64"/>
      <c r="L25" s="60"/>
      <c r="M25" s="61"/>
    </row>
    <row r="26" spans="2:20" ht="20.149999999999999" customHeight="1" x14ac:dyDescent="0.45">
      <c r="B26" s="30"/>
      <c r="C26" s="18"/>
      <c r="D26" s="257"/>
      <c r="E26" s="257"/>
      <c r="F26" s="257"/>
      <c r="G26" s="63"/>
      <c r="H26" s="56"/>
      <c r="I26" s="260"/>
      <c r="J26" s="260"/>
      <c r="K26" s="64"/>
      <c r="L26" s="60"/>
      <c r="M26" s="61"/>
    </row>
    <row r="27" spans="2:20" ht="20.149999999999999" customHeight="1" x14ac:dyDescent="0.45">
      <c r="B27" s="30"/>
      <c r="C27" s="18"/>
      <c r="D27" s="257"/>
      <c r="E27" s="257"/>
      <c r="F27" s="257"/>
      <c r="G27" s="63"/>
      <c r="H27" s="56"/>
      <c r="I27" s="260"/>
      <c r="J27" s="260"/>
      <c r="K27" s="64"/>
      <c r="L27" s="60"/>
      <c r="M27" s="61"/>
    </row>
    <row r="28" spans="2:20" ht="20.149999999999999" customHeight="1" x14ac:dyDescent="0.45">
      <c r="B28" s="30"/>
      <c r="C28" s="18"/>
      <c r="D28" s="257"/>
      <c r="E28" s="257"/>
      <c r="F28" s="257"/>
      <c r="G28" s="63"/>
      <c r="H28" s="56"/>
      <c r="I28" s="260"/>
      <c r="J28" s="260"/>
      <c r="K28" s="64"/>
      <c r="L28" s="60"/>
      <c r="M28" s="61"/>
    </row>
    <row r="29" spans="2:20" ht="20.149999999999999" customHeight="1" x14ac:dyDescent="0.45">
      <c r="B29" s="30"/>
      <c r="C29" s="18"/>
      <c r="D29" s="257"/>
      <c r="E29" s="257"/>
      <c r="F29" s="257"/>
      <c r="G29" s="63"/>
      <c r="H29" s="56"/>
      <c r="I29" s="260"/>
      <c r="J29" s="260"/>
      <c r="K29" s="64"/>
      <c r="L29" s="60"/>
      <c r="M29" s="61"/>
    </row>
    <row r="30" spans="2:20" ht="20.149999999999999" customHeight="1" x14ac:dyDescent="0.45">
      <c r="B30" s="30"/>
      <c r="C30" s="18"/>
      <c r="D30" s="257"/>
      <c r="E30" s="257"/>
      <c r="F30" s="257"/>
      <c r="G30" s="18"/>
      <c r="H30" s="56"/>
      <c r="I30" s="260"/>
      <c r="J30" s="260"/>
      <c r="K30" s="64"/>
      <c r="L30" s="60"/>
      <c r="M30" s="61"/>
    </row>
    <row r="31" spans="2:20" ht="20.149999999999999" customHeight="1" x14ac:dyDescent="0.45">
      <c r="B31" s="30"/>
      <c r="C31" s="18"/>
      <c r="D31" s="257"/>
      <c r="E31" s="257"/>
      <c r="F31" s="257"/>
      <c r="G31" s="18"/>
      <c r="H31" s="56"/>
      <c r="I31" s="260"/>
      <c r="J31" s="260"/>
      <c r="K31" s="64"/>
      <c r="L31" s="60"/>
      <c r="M31" s="61"/>
    </row>
    <row r="32" spans="2:20" ht="20.149999999999999" customHeight="1" x14ac:dyDescent="0.45">
      <c r="B32" s="30"/>
      <c r="C32" s="18"/>
      <c r="D32" s="257"/>
      <c r="E32" s="257"/>
      <c r="F32" s="257"/>
      <c r="G32" s="18"/>
      <c r="H32" s="56"/>
      <c r="I32" s="260"/>
      <c r="J32" s="260"/>
      <c r="K32" s="64"/>
      <c r="L32" s="60"/>
    </row>
    <row r="33" spans="2:13" ht="20.149999999999999" customHeight="1" thickBot="1" x14ac:dyDescent="0.5">
      <c r="B33" s="33"/>
      <c r="C33" s="34"/>
      <c r="D33" s="267"/>
      <c r="E33" s="267"/>
      <c r="F33" s="267"/>
      <c r="G33" s="34"/>
      <c r="H33" s="57"/>
      <c r="I33" s="268"/>
      <c r="J33" s="268"/>
      <c r="K33" s="35"/>
      <c r="L33" s="36"/>
    </row>
    <row r="34" spans="2:13" ht="20.149999999999999" customHeight="1" thickBot="1" x14ac:dyDescent="0.5">
      <c r="B34" s="37"/>
      <c r="L34" s="38"/>
    </row>
    <row r="35" spans="2:13" ht="20.149999999999999" customHeight="1" x14ac:dyDescent="0.45">
      <c r="B35" s="10" t="s">
        <v>17</v>
      </c>
      <c r="C35" s="6"/>
      <c r="D35" s="6"/>
      <c r="E35" s="6"/>
      <c r="F35" s="6"/>
      <c r="G35" s="6"/>
      <c r="H35" s="6"/>
      <c r="I35" s="6"/>
      <c r="J35" s="261" t="s">
        <v>14</v>
      </c>
      <c r="K35" s="262"/>
      <c r="L35" s="39">
        <f>SUM(L13:L32)</f>
        <v>9599.6</v>
      </c>
      <c r="M35" s="59">
        <f>166+26</f>
        <v>192</v>
      </c>
    </row>
    <row r="36" spans="2:13" ht="20.149999999999999" customHeight="1" x14ac:dyDescent="0.45">
      <c r="B36" s="10" t="s">
        <v>18</v>
      </c>
      <c r="C36" s="6"/>
      <c r="D36" s="6"/>
      <c r="E36" s="6"/>
      <c r="F36" s="6"/>
      <c r="G36" s="6"/>
      <c r="H36" s="6"/>
      <c r="I36" s="6"/>
      <c r="J36" s="40" t="s">
        <v>21</v>
      </c>
      <c r="K36" s="41"/>
      <c r="L36" s="42">
        <f>L35*K36</f>
        <v>0</v>
      </c>
    </row>
    <row r="37" spans="2:13" ht="20.149999999999999" customHeight="1" x14ac:dyDescent="0.45">
      <c r="B37" s="10" t="s">
        <v>19</v>
      </c>
      <c r="C37" s="6"/>
      <c r="D37" s="6"/>
      <c r="E37" s="6"/>
      <c r="F37" s="6"/>
      <c r="G37" s="6"/>
      <c r="H37" s="6"/>
      <c r="I37" s="6"/>
      <c r="J37" s="263" t="s">
        <v>20</v>
      </c>
      <c r="K37" s="264"/>
      <c r="L37" s="42">
        <f>L35-L36</f>
        <v>9599.6</v>
      </c>
    </row>
    <row r="38" spans="2:13" ht="20.149999999999999" customHeight="1" x14ac:dyDescent="0.45">
      <c r="B38" s="10" t="s">
        <v>23</v>
      </c>
      <c r="C38" s="6"/>
      <c r="D38" s="6"/>
      <c r="E38" s="6"/>
      <c r="F38" s="6"/>
      <c r="G38" s="6"/>
      <c r="H38" s="6"/>
      <c r="I38" s="6"/>
      <c r="J38" s="74" t="s">
        <v>16</v>
      </c>
      <c r="K38" s="75"/>
      <c r="L38" s="43"/>
    </row>
    <row r="39" spans="2:13" ht="20.149999999999999" customHeight="1" thickBot="1" x14ac:dyDescent="0.5">
      <c r="B39" s="10" t="s">
        <v>24</v>
      </c>
      <c r="C39" s="6"/>
      <c r="D39" s="6"/>
      <c r="E39" s="6"/>
      <c r="F39" s="6"/>
      <c r="G39" s="6"/>
      <c r="H39" s="6"/>
      <c r="I39" s="6"/>
      <c r="J39" s="265" t="s">
        <v>22</v>
      </c>
      <c r="K39" s="266"/>
      <c r="L39" s="44">
        <f>L37+L38</f>
        <v>9599.6</v>
      </c>
    </row>
    <row r="40" spans="2:13" ht="20.149999999999999" customHeight="1" x14ac:dyDescent="0.45">
      <c r="B40" s="10" t="s">
        <v>25</v>
      </c>
      <c r="C40" s="6"/>
      <c r="D40" s="6"/>
      <c r="E40" s="6"/>
      <c r="F40" s="6"/>
      <c r="G40" s="6"/>
      <c r="H40" s="6"/>
      <c r="I40" s="6"/>
      <c r="L40" s="38"/>
    </row>
    <row r="41" spans="2:13" ht="20.149999999999999" customHeight="1" x14ac:dyDescent="0.45">
      <c r="B41" s="37"/>
      <c r="L41" s="38"/>
    </row>
    <row r="42" spans="2:13" ht="20.149999999999999" customHeight="1" x14ac:dyDescent="0.45">
      <c r="B42" s="37"/>
      <c r="L42" s="38"/>
    </row>
    <row r="43" spans="2:13" ht="20.149999999999999" customHeight="1" x14ac:dyDescent="0.45">
      <c r="B43" s="37"/>
      <c r="L43" s="38"/>
    </row>
    <row r="44" spans="2:13" ht="20.149999999999999" customHeight="1" x14ac:dyDescent="0.45">
      <c r="B44" s="37"/>
      <c r="L44" s="38"/>
    </row>
    <row r="45" spans="2:13" ht="20.149999999999999" customHeight="1" x14ac:dyDescent="0.45">
      <c r="B45" s="45"/>
      <c r="C45" s="46"/>
      <c r="D45" s="46"/>
      <c r="J45" s="46"/>
      <c r="K45" s="46"/>
      <c r="L45" s="47"/>
    </row>
    <row r="46" spans="2:13" ht="20.149999999999999" customHeight="1" x14ac:dyDescent="0.45">
      <c r="B46" s="37" t="s">
        <v>26</v>
      </c>
      <c r="J46" s="20" t="s">
        <v>27</v>
      </c>
      <c r="L46" s="38"/>
    </row>
    <row r="47" spans="2:13" ht="19" thickBot="1" x14ac:dyDescent="0.5">
      <c r="B47" s="48"/>
      <c r="C47" s="49"/>
      <c r="D47" s="49"/>
      <c r="E47" s="49"/>
      <c r="F47" s="49"/>
      <c r="G47" s="49"/>
      <c r="H47" s="49"/>
      <c r="I47" s="49"/>
      <c r="J47" s="49"/>
      <c r="K47" s="49"/>
      <c r="L47" s="50"/>
    </row>
  </sheetData>
  <mergeCells count="57">
    <mergeCell ref="J35:K35"/>
    <mergeCell ref="J37:K37"/>
    <mergeCell ref="J39:K39"/>
    <mergeCell ref="D31:F31"/>
    <mergeCell ref="I31:J31"/>
    <mergeCell ref="D32:F32"/>
    <mergeCell ref="I32:J32"/>
    <mergeCell ref="D33:F33"/>
    <mergeCell ref="I33:J33"/>
    <mergeCell ref="D28:F28"/>
    <mergeCell ref="I28:J28"/>
    <mergeCell ref="D29:F29"/>
    <mergeCell ref="I29:J29"/>
    <mergeCell ref="D30:F30"/>
    <mergeCell ref="I30:J30"/>
    <mergeCell ref="D25:F25"/>
    <mergeCell ref="I25:J25"/>
    <mergeCell ref="D26:F26"/>
    <mergeCell ref="I26:J26"/>
    <mergeCell ref="D27:F27"/>
    <mergeCell ref="I27:J27"/>
    <mergeCell ref="D22:F22"/>
    <mergeCell ref="I22:J22"/>
    <mergeCell ref="D23:F23"/>
    <mergeCell ref="I23:J23"/>
    <mergeCell ref="D24:F24"/>
    <mergeCell ref="I24:J24"/>
    <mergeCell ref="D19:F19"/>
    <mergeCell ref="I19:J19"/>
    <mergeCell ref="D20:F20"/>
    <mergeCell ref="I20:J20"/>
    <mergeCell ref="D21:F21"/>
    <mergeCell ref="I21:J21"/>
    <mergeCell ref="D16:F16"/>
    <mergeCell ref="I16:J16"/>
    <mergeCell ref="D17:F17"/>
    <mergeCell ref="I17:J17"/>
    <mergeCell ref="D18:F18"/>
    <mergeCell ref="I18:J18"/>
    <mergeCell ref="D13:F13"/>
    <mergeCell ref="I13:J13"/>
    <mergeCell ref="D14:F14"/>
    <mergeCell ref="I14:J14"/>
    <mergeCell ref="D15:F15"/>
    <mergeCell ref="I15:J15"/>
    <mergeCell ref="K6:L6"/>
    <mergeCell ref="B7:D7"/>
    <mergeCell ref="F7:H11"/>
    <mergeCell ref="K7:L7"/>
    <mergeCell ref="B8:D8"/>
    <mergeCell ref="K8:L8"/>
    <mergeCell ref="B9:D9"/>
    <mergeCell ref="K9:L9"/>
    <mergeCell ref="B10:D10"/>
    <mergeCell ref="K10:L10"/>
    <mergeCell ref="B11:D11"/>
    <mergeCell ref="K11:L11"/>
  </mergeCells>
  <pageMargins left="0.70866141732283505" right="0.31496062992126" top="2.1653543307086598" bottom="0" header="0.31496062992126" footer="0.31496062992126"/>
  <pageSetup paperSize="9" scale="75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2CA06-69CC-44AC-B582-A6EBD284F7B9}">
  <sheetPr codeName="Sheet189">
    <tabColor rgb="FF92D050"/>
    <pageSetUpPr fitToPage="1"/>
  </sheetPr>
  <dimension ref="B4:O47"/>
  <sheetViews>
    <sheetView workbookViewId="0">
      <selection activeCell="B1" sqref="B1:L15"/>
    </sheetView>
  </sheetViews>
  <sheetFormatPr defaultColWidth="12.54296875" defaultRowHeight="18.5" x14ac:dyDescent="0.45"/>
  <cols>
    <col min="1" max="1" width="12.54296875" style="20"/>
    <col min="2" max="4" width="12.54296875" style="20" customWidth="1"/>
    <col min="5" max="5" width="2.54296875" style="20" customWidth="1"/>
    <col min="6" max="6" width="14.54296875" style="20" customWidth="1"/>
    <col min="7" max="7" width="1.54296875" style="20" customWidth="1"/>
    <col min="8" max="8" width="17.81640625" style="20" customWidth="1"/>
    <col min="9" max="12" width="12.54296875" style="20" customWidth="1"/>
    <col min="13" max="16384" width="12.54296875" style="20"/>
  </cols>
  <sheetData>
    <row r="4" spans="2:15" x14ac:dyDescent="0.45">
      <c r="B4" s="19"/>
    </row>
    <row r="5" spans="2:15" ht="8.5" customHeight="1" thickBot="1" x14ac:dyDescent="0.5">
      <c r="B5" s="19"/>
    </row>
    <row r="6" spans="2:15" ht="18" customHeight="1" thickTop="1" thickBot="1" x14ac:dyDescent="0.5">
      <c r="B6" s="21" t="s">
        <v>8</v>
      </c>
      <c r="C6" s="21"/>
      <c r="D6" s="22"/>
      <c r="E6" s="22"/>
      <c r="F6" s="23" t="s">
        <v>9</v>
      </c>
      <c r="G6" s="24"/>
      <c r="H6" s="24" t="s">
        <v>125</v>
      </c>
      <c r="J6" s="25" t="s">
        <v>28</v>
      </c>
      <c r="K6" s="230">
        <v>201910001</v>
      </c>
      <c r="L6" s="231"/>
    </row>
    <row r="7" spans="2:15" ht="20.149999999999999" customHeight="1" x14ac:dyDescent="0.45">
      <c r="B7" s="232" t="s">
        <v>414</v>
      </c>
      <c r="C7" s="233"/>
      <c r="D7" s="234"/>
      <c r="E7" s="26"/>
      <c r="F7" s="235" t="s">
        <v>415</v>
      </c>
      <c r="G7" s="236"/>
      <c r="H7" s="237"/>
      <c r="J7" s="27" t="s">
        <v>10</v>
      </c>
      <c r="K7" s="244" t="s">
        <v>413</v>
      </c>
      <c r="L7" s="245"/>
    </row>
    <row r="8" spans="2:15" ht="20.149999999999999" customHeight="1" x14ac:dyDescent="0.45">
      <c r="B8" s="246"/>
      <c r="C8" s="247"/>
      <c r="D8" s="248"/>
      <c r="E8" s="26"/>
      <c r="F8" s="238"/>
      <c r="G8" s="239"/>
      <c r="H8" s="240"/>
      <c r="J8" s="27" t="s">
        <v>127</v>
      </c>
      <c r="K8" s="244" t="s">
        <v>35</v>
      </c>
      <c r="L8" s="245"/>
    </row>
    <row r="9" spans="2:15" ht="20.149999999999999" customHeight="1" x14ac:dyDescent="0.45">
      <c r="B9" s="246"/>
      <c r="C9" s="247"/>
      <c r="D9" s="248"/>
      <c r="E9" s="26"/>
      <c r="F9" s="238"/>
      <c r="G9" s="239"/>
      <c r="H9" s="240"/>
      <c r="J9" s="27" t="s">
        <v>11</v>
      </c>
      <c r="K9" s="244" t="s">
        <v>13</v>
      </c>
      <c r="L9" s="245"/>
    </row>
    <row r="10" spans="2:15" ht="20.149999999999999" customHeight="1" x14ac:dyDescent="0.45">
      <c r="B10" s="246"/>
      <c r="C10" s="247"/>
      <c r="D10" s="248"/>
      <c r="E10" s="26"/>
      <c r="F10" s="238"/>
      <c r="G10" s="239"/>
      <c r="H10" s="240"/>
      <c r="J10" s="27" t="s">
        <v>29</v>
      </c>
      <c r="K10" s="244" t="s">
        <v>412</v>
      </c>
      <c r="L10" s="245"/>
    </row>
    <row r="11" spans="2:15" ht="18" customHeight="1" thickBot="1" x14ac:dyDescent="0.5">
      <c r="B11" s="51"/>
      <c r="C11" s="52"/>
      <c r="D11" s="53"/>
      <c r="E11" s="22"/>
      <c r="F11" s="241"/>
      <c r="G11" s="242"/>
      <c r="H11" s="243"/>
      <c r="J11" s="28" t="s">
        <v>12</v>
      </c>
      <c r="K11" s="252" t="s">
        <v>35</v>
      </c>
      <c r="L11" s="253"/>
    </row>
    <row r="12" spans="2:15" ht="19" thickBot="1" x14ac:dyDescent="0.5"/>
    <row r="13" spans="2:15" ht="30" customHeight="1" thickBot="1" x14ac:dyDescent="0.5">
      <c r="B13" s="7" t="s">
        <v>2</v>
      </c>
      <c r="C13" s="8" t="s">
        <v>3</v>
      </c>
      <c r="D13" s="254" t="s">
        <v>4</v>
      </c>
      <c r="E13" s="255"/>
      <c r="F13" s="255"/>
      <c r="G13" s="269"/>
      <c r="H13" s="16" t="s">
        <v>230</v>
      </c>
      <c r="I13" s="7" t="s">
        <v>58</v>
      </c>
      <c r="J13" s="15" t="s">
        <v>5</v>
      </c>
      <c r="K13" s="8" t="s">
        <v>6</v>
      </c>
      <c r="L13" s="9" t="s">
        <v>411</v>
      </c>
      <c r="M13" s="29"/>
      <c r="N13" s="29"/>
      <c r="O13" s="29"/>
    </row>
    <row r="14" spans="2:15" ht="20.149999999999999" customHeight="1" x14ac:dyDescent="0.45">
      <c r="B14" s="30"/>
      <c r="C14" s="18" t="s">
        <v>98</v>
      </c>
      <c r="D14" s="257" t="s">
        <v>408</v>
      </c>
      <c r="E14" s="257"/>
      <c r="F14" s="257"/>
      <c r="G14" s="18"/>
      <c r="H14" s="18" t="s">
        <v>406</v>
      </c>
      <c r="I14" s="18" t="s">
        <v>407</v>
      </c>
      <c r="J14" s="18">
        <v>200</v>
      </c>
      <c r="K14" s="31">
        <v>3.5</v>
      </c>
      <c r="L14" s="32">
        <f>J14*K14</f>
        <v>700</v>
      </c>
    </row>
    <row r="15" spans="2:15" ht="20.149999999999999" customHeight="1" x14ac:dyDescent="0.45">
      <c r="B15" s="30"/>
      <c r="C15" s="18" t="s">
        <v>132</v>
      </c>
      <c r="D15" s="257" t="s">
        <v>409</v>
      </c>
      <c r="E15" s="257"/>
      <c r="F15" s="257"/>
      <c r="G15" s="18" t="e">
        <f>VLOOKUP(B15,'Sales Master'!A$3:D$413,4,0)</f>
        <v>#N/A</v>
      </c>
      <c r="H15" s="18" t="s">
        <v>410</v>
      </c>
      <c r="I15" s="18" t="s">
        <v>407</v>
      </c>
      <c r="J15" s="18">
        <v>4684</v>
      </c>
      <c r="K15" s="31">
        <v>1.9</v>
      </c>
      <c r="L15" s="32">
        <f>J15*K15</f>
        <v>8899.6</v>
      </c>
    </row>
    <row r="16" spans="2:15" ht="20.149999999999999" customHeight="1" x14ac:dyDescent="0.45">
      <c r="B16" s="30"/>
      <c r="C16" s="18"/>
      <c r="D16" s="257"/>
      <c r="E16" s="257"/>
      <c r="F16" s="257"/>
      <c r="G16" s="18"/>
      <c r="H16" s="18"/>
      <c r="I16" s="18"/>
      <c r="J16" s="18"/>
      <c r="K16" s="31"/>
      <c r="L16" s="32"/>
    </row>
    <row r="17" spans="2:12" ht="20.149999999999999" customHeight="1" x14ac:dyDescent="0.45">
      <c r="B17" s="30"/>
      <c r="C17" s="18"/>
      <c r="D17" s="257"/>
      <c r="E17" s="257"/>
      <c r="F17" s="257"/>
      <c r="G17" s="18"/>
      <c r="H17" s="18"/>
      <c r="I17" s="18"/>
      <c r="J17" s="18"/>
      <c r="K17" s="31"/>
      <c r="L17" s="32"/>
    </row>
    <row r="18" spans="2:12" ht="20.149999999999999" customHeight="1" x14ac:dyDescent="0.45">
      <c r="B18" s="30"/>
      <c r="C18" s="18"/>
      <c r="D18" s="257"/>
      <c r="E18" s="257"/>
      <c r="F18" s="257"/>
      <c r="G18" s="18"/>
      <c r="H18" s="18"/>
      <c r="I18" s="18"/>
      <c r="J18" s="18"/>
      <c r="K18" s="31"/>
      <c r="L18" s="32"/>
    </row>
    <row r="19" spans="2:12" ht="20.149999999999999" customHeight="1" x14ac:dyDescent="0.45">
      <c r="B19" s="30"/>
      <c r="C19" s="18"/>
      <c r="D19" s="257"/>
      <c r="E19" s="257"/>
      <c r="F19" s="257"/>
      <c r="G19" s="18"/>
      <c r="H19" s="18"/>
      <c r="I19" s="18"/>
      <c r="J19" s="18"/>
      <c r="K19" s="31"/>
      <c r="L19" s="32"/>
    </row>
    <row r="20" spans="2:12" ht="20.149999999999999" customHeight="1" x14ac:dyDescent="0.45">
      <c r="B20" s="30"/>
      <c r="C20" s="18"/>
      <c r="D20" s="257"/>
      <c r="E20" s="257"/>
      <c r="F20" s="257"/>
      <c r="G20" s="18"/>
      <c r="H20" s="18"/>
      <c r="I20" s="18"/>
      <c r="J20" s="18"/>
      <c r="K20" s="31"/>
      <c r="L20" s="32"/>
    </row>
    <row r="21" spans="2:12" ht="20.149999999999999" customHeight="1" x14ac:dyDescent="0.45">
      <c r="B21" s="30"/>
      <c r="C21" s="18"/>
      <c r="D21" s="257"/>
      <c r="E21" s="257"/>
      <c r="F21" s="257"/>
      <c r="G21" s="18"/>
      <c r="H21" s="18"/>
      <c r="I21" s="18"/>
      <c r="J21" s="18"/>
      <c r="K21" s="31"/>
      <c r="L21" s="32"/>
    </row>
    <row r="22" spans="2:12" ht="20.149999999999999" customHeight="1" x14ac:dyDescent="0.45">
      <c r="B22" s="30"/>
      <c r="C22" s="18"/>
      <c r="D22" s="257"/>
      <c r="E22" s="257"/>
      <c r="F22" s="257"/>
      <c r="G22" s="18"/>
      <c r="H22" s="18"/>
      <c r="I22" s="18"/>
      <c r="J22" s="18"/>
      <c r="K22" s="31"/>
      <c r="L22" s="32"/>
    </row>
    <row r="23" spans="2:12" ht="20.149999999999999" customHeight="1" x14ac:dyDescent="0.45">
      <c r="B23" s="30"/>
      <c r="C23" s="18"/>
      <c r="D23" s="257"/>
      <c r="E23" s="257"/>
      <c r="F23" s="257"/>
      <c r="G23" s="18"/>
      <c r="H23" s="18"/>
      <c r="I23" s="18"/>
      <c r="J23" s="18"/>
      <c r="K23" s="31"/>
      <c r="L23" s="32"/>
    </row>
    <row r="24" spans="2:12" ht="20.149999999999999" customHeight="1" x14ac:dyDescent="0.45">
      <c r="B24" s="30"/>
      <c r="C24" s="18"/>
      <c r="D24" s="257"/>
      <c r="E24" s="257"/>
      <c r="F24" s="257"/>
      <c r="G24" s="18"/>
      <c r="H24" s="18"/>
      <c r="I24" s="18"/>
      <c r="J24" s="18"/>
      <c r="K24" s="31"/>
      <c r="L24" s="32"/>
    </row>
    <row r="25" spans="2:12" ht="20.149999999999999" customHeight="1" x14ac:dyDescent="0.45">
      <c r="B25" s="30"/>
      <c r="C25" s="18"/>
      <c r="D25" s="257"/>
      <c r="E25" s="257"/>
      <c r="F25" s="257"/>
      <c r="G25" s="18"/>
      <c r="H25" s="18"/>
      <c r="I25" s="18"/>
      <c r="J25" s="18"/>
      <c r="K25" s="31"/>
      <c r="L25" s="32"/>
    </row>
    <row r="26" spans="2:12" ht="20.149999999999999" customHeight="1" x14ac:dyDescent="0.45">
      <c r="B26" s="30"/>
      <c r="C26" s="18"/>
      <c r="D26" s="257"/>
      <c r="E26" s="257"/>
      <c r="F26" s="257"/>
      <c r="G26" s="18"/>
      <c r="H26" s="18"/>
      <c r="I26" s="18"/>
      <c r="J26" s="18"/>
      <c r="K26" s="31"/>
      <c r="L26" s="32"/>
    </row>
    <row r="27" spans="2:12" ht="20.149999999999999" customHeight="1" x14ac:dyDescent="0.45">
      <c r="B27" s="30"/>
      <c r="C27" s="18"/>
      <c r="D27" s="257"/>
      <c r="E27" s="257"/>
      <c r="F27" s="257"/>
      <c r="G27" s="18"/>
      <c r="H27" s="18"/>
      <c r="I27" s="18"/>
      <c r="J27" s="18"/>
      <c r="K27" s="31"/>
      <c r="L27" s="32"/>
    </row>
    <row r="28" spans="2:12" ht="20.149999999999999" customHeight="1" x14ac:dyDescent="0.45">
      <c r="B28" s="30"/>
      <c r="C28" s="18"/>
      <c r="D28" s="257"/>
      <c r="E28" s="257"/>
      <c r="F28" s="257"/>
      <c r="G28" s="18"/>
      <c r="H28" s="18"/>
      <c r="I28" s="18"/>
      <c r="J28" s="18"/>
      <c r="K28" s="31"/>
      <c r="L28" s="32"/>
    </row>
    <row r="29" spans="2:12" ht="20.149999999999999" customHeight="1" x14ac:dyDescent="0.45">
      <c r="B29" s="30"/>
      <c r="C29" s="18"/>
      <c r="D29" s="257"/>
      <c r="E29" s="257"/>
      <c r="F29" s="257"/>
      <c r="G29" s="18"/>
      <c r="H29" s="18"/>
      <c r="I29" s="18"/>
      <c r="J29" s="18"/>
      <c r="K29" s="31"/>
      <c r="L29" s="32"/>
    </row>
    <row r="30" spans="2:12" ht="20.149999999999999" customHeight="1" x14ac:dyDescent="0.45">
      <c r="B30" s="30"/>
      <c r="C30" s="18"/>
      <c r="D30" s="257"/>
      <c r="E30" s="257"/>
      <c r="F30" s="257"/>
      <c r="G30" s="18"/>
      <c r="H30" s="18"/>
      <c r="I30" s="18"/>
      <c r="J30" s="18"/>
      <c r="K30" s="31"/>
      <c r="L30" s="32"/>
    </row>
    <row r="31" spans="2:12" ht="20.149999999999999" customHeight="1" x14ac:dyDescent="0.45">
      <c r="B31" s="30"/>
      <c r="C31" s="18"/>
      <c r="D31" s="257"/>
      <c r="E31" s="257"/>
      <c r="F31" s="257"/>
      <c r="G31" s="18"/>
      <c r="H31" s="18"/>
      <c r="I31" s="18"/>
      <c r="J31" s="18"/>
      <c r="K31" s="31"/>
      <c r="L31" s="32"/>
    </row>
    <row r="32" spans="2:12" ht="20.149999999999999" customHeight="1" x14ac:dyDescent="0.45">
      <c r="B32" s="30"/>
      <c r="C32" s="18"/>
      <c r="D32" s="257"/>
      <c r="E32" s="257"/>
      <c r="F32" s="257"/>
      <c r="G32" s="18"/>
      <c r="H32" s="18"/>
      <c r="I32" s="18"/>
      <c r="J32" s="18"/>
      <c r="K32" s="31"/>
      <c r="L32" s="32"/>
    </row>
    <row r="33" spans="2:12" ht="20.149999999999999" customHeight="1" thickBot="1" x14ac:dyDescent="0.5">
      <c r="B33" s="33"/>
      <c r="C33" s="34"/>
      <c r="D33" s="267"/>
      <c r="E33" s="267"/>
      <c r="F33" s="267"/>
      <c r="G33" s="34"/>
      <c r="H33" s="34"/>
      <c r="I33" s="34"/>
      <c r="J33" s="34"/>
      <c r="K33" s="35"/>
      <c r="L33" s="36"/>
    </row>
    <row r="34" spans="2:12" ht="20.149999999999999" customHeight="1" thickBot="1" x14ac:dyDescent="0.5">
      <c r="B34" s="37"/>
      <c r="L34" s="38"/>
    </row>
    <row r="35" spans="2:12" ht="20.149999999999999" customHeight="1" x14ac:dyDescent="0.45">
      <c r="B35" s="10" t="s">
        <v>17</v>
      </c>
      <c r="C35" s="6"/>
      <c r="D35" s="6"/>
      <c r="E35" s="6"/>
      <c r="F35" s="6"/>
      <c r="G35" s="6"/>
      <c r="H35" s="6"/>
      <c r="I35" s="6"/>
      <c r="J35" s="261" t="s">
        <v>14</v>
      </c>
      <c r="K35" s="262"/>
      <c r="L35" s="39">
        <f>SUM(L14:L34)</f>
        <v>9599.6</v>
      </c>
    </row>
    <row r="36" spans="2:12" ht="20.149999999999999" customHeight="1" x14ac:dyDescent="0.45">
      <c r="B36" s="10" t="s">
        <v>18</v>
      </c>
      <c r="C36" s="6"/>
      <c r="D36" s="6"/>
      <c r="E36" s="6"/>
      <c r="F36" s="6"/>
      <c r="G36" s="6"/>
      <c r="H36" s="6"/>
      <c r="I36" s="6"/>
      <c r="J36" s="40" t="s">
        <v>16</v>
      </c>
      <c r="K36" s="41"/>
      <c r="L36" s="42">
        <v>0</v>
      </c>
    </row>
    <row r="37" spans="2:12" ht="20.149999999999999" customHeight="1" x14ac:dyDescent="0.45">
      <c r="B37" s="10" t="s">
        <v>19</v>
      </c>
      <c r="C37" s="6"/>
      <c r="D37" s="6"/>
      <c r="E37" s="6"/>
      <c r="F37" s="6"/>
      <c r="G37" s="6"/>
      <c r="H37" s="6"/>
      <c r="I37" s="6"/>
      <c r="J37" s="263" t="s">
        <v>20</v>
      </c>
      <c r="K37" s="264"/>
      <c r="L37" s="42">
        <f>SUM(L35:L36)</f>
        <v>9599.6</v>
      </c>
    </row>
    <row r="38" spans="2:12" ht="20.149999999999999" customHeight="1" x14ac:dyDescent="0.45">
      <c r="B38" s="10" t="s">
        <v>23</v>
      </c>
      <c r="C38" s="6"/>
      <c r="D38" s="6"/>
      <c r="E38" s="6"/>
      <c r="F38" s="6"/>
      <c r="G38" s="6"/>
      <c r="H38" s="6"/>
      <c r="I38" s="6"/>
      <c r="J38" s="263" t="s">
        <v>21</v>
      </c>
      <c r="K38" s="264"/>
      <c r="L38" s="43">
        <v>0</v>
      </c>
    </row>
    <row r="39" spans="2:12" ht="20.149999999999999" customHeight="1" thickBot="1" x14ac:dyDescent="0.5">
      <c r="B39" s="10" t="s">
        <v>24</v>
      </c>
      <c r="C39" s="6"/>
      <c r="D39" s="6"/>
      <c r="E39" s="6"/>
      <c r="F39" s="6"/>
      <c r="G39" s="6"/>
      <c r="H39" s="6"/>
      <c r="I39" s="6"/>
      <c r="J39" s="265" t="s">
        <v>22</v>
      </c>
      <c r="K39" s="266"/>
      <c r="L39" s="44">
        <f>L37-L38</f>
        <v>9599.6</v>
      </c>
    </row>
    <row r="40" spans="2:12" ht="20.149999999999999" customHeight="1" x14ac:dyDescent="0.45">
      <c r="B40" s="10" t="s">
        <v>25</v>
      </c>
      <c r="C40" s="6"/>
      <c r="D40" s="6"/>
      <c r="E40" s="6"/>
      <c r="F40" s="6"/>
      <c r="G40" s="6"/>
      <c r="H40" s="6"/>
      <c r="I40" s="6"/>
      <c r="L40" s="38"/>
    </row>
    <row r="41" spans="2:12" ht="20.149999999999999" customHeight="1" x14ac:dyDescent="0.45">
      <c r="B41" s="37"/>
      <c r="L41" s="38"/>
    </row>
    <row r="42" spans="2:12" ht="20.149999999999999" customHeight="1" x14ac:dyDescent="0.45">
      <c r="B42" s="37"/>
      <c r="L42" s="38"/>
    </row>
    <row r="43" spans="2:12" ht="20.149999999999999" customHeight="1" x14ac:dyDescent="0.45">
      <c r="B43" s="37"/>
      <c r="L43" s="38"/>
    </row>
    <row r="44" spans="2:12" ht="20.149999999999999" customHeight="1" x14ac:dyDescent="0.45">
      <c r="B44" s="37"/>
      <c r="L44" s="38"/>
    </row>
    <row r="45" spans="2:12" ht="20.149999999999999" customHeight="1" x14ac:dyDescent="0.45">
      <c r="B45" s="45"/>
      <c r="C45" s="46"/>
      <c r="D45" s="46"/>
      <c r="J45" s="46"/>
      <c r="K45" s="46"/>
      <c r="L45" s="47"/>
    </row>
    <row r="46" spans="2:12" ht="20.149999999999999" customHeight="1" x14ac:dyDescent="0.45">
      <c r="B46" s="37" t="s">
        <v>26</v>
      </c>
      <c r="J46" s="20" t="s">
        <v>27</v>
      </c>
      <c r="L46" s="38"/>
    </row>
    <row r="47" spans="2:12" ht="19" thickBot="1" x14ac:dyDescent="0.5">
      <c r="B47" s="48"/>
      <c r="C47" s="49"/>
      <c r="D47" s="49"/>
      <c r="E47" s="49"/>
      <c r="F47" s="49"/>
      <c r="G47" s="49"/>
      <c r="H47" s="49"/>
      <c r="I47" s="49"/>
      <c r="J47" s="49"/>
      <c r="K47" s="49"/>
      <c r="L47" s="50"/>
    </row>
  </sheetData>
  <mergeCells count="36">
    <mergeCell ref="J39:K39"/>
    <mergeCell ref="D14:F14"/>
    <mergeCell ref="D15:F15"/>
    <mergeCell ref="D16:F16"/>
    <mergeCell ref="J35:K35"/>
    <mergeCell ref="D29:F29"/>
    <mergeCell ref="D30:F30"/>
    <mergeCell ref="D31:F31"/>
    <mergeCell ref="D32:F32"/>
    <mergeCell ref="D33:F33"/>
    <mergeCell ref="D26:F26"/>
    <mergeCell ref="D27:F27"/>
    <mergeCell ref="J37:K37"/>
    <mergeCell ref="J38:K38"/>
    <mergeCell ref="D28:F28"/>
    <mergeCell ref="D22:F22"/>
    <mergeCell ref="D23:F23"/>
    <mergeCell ref="D24:F24"/>
    <mergeCell ref="D25:F25"/>
    <mergeCell ref="B9:D9"/>
    <mergeCell ref="D17:F17"/>
    <mergeCell ref="D18:F18"/>
    <mergeCell ref="D19:F19"/>
    <mergeCell ref="D20:F20"/>
    <mergeCell ref="D21:F21"/>
    <mergeCell ref="D13:G13"/>
    <mergeCell ref="K6:L6"/>
    <mergeCell ref="B7:D7"/>
    <mergeCell ref="K7:L7"/>
    <mergeCell ref="B8:D8"/>
    <mergeCell ref="K8:L8"/>
    <mergeCell ref="F7:H11"/>
    <mergeCell ref="K9:L9"/>
    <mergeCell ref="B10:D10"/>
    <mergeCell ref="K10:L10"/>
    <mergeCell ref="K11:L11"/>
  </mergeCells>
  <printOptions horizontalCentered="1" verticalCentered="1"/>
  <pageMargins left="0.70866141732283505" right="0.70866141732283505" top="2.25" bottom="0.74803149606299202" header="0.31496062992126" footer="0.31496062992126"/>
  <pageSetup scale="50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D622E-5D71-4D08-9DEF-8BC5F0BA3A9E}">
  <sheetPr codeName="Sheet13">
    <pageSetUpPr fitToPage="1"/>
  </sheetPr>
  <dimension ref="A2:I55"/>
  <sheetViews>
    <sheetView workbookViewId="0">
      <selection activeCell="B1" sqref="B1:L15"/>
    </sheetView>
  </sheetViews>
  <sheetFormatPr defaultRowHeight="14.5" x14ac:dyDescent="0.35"/>
  <cols>
    <col min="1" max="1" width="9.26953125" customWidth="1"/>
    <col min="2" max="2" width="36.54296875" customWidth="1"/>
    <col min="3" max="4" width="14.54296875" customWidth="1"/>
    <col min="5" max="5" width="16.54296875" customWidth="1"/>
    <col min="6" max="6" width="10.54296875" style="123" customWidth="1"/>
    <col min="7" max="7" width="6.54296875" customWidth="1"/>
    <col min="8" max="8" width="2.54296875" customWidth="1"/>
    <col min="9" max="9" width="14.54296875" customWidth="1"/>
  </cols>
  <sheetData>
    <row r="2" spans="1:9" ht="33" customHeight="1" x14ac:dyDescent="0.35">
      <c r="A2" s="13" t="s">
        <v>0</v>
      </c>
      <c r="B2" s="14" t="s">
        <v>1</v>
      </c>
      <c r="C2" s="13" t="s">
        <v>379</v>
      </c>
      <c r="D2" s="14" t="s">
        <v>58</v>
      </c>
      <c r="E2" s="14" t="s">
        <v>30</v>
      </c>
      <c r="F2" s="126" t="s">
        <v>991</v>
      </c>
      <c r="G2" s="102" t="s">
        <v>956</v>
      </c>
      <c r="I2" s="109"/>
    </row>
    <row r="3" spans="1:9" ht="20.149999999999999" customHeight="1" x14ac:dyDescent="0.35">
      <c r="A3" s="79" t="s">
        <v>513</v>
      </c>
      <c r="B3" s="79" t="s">
        <v>156</v>
      </c>
      <c r="C3" s="65" t="s">
        <v>380</v>
      </c>
      <c r="D3" s="65" t="s">
        <v>59</v>
      </c>
      <c r="E3" s="65" t="s">
        <v>517</v>
      </c>
      <c r="F3" s="89">
        <v>29</v>
      </c>
      <c r="G3" s="114"/>
      <c r="H3" s="119"/>
    </row>
    <row r="4" spans="1:9" ht="20.149999999999999" customHeight="1" x14ac:dyDescent="0.35">
      <c r="A4" s="79" t="s">
        <v>520</v>
      </c>
      <c r="B4" s="79" t="s">
        <v>158</v>
      </c>
      <c r="C4" s="88" t="s">
        <v>380</v>
      </c>
      <c r="D4" s="65" t="s">
        <v>59</v>
      </c>
      <c r="E4" s="65" t="s">
        <v>305</v>
      </c>
      <c r="F4" s="89">
        <v>7</v>
      </c>
      <c r="G4" s="114"/>
      <c r="H4" s="119"/>
    </row>
    <row r="5" spans="1:9" ht="20.149999999999999" customHeight="1" x14ac:dyDescent="0.35">
      <c r="A5" s="79" t="s">
        <v>521</v>
      </c>
      <c r="B5" s="79" t="s">
        <v>159</v>
      </c>
      <c r="C5" s="88" t="s">
        <v>380</v>
      </c>
      <c r="D5" s="65" t="s">
        <v>59</v>
      </c>
      <c r="E5" s="65" t="s">
        <v>305</v>
      </c>
      <c r="F5" s="89">
        <v>6</v>
      </c>
      <c r="G5" s="114"/>
      <c r="H5" s="119"/>
    </row>
    <row r="6" spans="1:9" ht="20.149999999999999" customHeight="1" x14ac:dyDescent="0.35">
      <c r="A6" s="79" t="s">
        <v>532</v>
      </c>
      <c r="B6" s="79" t="s">
        <v>166</v>
      </c>
      <c r="C6" s="88" t="s">
        <v>380</v>
      </c>
      <c r="D6" s="65" t="s">
        <v>416</v>
      </c>
      <c r="E6" s="65" t="s">
        <v>259</v>
      </c>
      <c r="F6" s="89">
        <v>9</v>
      </c>
      <c r="G6" s="114"/>
      <c r="H6" s="119"/>
    </row>
    <row r="7" spans="1:9" ht="20.149999999999999" customHeight="1" x14ac:dyDescent="0.35">
      <c r="A7" s="79" t="s">
        <v>555</v>
      </c>
      <c r="B7" s="79" t="s">
        <v>163</v>
      </c>
      <c r="C7" s="88" t="s">
        <v>425</v>
      </c>
      <c r="D7" s="65" t="s">
        <v>35</v>
      </c>
      <c r="E7" s="65" t="s">
        <v>454</v>
      </c>
      <c r="F7" s="89">
        <v>6</v>
      </c>
      <c r="G7" s="114"/>
      <c r="H7" s="119"/>
    </row>
    <row r="8" spans="1:9" ht="20.149999999999999" customHeight="1" x14ac:dyDescent="0.35">
      <c r="A8" s="79" t="s">
        <v>566</v>
      </c>
      <c r="B8" s="79" t="s">
        <v>471</v>
      </c>
      <c r="C8" s="88" t="s">
        <v>461</v>
      </c>
      <c r="D8" s="65" t="s">
        <v>35</v>
      </c>
      <c r="E8" s="65" t="s">
        <v>569</v>
      </c>
      <c r="F8" s="89">
        <v>112</v>
      </c>
      <c r="G8" s="114"/>
      <c r="H8" s="119"/>
    </row>
    <row r="9" spans="1:9" ht="20.149999999999999" customHeight="1" x14ac:dyDescent="0.35">
      <c r="A9" s="79" t="s">
        <v>570</v>
      </c>
      <c r="B9" s="79" t="s">
        <v>905</v>
      </c>
      <c r="C9" s="79"/>
      <c r="D9" s="65" t="s">
        <v>265</v>
      </c>
      <c r="E9" s="65" t="s">
        <v>33</v>
      </c>
      <c r="F9" s="89">
        <v>35</v>
      </c>
      <c r="G9" s="114"/>
      <c r="H9" s="119"/>
    </row>
    <row r="10" spans="1:9" ht="20.149999999999999" customHeight="1" x14ac:dyDescent="0.35">
      <c r="A10" s="79" t="s">
        <v>587</v>
      </c>
      <c r="B10" s="79" t="s">
        <v>285</v>
      </c>
      <c r="C10" s="65"/>
      <c r="D10" s="65" t="s">
        <v>266</v>
      </c>
      <c r="E10" s="65" t="s">
        <v>33</v>
      </c>
      <c r="F10" s="89">
        <v>40</v>
      </c>
      <c r="G10" s="114"/>
      <c r="H10" s="119"/>
    </row>
    <row r="11" spans="1:9" ht="20.149999999999999" customHeight="1" x14ac:dyDescent="0.35">
      <c r="A11" s="79" t="s">
        <v>615</v>
      </c>
      <c r="B11" s="79" t="s">
        <v>182</v>
      </c>
      <c r="C11" s="88" t="s">
        <v>463</v>
      </c>
      <c r="D11" s="65" t="s">
        <v>364</v>
      </c>
      <c r="E11" s="65" t="s">
        <v>310</v>
      </c>
      <c r="F11" s="89">
        <v>0.8</v>
      </c>
      <c r="G11" s="114"/>
      <c r="H11" s="119"/>
    </row>
    <row r="12" spans="1:9" ht="20.149999999999999" customHeight="1" x14ac:dyDescent="0.35">
      <c r="A12" s="79" t="s">
        <v>635</v>
      </c>
      <c r="B12" s="79" t="s">
        <v>177</v>
      </c>
      <c r="C12" s="65" t="s">
        <v>250</v>
      </c>
      <c r="D12" s="65" t="s">
        <v>59</v>
      </c>
      <c r="E12" s="83" t="s">
        <v>486</v>
      </c>
      <c r="F12" s="89">
        <v>10.5</v>
      </c>
      <c r="G12" s="114"/>
      <c r="H12" s="119"/>
    </row>
    <row r="13" spans="1:9" ht="20.149999999999999" customHeight="1" x14ac:dyDescent="0.35">
      <c r="A13" s="79" t="s">
        <v>638</v>
      </c>
      <c r="B13" s="79" t="s">
        <v>470</v>
      </c>
      <c r="C13" s="88" t="s">
        <v>380</v>
      </c>
      <c r="D13" s="65" t="s">
        <v>416</v>
      </c>
      <c r="E13" s="65" t="s">
        <v>66</v>
      </c>
      <c r="F13" s="89">
        <v>4.5</v>
      </c>
      <c r="G13" s="114"/>
      <c r="H13" s="119"/>
    </row>
    <row r="14" spans="1:9" ht="20.149999999999999" customHeight="1" x14ac:dyDescent="0.35">
      <c r="A14" s="79" t="s">
        <v>641</v>
      </c>
      <c r="B14" s="79" t="s">
        <v>238</v>
      </c>
      <c r="C14" s="88" t="s">
        <v>461</v>
      </c>
      <c r="D14" s="65" t="s">
        <v>35</v>
      </c>
      <c r="E14" s="65" t="s">
        <v>642</v>
      </c>
      <c r="F14" s="89">
        <v>5</v>
      </c>
      <c r="G14" s="114"/>
      <c r="H14" s="119"/>
    </row>
    <row r="15" spans="1:9" ht="20.149999999999999" customHeight="1" x14ac:dyDescent="0.35">
      <c r="A15" s="79" t="s">
        <v>644</v>
      </c>
      <c r="B15" s="79" t="s">
        <v>298</v>
      </c>
      <c r="C15" s="88" t="s">
        <v>461</v>
      </c>
      <c r="D15" s="65" t="s">
        <v>35</v>
      </c>
      <c r="E15" s="65" t="s">
        <v>53</v>
      </c>
      <c r="F15" s="89">
        <v>19</v>
      </c>
      <c r="G15" s="114"/>
      <c r="H15" s="119"/>
    </row>
    <row r="16" spans="1:9" ht="20.149999999999999" customHeight="1" x14ac:dyDescent="0.35">
      <c r="A16" s="79" t="s">
        <v>654</v>
      </c>
      <c r="B16" s="79" t="s">
        <v>185</v>
      </c>
      <c r="C16" s="65"/>
      <c r="D16" s="65" t="s">
        <v>35</v>
      </c>
      <c r="E16" s="65" t="s">
        <v>53</v>
      </c>
      <c r="F16" s="89">
        <v>18</v>
      </c>
      <c r="G16" s="114"/>
      <c r="H16" s="119"/>
    </row>
    <row r="17" spans="1:8" ht="20.149999999999999" customHeight="1" x14ac:dyDescent="0.35">
      <c r="A17" s="79" t="s">
        <v>657</v>
      </c>
      <c r="B17" s="79" t="s">
        <v>186</v>
      </c>
      <c r="C17" s="88" t="s">
        <v>465</v>
      </c>
      <c r="D17" s="65" t="s">
        <v>35</v>
      </c>
      <c r="E17" s="65" t="s">
        <v>53</v>
      </c>
      <c r="F17" s="89">
        <v>13</v>
      </c>
      <c r="G17" s="114"/>
      <c r="H17" s="119"/>
    </row>
    <row r="18" spans="1:8" ht="20.149999999999999" customHeight="1" x14ac:dyDescent="0.35">
      <c r="A18" s="79" t="s">
        <v>671</v>
      </c>
      <c r="B18" s="79" t="s">
        <v>188</v>
      </c>
      <c r="C18" s="88" t="s">
        <v>250</v>
      </c>
      <c r="D18" s="65" t="s">
        <v>35</v>
      </c>
      <c r="E18" s="65" t="s">
        <v>53</v>
      </c>
      <c r="F18" s="89">
        <v>18</v>
      </c>
      <c r="G18" s="114"/>
      <c r="H18" s="119"/>
    </row>
    <row r="19" spans="1:8" ht="20.149999999999999" customHeight="1" x14ac:dyDescent="0.35">
      <c r="A19" s="79" t="s">
        <v>675</v>
      </c>
      <c r="B19" s="79" t="s">
        <v>189</v>
      </c>
      <c r="C19" s="88" t="s">
        <v>382</v>
      </c>
      <c r="D19" s="65" t="s">
        <v>35</v>
      </c>
      <c r="E19" s="65" t="s">
        <v>53</v>
      </c>
      <c r="F19" s="89">
        <v>10</v>
      </c>
      <c r="G19" s="114"/>
      <c r="H19" s="119"/>
    </row>
    <row r="20" spans="1:8" ht="20.149999999999999" customHeight="1" x14ac:dyDescent="0.35">
      <c r="A20" s="79" t="s">
        <v>678</v>
      </c>
      <c r="B20" s="79" t="s">
        <v>190</v>
      </c>
      <c r="C20" s="88" t="s">
        <v>425</v>
      </c>
      <c r="D20" s="65" t="s">
        <v>35</v>
      </c>
      <c r="E20" s="65" t="s">
        <v>71</v>
      </c>
      <c r="F20" s="89">
        <v>8.5</v>
      </c>
      <c r="G20" s="114"/>
      <c r="H20" s="119"/>
    </row>
    <row r="21" spans="1:8" ht="20.149999999999999" customHeight="1" x14ac:dyDescent="0.35">
      <c r="A21" s="79" t="s">
        <v>680</v>
      </c>
      <c r="B21" s="79" t="s">
        <v>191</v>
      </c>
      <c r="C21" s="88" t="s">
        <v>264</v>
      </c>
      <c r="D21" s="65" t="s">
        <v>35</v>
      </c>
      <c r="E21" s="65" t="s">
        <v>53</v>
      </c>
      <c r="F21" s="89">
        <v>7</v>
      </c>
      <c r="G21" s="114"/>
      <c r="H21" s="119"/>
    </row>
    <row r="22" spans="1:8" ht="20.149999999999999" customHeight="1" x14ac:dyDescent="0.35">
      <c r="A22" s="79" t="s">
        <v>683</v>
      </c>
      <c r="B22" s="79" t="s">
        <v>192</v>
      </c>
      <c r="C22" s="88" t="s">
        <v>463</v>
      </c>
      <c r="D22" s="65" t="s">
        <v>35</v>
      </c>
      <c r="E22" s="65" t="s">
        <v>53</v>
      </c>
      <c r="F22" s="89">
        <v>11</v>
      </c>
      <c r="G22" s="114"/>
      <c r="H22" s="119"/>
    </row>
    <row r="23" spans="1:8" ht="20.149999999999999" customHeight="1" x14ac:dyDescent="0.35">
      <c r="A23" s="79" t="s">
        <v>687</v>
      </c>
      <c r="B23" s="79" t="s">
        <v>193</v>
      </c>
      <c r="C23" s="88" t="s">
        <v>463</v>
      </c>
      <c r="D23" s="65" t="s">
        <v>35</v>
      </c>
      <c r="E23" s="65" t="s">
        <v>53</v>
      </c>
      <c r="F23" s="89">
        <v>10.5</v>
      </c>
      <c r="G23" s="114"/>
      <c r="H23" s="119"/>
    </row>
    <row r="24" spans="1:8" ht="20.149999999999999" customHeight="1" x14ac:dyDescent="0.35">
      <c r="A24" s="79" t="s">
        <v>690</v>
      </c>
      <c r="B24" s="79" t="s">
        <v>194</v>
      </c>
      <c r="C24" s="88" t="s">
        <v>463</v>
      </c>
      <c r="D24" s="65" t="s">
        <v>149</v>
      </c>
      <c r="E24" s="65" t="s">
        <v>33</v>
      </c>
      <c r="F24" s="89">
        <v>12</v>
      </c>
      <c r="G24" s="114"/>
      <c r="H24" s="119"/>
    </row>
    <row r="25" spans="1:8" ht="20.149999999999999" customHeight="1" x14ac:dyDescent="0.35">
      <c r="A25" s="79" t="s">
        <v>694</v>
      </c>
      <c r="B25" s="79" t="s">
        <v>390</v>
      </c>
      <c r="C25" s="88" t="s">
        <v>461</v>
      </c>
      <c r="D25" s="65" t="s">
        <v>304</v>
      </c>
      <c r="E25" s="65" t="s">
        <v>33</v>
      </c>
      <c r="F25" s="89">
        <v>16</v>
      </c>
      <c r="G25" s="114"/>
      <c r="H25" s="119"/>
    </row>
    <row r="26" spans="1:8" ht="20.149999999999999" customHeight="1" x14ac:dyDescent="0.35">
      <c r="A26" s="79" t="s">
        <v>711</v>
      </c>
      <c r="B26" s="79" t="s">
        <v>202</v>
      </c>
      <c r="C26" s="65"/>
      <c r="D26" s="65" t="s">
        <v>432</v>
      </c>
      <c r="E26" s="65" t="s">
        <v>326</v>
      </c>
      <c r="F26" s="89">
        <v>2.9</v>
      </c>
      <c r="G26" s="114"/>
      <c r="H26" s="119"/>
    </row>
    <row r="27" spans="1:8" ht="20.149999999999999" customHeight="1" x14ac:dyDescent="0.35">
      <c r="A27" s="79" t="s">
        <v>757</v>
      </c>
      <c r="B27" s="79" t="s">
        <v>170</v>
      </c>
      <c r="C27" s="79"/>
      <c r="D27" s="65" t="s">
        <v>500</v>
      </c>
      <c r="E27" s="65" t="s">
        <v>943</v>
      </c>
      <c r="F27" s="89">
        <v>85</v>
      </c>
      <c r="G27" s="114"/>
      <c r="H27" s="119"/>
    </row>
    <row r="28" spans="1:8" ht="20.149999999999999" customHeight="1" x14ac:dyDescent="0.35">
      <c r="A28" s="79" t="s">
        <v>758</v>
      </c>
      <c r="B28" s="79" t="s">
        <v>170</v>
      </c>
      <c r="C28" s="88" t="s">
        <v>35</v>
      </c>
      <c r="D28" s="65" t="s">
        <v>500</v>
      </c>
      <c r="E28" s="65" t="s">
        <v>90</v>
      </c>
      <c r="F28" s="89">
        <v>14.2</v>
      </c>
      <c r="G28" s="114"/>
      <c r="H28" s="119"/>
    </row>
    <row r="29" spans="1:8" ht="20.149999999999999" customHeight="1" x14ac:dyDescent="0.35">
      <c r="A29" s="79" t="s">
        <v>761</v>
      </c>
      <c r="B29" s="79" t="s">
        <v>170</v>
      </c>
      <c r="C29" s="88" t="s">
        <v>463</v>
      </c>
      <c r="D29" s="65" t="s">
        <v>43</v>
      </c>
      <c r="E29" s="65" t="s">
        <v>90</v>
      </c>
      <c r="F29" s="89">
        <v>18</v>
      </c>
      <c r="G29" s="114"/>
      <c r="H29" s="119"/>
    </row>
    <row r="30" spans="1:8" ht="20.149999999999999" customHeight="1" x14ac:dyDescent="0.35">
      <c r="A30" s="79" t="s">
        <v>763</v>
      </c>
      <c r="B30" s="79" t="s">
        <v>348</v>
      </c>
      <c r="C30" s="88" t="s">
        <v>463</v>
      </c>
      <c r="D30" s="65" t="s">
        <v>43</v>
      </c>
      <c r="E30" s="65" t="s">
        <v>90</v>
      </c>
      <c r="F30" s="89">
        <v>9</v>
      </c>
      <c r="G30" s="114"/>
      <c r="H30" s="119"/>
    </row>
    <row r="31" spans="1:8" ht="20.149999999999999" customHeight="1" x14ac:dyDescent="0.35">
      <c r="A31" s="79" t="s">
        <v>768</v>
      </c>
      <c r="B31" s="79" t="s">
        <v>171</v>
      </c>
      <c r="C31" s="88" t="s">
        <v>427</v>
      </c>
      <c r="D31" s="65" t="s">
        <v>400</v>
      </c>
      <c r="E31" s="65" t="s">
        <v>331</v>
      </c>
      <c r="F31" s="89">
        <v>23</v>
      </c>
      <c r="G31" s="114"/>
      <c r="H31" s="119"/>
    </row>
    <row r="32" spans="1:8" ht="20.149999999999999" customHeight="1" x14ac:dyDescent="0.35">
      <c r="A32" s="79" t="s">
        <v>776</v>
      </c>
      <c r="B32" s="79" t="s">
        <v>173</v>
      </c>
      <c r="C32" s="88" t="s">
        <v>463</v>
      </c>
      <c r="D32" s="65" t="s">
        <v>46</v>
      </c>
      <c r="E32" s="65" t="s">
        <v>333</v>
      </c>
      <c r="F32" s="89">
        <v>26</v>
      </c>
      <c r="G32" s="114"/>
    </row>
    <row r="33" spans="1:7" ht="20.149999999999999" customHeight="1" x14ac:dyDescent="0.35">
      <c r="A33" s="79" t="s">
        <v>778</v>
      </c>
      <c r="B33" s="79" t="s">
        <v>174</v>
      </c>
      <c r="C33" s="88" t="s">
        <v>463</v>
      </c>
      <c r="D33" s="65" t="s">
        <v>47</v>
      </c>
      <c r="E33" s="65" t="s">
        <v>334</v>
      </c>
      <c r="F33" s="89">
        <v>19</v>
      </c>
      <c r="G33" s="114"/>
    </row>
    <row r="34" spans="1:7" ht="20.149999999999999" customHeight="1" x14ac:dyDescent="0.35">
      <c r="A34" s="79" t="s">
        <v>781</v>
      </c>
      <c r="B34" s="79" t="s">
        <v>175</v>
      </c>
      <c r="C34" s="88" t="s">
        <v>463</v>
      </c>
      <c r="D34" s="65" t="s">
        <v>47</v>
      </c>
      <c r="E34" s="65" t="s">
        <v>335</v>
      </c>
      <c r="F34" s="89">
        <v>19</v>
      </c>
      <c r="G34" s="114"/>
    </row>
    <row r="35" spans="1:7" ht="20.149999999999999" customHeight="1" x14ac:dyDescent="0.35">
      <c r="A35" s="79" t="s">
        <v>788</v>
      </c>
      <c r="B35" s="79" t="s">
        <v>506</v>
      </c>
      <c r="C35" s="88" t="s">
        <v>463</v>
      </c>
      <c r="D35" s="65" t="s">
        <v>507</v>
      </c>
      <c r="E35" s="65" t="s">
        <v>322</v>
      </c>
      <c r="F35" s="89">
        <v>1.1499999999999999</v>
      </c>
      <c r="G35" s="114"/>
    </row>
    <row r="36" spans="1:7" ht="20.149999999999999" customHeight="1" x14ac:dyDescent="0.35">
      <c r="A36" s="79" t="s">
        <v>805</v>
      </c>
      <c r="B36" s="79" t="s">
        <v>289</v>
      </c>
      <c r="C36" s="88" t="s">
        <v>461</v>
      </c>
      <c r="D36" s="65" t="s">
        <v>906</v>
      </c>
      <c r="E36" s="65" t="s">
        <v>338</v>
      </c>
      <c r="F36" s="89">
        <v>36</v>
      </c>
      <c r="G36" s="114"/>
    </row>
    <row r="37" spans="1:7" ht="20.149999999999999" customHeight="1" x14ac:dyDescent="0.35">
      <c r="A37" s="79" t="s">
        <v>828</v>
      </c>
      <c r="B37" s="79" t="s">
        <v>472</v>
      </c>
      <c r="C37" s="88" t="s">
        <v>425</v>
      </c>
      <c r="D37" s="65" t="s">
        <v>35</v>
      </c>
      <c r="E37" s="65" t="s">
        <v>69</v>
      </c>
      <c r="F37" s="89">
        <v>6</v>
      </c>
      <c r="G37" s="114"/>
    </row>
    <row r="38" spans="1:7" ht="20.149999999999999" customHeight="1" x14ac:dyDescent="0.35">
      <c r="A38" s="79" t="s">
        <v>831</v>
      </c>
      <c r="B38" s="79" t="s">
        <v>197</v>
      </c>
      <c r="C38" s="88" t="s">
        <v>425</v>
      </c>
      <c r="D38" s="65" t="s">
        <v>287</v>
      </c>
      <c r="E38" s="65" t="s">
        <v>260</v>
      </c>
      <c r="F38" s="89">
        <v>13.5</v>
      </c>
      <c r="G38" s="114"/>
    </row>
    <row r="39" spans="1:7" ht="20.149999999999999" customHeight="1" x14ac:dyDescent="0.35">
      <c r="A39" s="79" t="s">
        <v>835</v>
      </c>
      <c r="B39" s="79" t="s">
        <v>199</v>
      </c>
      <c r="C39" s="65" t="s">
        <v>463</v>
      </c>
      <c r="D39" s="65" t="s">
        <v>834</v>
      </c>
      <c r="E39" s="65" t="s">
        <v>327</v>
      </c>
      <c r="F39" s="89">
        <v>25</v>
      </c>
      <c r="G39" s="114"/>
    </row>
    <row r="40" spans="1:7" ht="20.149999999999999" customHeight="1" x14ac:dyDescent="0.35">
      <c r="A40" s="79" t="s">
        <v>840</v>
      </c>
      <c r="B40" s="79" t="s">
        <v>179</v>
      </c>
      <c r="C40" s="88" t="s">
        <v>250</v>
      </c>
      <c r="D40" s="65" t="s">
        <v>152</v>
      </c>
      <c r="E40" s="65" t="s">
        <v>62</v>
      </c>
      <c r="F40" s="89">
        <v>36</v>
      </c>
      <c r="G40" s="114"/>
    </row>
    <row r="41" spans="1:7" ht="20.149999999999999" customHeight="1" x14ac:dyDescent="0.35">
      <c r="A41" s="79" t="s">
        <v>843</v>
      </c>
      <c r="B41" s="79" t="s">
        <v>179</v>
      </c>
      <c r="C41" s="88" t="s">
        <v>250</v>
      </c>
      <c r="D41" s="65" t="s">
        <v>250</v>
      </c>
      <c r="E41" s="65" t="s">
        <v>62</v>
      </c>
      <c r="F41" s="89">
        <v>31</v>
      </c>
      <c r="G41" s="114"/>
    </row>
    <row r="42" spans="1:7" ht="20.149999999999999" customHeight="1" x14ac:dyDescent="0.35">
      <c r="A42" s="79" t="s">
        <v>845</v>
      </c>
      <c r="B42" s="79" t="s">
        <v>211</v>
      </c>
      <c r="C42" s="88" t="s">
        <v>461</v>
      </c>
      <c r="D42" s="65" t="s">
        <v>35</v>
      </c>
      <c r="E42" s="65" t="s">
        <v>244</v>
      </c>
      <c r="F42" s="89">
        <v>42</v>
      </c>
      <c r="G42" s="114"/>
    </row>
    <row r="43" spans="1:7" ht="20.149999999999999" customHeight="1" x14ac:dyDescent="0.35">
      <c r="A43" s="79" t="s">
        <v>846</v>
      </c>
      <c r="B43" s="79" t="s">
        <v>211</v>
      </c>
      <c r="C43" s="88" t="s">
        <v>461</v>
      </c>
      <c r="D43" s="65" t="s">
        <v>35</v>
      </c>
      <c r="E43" s="65" t="s">
        <v>501</v>
      </c>
      <c r="F43" s="89">
        <v>0.9</v>
      </c>
      <c r="G43" s="114"/>
    </row>
    <row r="44" spans="1:7" ht="20.149999999999999" customHeight="1" x14ac:dyDescent="0.35">
      <c r="A44" s="79" t="s">
        <v>851</v>
      </c>
      <c r="B44" s="79" t="s">
        <v>204</v>
      </c>
      <c r="C44" s="88" t="s">
        <v>425</v>
      </c>
      <c r="D44" s="65" t="s">
        <v>35</v>
      </c>
      <c r="E44" s="65" t="s">
        <v>73</v>
      </c>
      <c r="F44" s="89">
        <v>1.8</v>
      </c>
      <c r="G44" s="114"/>
    </row>
    <row r="45" spans="1:7" ht="20.149999999999999" customHeight="1" x14ac:dyDescent="0.35">
      <c r="A45" s="79" t="s">
        <v>853</v>
      </c>
      <c r="B45" s="79" t="s">
        <v>205</v>
      </c>
      <c r="C45" s="88" t="s">
        <v>463</v>
      </c>
      <c r="D45" s="65" t="s">
        <v>35</v>
      </c>
      <c r="E45" s="65" t="s">
        <v>73</v>
      </c>
      <c r="F45" s="89">
        <v>4</v>
      </c>
      <c r="G45" s="114"/>
    </row>
    <row r="46" spans="1:7" ht="20.149999999999999" customHeight="1" x14ac:dyDescent="0.35">
      <c r="A46" s="79" t="s">
        <v>857</v>
      </c>
      <c r="B46" s="79" t="s">
        <v>247</v>
      </c>
      <c r="C46" s="88" t="s">
        <v>425</v>
      </c>
      <c r="D46" s="65" t="s">
        <v>35</v>
      </c>
      <c r="E46" s="65" t="s">
        <v>33</v>
      </c>
      <c r="F46" s="89">
        <v>2.7</v>
      </c>
      <c r="G46" s="114"/>
    </row>
    <row r="47" spans="1:7" ht="20.149999999999999" customHeight="1" x14ac:dyDescent="0.35">
      <c r="A47" s="79" t="s">
        <v>866</v>
      </c>
      <c r="B47" s="79" t="s">
        <v>317</v>
      </c>
      <c r="C47" s="88" t="s">
        <v>425</v>
      </c>
      <c r="D47" s="65" t="s">
        <v>307</v>
      </c>
      <c r="E47" s="65" t="s">
        <v>92</v>
      </c>
      <c r="F47" s="89">
        <v>2</v>
      </c>
      <c r="G47" s="114"/>
    </row>
    <row r="48" spans="1:7" ht="20.149999999999999" customHeight="1" x14ac:dyDescent="0.35">
      <c r="A48" s="79" t="s">
        <v>867</v>
      </c>
      <c r="B48" s="79" t="s">
        <v>317</v>
      </c>
      <c r="C48" s="88" t="s">
        <v>425</v>
      </c>
      <c r="D48" s="65" t="s">
        <v>308</v>
      </c>
      <c r="E48" s="65" t="s">
        <v>92</v>
      </c>
      <c r="F48" s="89">
        <v>2</v>
      </c>
      <c r="G48" s="114"/>
    </row>
    <row r="49" spans="1:7" ht="20.149999999999999" customHeight="1" x14ac:dyDescent="0.35">
      <c r="A49" s="79" t="s">
        <v>868</v>
      </c>
      <c r="B49" s="79" t="s">
        <v>317</v>
      </c>
      <c r="C49" s="88" t="s">
        <v>425</v>
      </c>
      <c r="D49" s="65" t="s">
        <v>309</v>
      </c>
      <c r="E49" s="65" t="s">
        <v>92</v>
      </c>
      <c r="F49" s="89">
        <v>2</v>
      </c>
      <c r="G49" s="114"/>
    </row>
    <row r="50" spans="1:7" ht="20.149999999999999" customHeight="1" x14ac:dyDescent="0.35">
      <c r="A50" s="79" t="s">
        <v>870</v>
      </c>
      <c r="B50" s="79" t="s">
        <v>288</v>
      </c>
      <c r="C50" s="65" t="s">
        <v>425</v>
      </c>
      <c r="D50" s="65" t="s">
        <v>301</v>
      </c>
      <c r="E50" s="65" t="s">
        <v>272</v>
      </c>
      <c r="F50" s="89">
        <v>22</v>
      </c>
      <c r="G50" s="114"/>
    </row>
    <row r="51" spans="1:7" ht="20.149999999999999" customHeight="1" x14ac:dyDescent="0.35">
      <c r="A51" s="79" t="s">
        <v>874</v>
      </c>
      <c r="B51" s="79" t="s">
        <v>181</v>
      </c>
      <c r="C51" s="65" t="s">
        <v>425</v>
      </c>
      <c r="D51" s="65" t="s">
        <v>134</v>
      </c>
      <c r="E51" s="65" t="s">
        <v>268</v>
      </c>
      <c r="F51" s="89">
        <v>14</v>
      </c>
      <c r="G51" s="114"/>
    </row>
    <row r="52" spans="1:7" ht="20.149999999999999" customHeight="1" x14ac:dyDescent="0.35">
      <c r="A52" s="119"/>
      <c r="B52" s="119"/>
      <c r="C52" s="119"/>
      <c r="D52" s="119"/>
      <c r="E52" s="119"/>
      <c r="F52" s="119"/>
      <c r="G52" s="119"/>
    </row>
    <row r="53" spans="1:7" ht="20.149999999999999" customHeight="1" x14ac:dyDescent="0.35">
      <c r="A53" s="119"/>
      <c r="B53" s="119"/>
      <c r="C53" s="119"/>
      <c r="D53" s="119"/>
      <c r="E53" s="119"/>
      <c r="F53" s="119"/>
      <c r="G53" s="119"/>
    </row>
    <row r="54" spans="1:7" ht="20.149999999999999" customHeight="1" x14ac:dyDescent="0.35">
      <c r="A54" s="119"/>
      <c r="B54" s="119"/>
      <c r="C54" s="119"/>
      <c r="D54" s="119"/>
      <c r="E54" s="119"/>
      <c r="F54" s="119"/>
      <c r="G54" s="119"/>
    </row>
    <row r="55" spans="1:7" ht="20.149999999999999" customHeight="1" x14ac:dyDescent="0.35">
      <c r="A55" s="119"/>
      <c r="B55" s="119"/>
      <c r="C55" s="119"/>
      <c r="D55" s="119"/>
      <c r="E55" s="119"/>
      <c r="F55" s="119"/>
      <c r="G55" s="119"/>
    </row>
  </sheetData>
  <pageMargins left="0.511811023622047" right="0" top="0.74803149606299202" bottom="0" header="0.31496062992126" footer="0.31496062992126"/>
  <pageSetup paperSize="9" scale="77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57640-B4FE-47D5-9E46-4A42B9DC54D4}">
  <sheetPr codeName="Sheet12">
    <pageSetUpPr fitToPage="1"/>
  </sheetPr>
  <dimension ref="A1:P31"/>
  <sheetViews>
    <sheetView workbookViewId="0">
      <selection activeCell="E7" sqref="E7"/>
    </sheetView>
  </sheetViews>
  <sheetFormatPr defaultRowHeight="14.5" x14ac:dyDescent="0.35"/>
  <cols>
    <col min="1" max="1" width="9.26953125" customWidth="1"/>
    <col min="2" max="2" width="36.54296875" customWidth="1"/>
    <col min="3" max="4" width="14.54296875" customWidth="1"/>
    <col min="5" max="5" width="16.54296875" customWidth="1"/>
    <col min="6" max="6" width="10.54296875" style="123" customWidth="1"/>
    <col min="7" max="7" width="6.54296875" customWidth="1"/>
    <col min="8" max="8" width="2.54296875" customWidth="1"/>
    <col min="9" max="9" width="10.1796875" customWidth="1"/>
    <col min="10" max="10" width="36.54296875" customWidth="1"/>
    <col min="11" max="12" width="14.54296875" customWidth="1"/>
    <col min="13" max="13" width="16.54296875" customWidth="1"/>
    <col min="14" max="14" width="10.54296875" customWidth="1"/>
    <col min="15" max="15" width="6.54296875" customWidth="1"/>
    <col min="16" max="16" width="14.54296875" customWidth="1"/>
  </cols>
  <sheetData>
    <row r="1" spans="1:16" ht="15" thickBot="1" x14ac:dyDescent="0.4">
      <c r="B1" t="s">
        <v>342</v>
      </c>
    </row>
    <row r="2" spans="1:16" ht="33" customHeight="1" thickBot="1" x14ac:dyDescent="0.4">
      <c r="A2" s="105" t="s">
        <v>0</v>
      </c>
      <c r="B2" s="106" t="s">
        <v>1</v>
      </c>
      <c r="C2" s="107" t="s">
        <v>379</v>
      </c>
      <c r="D2" s="106" t="s">
        <v>58</v>
      </c>
      <c r="E2" s="106" t="s">
        <v>30</v>
      </c>
      <c r="F2" s="124" t="s">
        <v>969</v>
      </c>
      <c r="G2" s="108" t="s">
        <v>956</v>
      </c>
      <c r="I2" s="105" t="s">
        <v>0</v>
      </c>
      <c r="J2" s="106" t="s">
        <v>1</v>
      </c>
      <c r="K2" s="107" t="s">
        <v>379</v>
      </c>
      <c r="L2" s="106" t="s">
        <v>58</v>
      </c>
      <c r="M2" s="106" t="s">
        <v>30</v>
      </c>
      <c r="N2" s="124" t="s">
        <v>969</v>
      </c>
      <c r="O2" s="108" t="s">
        <v>956</v>
      </c>
      <c r="P2" s="109"/>
    </row>
    <row r="3" spans="1:16" ht="22" customHeight="1" x14ac:dyDescent="0.35">
      <c r="A3" s="120" t="s">
        <v>513</v>
      </c>
      <c r="B3" s="114" t="s">
        <v>156</v>
      </c>
      <c r="C3" s="115" t="s">
        <v>380</v>
      </c>
      <c r="D3" s="115" t="s">
        <v>59</v>
      </c>
      <c r="E3" s="110" t="s">
        <v>966</v>
      </c>
      <c r="F3" s="118">
        <v>29</v>
      </c>
      <c r="G3" s="117"/>
      <c r="H3" s="119"/>
      <c r="I3" s="122" t="s">
        <v>761</v>
      </c>
      <c r="J3" s="114" t="s">
        <v>170</v>
      </c>
      <c r="K3" s="115" t="s">
        <v>895</v>
      </c>
      <c r="L3" s="115" t="s">
        <v>43</v>
      </c>
      <c r="M3" s="110" t="s">
        <v>90</v>
      </c>
      <c r="N3" s="118">
        <v>18</v>
      </c>
      <c r="O3" s="114"/>
    </row>
    <row r="4" spans="1:16" ht="22" customHeight="1" x14ac:dyDescent="0.35">
      <c r="A4" s="120" t="s">
        <v>520</v>
      </c>
      <c r="B4" s="114" t="s">
        <v>158</v>
      </c>
      <c r="C4" s="115" t="s">
        <v>380</v>
      </c>
      <c r="D4" s="115" t="s">
        <v>59</v>
      </c>
      <c r="E4" s="110" t="s">
        <v>957</v>
      </c>
      <c r="F4" s="118">
        <v>6</v>
      </c>
      <c r="G4" s="114"/>
      <c r="H4" s="119"/>
      <c r="I4" s="122" t="s">
        <v>763</v>
      </c>
      <c r="J4" s="114" t="s">
        <v>348</v>
      </c>
      <c r="K4" s="115" t="s">
        <v>895</v>
      </c>
      <c r="L4" s="115" t="s">
        <v>45</v>
      </c>
      <c r="M4" s="110" t="s">
        <v>90</v>
      </c>
      <c r="N4" s="118">
        <v>9.5</v>
      </c>
      <c r="O4" s="114"/>
    </row>
    <row r="5" spans="1:16" ht="22" customHeight="1" x14ac:dyDescent="0.35">
      <c r="A5" s="120" t="s">
        <v>521</v>
      </c>
      <c r="B5" s="114" t="s">
        <v>159</v>
      </c>
      <c r="C5" s="115" t="s">
        <v>380</v>
      </c>
      <c r="D5" s="115" t="s">
        <v>59</v>
      </c>
      <c r="E5" s="110" t="s">
        <v>957</v>
      </c>
      <c r="F5" s="118">
        <v>6</v>
      </c>
      <c r="G5" s="114"/>
      <c r="H5" s="119"/>
      <c r="I5" s="122" t="s">
        <v>768</v>
      </c>
      <c r="J5" s="114" t="s">
        <v>171</v>
      </c>
      <c r="K5" s="115"/>
      <c r="L5" s="115" t="s">
        <v>964</v>
      </c>
      <c r="M5" s="110" t="s">
        <v>331</v>
      </c>
      <c r="N5" s="118">
        <v>23</v>
      </c>
      <c r="O5" s="114"/>
    </row>
    <row r="6" spans="1:16" ht="22" customHeight="1" x14ac:dyDescent="0.35">
      <c r="A6" s="120" t="s">
        <v>522</v>
      </c>
      <c r="B6" s="114" t="s">
        <v>160</v>
      </c>
      <c r="C6" s="115" t="s">
        <v>380</v>
      </c>
      <c r="D6" s="115" t="s">
        <v>59</v>
      </c>
      <c r="E6" s="110" t="s">
        <v>957</v>
      </c>
      <c r="F6" s="118">
        <v>7</v>
      </c>
      <c r="G6" s="114"/>
      <c r="H6" s="119"/>
      <c r="I6" s="122" t="s">
        <v>776</v>
      </c>
      <c r="J6" s="114" t="s">
        <v>173</v>
      </c>
      <c r="K6" s="114"/>
      <c r="L6" s="115" t="s">
        <v>46</v>
      </c>
      <c r="M6" s="110" t="s">
        <v>333</v>
      </c>
      <c r="N6" s="118">
        <v>26</v>
      </c>
      <c r="O6" s="114"/>
    </row>
    <row r="7" spans="1:16" ht="22" customHeight="1" x14ac:dyDescent="0.35">
      <c r="A7" s="120" t="s">
        <v>531</v>
      </c>
      <c r="B7" s="114" t="s">
        <v>166</v>
      </c>
      <c r="C7" s="115" t="s">
        <v>380</v>
      </c>
      <c r="D7" s="115" t="s">
        <v>59</v>
      </c>
      <c r="E7" s="110" t="s">
        <v>259</v>
      </c>
      <c r="F7" s="118">
        <v>6.5</v>
      </c>
      <c r="G7" s="114"/>
      <c r="H7" s="119"/>
      <c r="I7" s="122" t="s">
        <v>778</v>
      </c>
      <c r="J7" s="114" t="s">
        <v>174</v>
      </c>
      <c r="K7" s="114"/>
      <c r="L7" s="115" t="s">
        <v>47</v>
      </c>
      <c r="M7" s="110" t="s">
        <v>334</v>
      </c>
      <c r="N7" s="118">
        <v>19</v>
      </c>
      <c r="O7" s="114"/>
    </row>
    <row r="8" spans="1:16" ht="22" customHeight="1" x14ac:dyDescent="0.35">
      <c r="A8" s="120" t="s">
        <v>555</v>
      </c>
      <c r="B8" s="114" t="s">
        <v>163</v>
      </c>
      <c r="C8" s="115" t="s">
        <v>425</v>
      </c>
      <c r="D8" s="115" t="s">
        <v>967</v>
      </c>
      <c r="E8" s="110" t="s">
        <v>33</v>
      </c>
      <c r="F8" s="118">
        <v>6.5</v>
      </c>
      <c r="G8" s="114"/>
      <c r="H8" s="119"/>
      <c r="I8" s="122" t="s">
        <v>781</v>
      </c>
      <c r="J8" s="114" t="s">
        <v>175</v>
      </c>
      <c r="K8" s="114"/>
      <c r="L8" s="115" t="s">
        <v>48</v>
      </c>
      <c r="M8" s="110" t="s">
        <v>335</v>
      </c>
      <c r="N8" s="118">
        <v>19</v>
      </c>
      <c r="O8" s="114"/>
    </row>
    <row r="9" spans="1:16" ht="22" customHeight="1" x14ac:dyDescent="0.35">
      <c r="A9" s="120" t="s">
        <v>567</v>
      </c>
      <c r="B9" s="114" t="s">
        <v>282</v>
      </c>
      <c r="C9" s="115" t="s">
        <v>461</v>
      </c>
      <c r="D9" s="115" t="s">
        <v>35</v>
      </c>
      <c r="E9" s="110" t="s">
        <v>40</v>
      </c>
      <c r="F9" s="118">
        <v>25</v>
      </c>
      <c r="G9" s="114"/>
      <c r="H9" s="119"/>
      <c r="I9" s="122" t="s">
        <v>787</v>
      </c>
      <c r="J9" s="112" t="s">
        <v>506</v>
      </c>
      <c r="K9" s="111" t="s">
        <v>463</v>
      </c>
      <c r="L9" s="115" t="s">
        <v>507</v>
      </c>
      <c r="M9" s="110" t="s">
        <v>965</v>
      </c>
      <c r="N9" s="118">
        <v>54</v>
      </c>
      <c r="O9" s="114"/>
    </row>
    <row r="10" spans="1:16" ht="22" customHeight="1" x14ac:dyDescent="0.35">
      <c r="A10" s="120" t="s">
        <v>571</v>
      </c>
      <c r="B10" s="112" t="s">
        <v>168</v>
      </c>
      <c r="C10" s="110" t="s">
        <v>958</v>
      </c>
      <c r="D10" s="115" t="s">
        <v>265</v>
      </c>
      <c r="E10" s="110" t="s">
        <v>959</v>
      </c>
      <c r="F10" s="118">
        <v>25</v>
      </c>
      <c r="G10" s="114"/>
      <c r="H10" s="119"/>
      <c r="I10" s="120" t="s">
        <v>828</v>
      </c>
      <c r="J10" s="114" t="s">
        <v>472</v>
      </c>
      <c r="K10" s="115" t="s">
        <v>895</v>
      </c>
      <c r="L10" s="115" t="s">
        <v>35</v>
      </c>
      <c r="M10" s="110" t="s">
        <v>69</v>
      </c>
      <c r="N10" s="118">
        <v>6.5</v>
      </c>
      <c r="O10" s="114"/>
    </row>
    <row r="11" spans="1:16" ht="22" customHeight="1" x14ac:dyDescent="0.35">
      <c r="A11" s="120" t="s">
        <v>603</v>
      </c>
      <c r="B11" s="114" t="s">
        <v>180</v>
      </c>
      <c r="C11" s="115" t="s">
        <v>427</v>
      </c>
      <c r="D11" s="115" t="s">
        <v>604</v>
      </c>
      <c r="E11" s="110" t="s">
        <v>259</v>
      </c>
      <c r="F11" s="118">
        <v>9.3000000000000007</v>
      </c>
      <c r="G11" s="114"/>
      <c r="H11" s="119"/>
      <c r="I11" s="120" t="s">
        <v>831</v>
      </c>
      <c r="J11" s="114" t="s">
        <v>197</v>
      </c>
      <c r="K11" s="115" t="s">
        <v>895</v>
      </c>
      <c r="L11" s="115" t="s">
        <v>287</v>
      </c>
      <c r="M11" s="110" t="s">
        <v>260</v>
      </c>
      <c r="N11" s="118">
        <v>13.5</v>
      </c>
      <c r="O11" s="114"/>
    </row>
    <row r="12" spans="1:16" ht="22" customHeight="1" x14ac:dyDescent="0.35">
      <c r="A12" s="122" t="s">
        <v>635</v>
      </c>
      <c r="B12" s="114" t="s">
        <v>177</v>
      </c>
      <c r="C12" s="115" t="s">
        <v>250</v>
      </c>
      <c r="D12" s="115" t="s">
        <v>152</v>
      </c>
      <c r="E12" s="113" t="s">
        <v>486</v>
      </c>
      <c r="F12" s="118">
        <v>10.5</v>
      </c>
      <c r="G12" s="114"/>
      <c r="H12" s="119"/>
      <c r="I12" s="120" t="s">
        <v>833</v>
      </c>
      <c r="J12" s="114" t="s">
        <v>198</v>
      </c>
      <c r="K12" s="115" t="s">
        <v>895</v>
      </c>
      <c r="L12" s="115" t="s">
        <v>287</v>
      </c>
      <c r="M12" s="110" t="s">
        <v>260</v>
      </c>
      <c r="N12" s="118">
        <v>13.5</v>
      </c>
      <c r="O12" s="114"/>
    </row>
    <row r="13" spans="1:16" ht="22" customHeight="1" x14ac:dyDescent="0.35">
      <c r="A13" s="120" t="s">
        <v>638</v>
      </c>
      <c r="B13" s="114" t="s">
        <v>167</v>
      </c>
      <c r="C13" s="115" t="s">
        <v>380</v>
      </c>
      <c r="D13" s="115" t="s">
        <v>416</v>
      </c>
      <c r="E13" s="110" t="s">
        <v>66</v>
      </c>
      <c r="F13" s="118">
        <v>4.8</v>
      </c>
      <c r="G13" s="114"/>
      <c r="H13" s="119"/>
      <c r="I13" s="120" t="s">
        <v>835</v>
      </c>
      <c r="J13" s="114" t="s">
        <v>199</v>
      </c>
      <c r="K13" s="115" t="s">
        <v>895</v>
      </c>
      <c r="L13" s="115" t="s">
        <v>834</v>
      </c>
      <c r="M13" s="110" t="s">
        <v>121</v>
      </c>
      <c r="N13" s="118">
        <v>25</v>
      </c>
      <c r="O13" s="114"/>
    </row>
    <row r="14" spans="1:16" ht="22" customHeight="1" x14ac:dyDescent="0.35">
      <c r="A14" s="120" t="s">
        <v>641</v>
      </c>
      <c r="B14" s="114" t="s">
        <v>238</v>
      </c>
      <c r="C14" s="115" t="s">
        <v>427</v>
      </c>
      <c r="D14" s="115" t="s">
        <v>35</v>
      </c>
      <c r="E14" s="110" t="s">
        <v>968</v>
      </c>
      <c r="F14" s="118">
        <v>5</v>
      </c>
      <c r="G14" s="114"/>
      <c r="H14" s="119"/>
      <c r="I14" s="120" t="s">
        <v>843</v>
      </c>
      <c r="J14" s="112" t="s">
        <v>179</v>
      </c>
      <c r="K14" s="110" t="s">
        <v>52</v>
      </c>
      <c r="L14" s="110" t="s">
        <v>250</v>
      </c>
      <c r="M14" s="110" t="s">
        <v>62</v>
      </c>
      <c r="N14" s="118">
        <v>31</v>
      </c>
      <c r="O14" s="114"/>
    </row>
    <row r="15" spans="1:16" ht="22" customHeight="1" x14ac:dyDescent="0.35">
      <c r="A15" s="120" t="s">
        <v>644</v>
      </c>
      <c r="B15" s="114" t="s">
        <v>184</v>
      </c>
      <c r="C15" s="115" t="s">
        <v>427</v>
      </c>
      <c r="D15" s="115" t="s">
        <v>35</v>
      </c>
      <c r="E15" s="110" t="s">
        <v>53</v>
      </c>
      <c r="F15" s="118">
        <v>18.5</v>
      </c>
      <c r="G15" s="114"/>
      <c r="H15" s="119"/>
      <c r="I15" s="120" t="s">
        <v>870</v>
      </c>
      <c r="J15" s="112" t="s">
        <v>288</v>
      </c>
      <c r="K15" s="115"/>
      <c r="L15" s="110" t="s">
        <v>307</v>
      </c>
      <c r="M15" s="110" t="s">
        <v>272</v>
      </c>
      <c r="N15" s="118">
        <v>20</v>
      </c>
      <c r="O15" s="114"/>
    </row>
    <row r="16" spans="1:16" ht="22" customHeight="1" x14ac:dyDescent="0.35">
      <c r="A16" s="120" t="s">
        <v>657</v>
      </c>
      <c r="B16" s="114" t="s">
        <v>186</v>
      </c>
      <c r="C16" s="115" t="s">
        <v>960</v>
      </c>
      <c r="D16" s="115" t="s">
        <v>35</v>
      </c>
      <c r="E16" s="110" t="s">
        <v>394</v>
      </c>
      <c r="F16" s="118">
        <v>13.5</v>
      </c>
      <c r="G16" s="114"/>
      <c r="H16" s="119"/>
      <c r="I16" s="120" t="s">
        <v>878</v>
      </c>
      <c r="J16" s="270" t="s">
        <v>181</v>
      </c>
      <c r="K16" s="270"/>
      <c r="L16" s="115" t="s">
        <v>279</v>
      </c>
      <c r="M16" s="110" t="s">
        <v>268</v>
      </c>
      <c r="N16" s="118">
        <v>18</v>
      </c>
      <c r="O16" s="114"/>
    </row>
    <row r="17" spans="1:15" ht="22" customHeight="1" x14ac:dyDescent="0.35">
      <c r="A17" s="120" t="s">
        <v>665</v>
      </c>
      <c r="B17" s="114" t="s">
        <v>187</v>
      </c>
      <c r="C17" s="115" t="s">
        <v>895</v>
      </c>
      <c r="D17" s="115" t="s">
        <v>961</v>
      </c>
      <c r="E17" s="110" t="s">
        <v>435</v>
      </c>
      <c r="F17" s="118">
        <v>16.5</v>
      </c>
      <c r="G17" s="114"/>
      <c r="H17" s="119"/>
      <c r="I17" s="120"/>
      <c r="J17" s="112"/>
      <c r="K17" s="112"/>
      <c r="L17" s="115"/>
      <c r="M17" s="110"/>
      <c r="N17" s="121"/>
      <c r="O17" s="114"/>
    </row>
    <row r="18" spans="1:15" ht="22" customHeight="1" x14ac:dyDescent="0.35">
      <c r="A18" s="120" t="s">
        <v>671</v>
      </c>
      <c r="B18" s="114" t="s">
        <v>188</v>
      </c>
      <c r="C18" s="115" t="s">
        <v>52</v>
      </c>
      <c r="D18" s="115" t="s">
        <v>35</v>
      </c>
      <c r="E18" s="110" t="s">
        <v>53</v>
      </c>
      <c r="F18" s="118">
        <v>18</v>
      </c>
      <c r="G18" s="114"/>
      <c r="H18" s="119"/>
      <c r="I18" s="120"/>
      <c r="J18" s="112"/>
      <c r="K18" s="110"/>
      <c r="L18" s="115"/>
      <c r="M18" s="110"/>
      <c r="N18" s="121"/>
      <c r="O18" s="114"/>
    </row>
    <row r="19" spans="1:15" ht="22" customHeight="1" x14ac:dyDescent="0.35">
      <c r="A19" s="120" t="s">
        <v>675</v>
      </c>
      <c r="B19" s="114" t="s">
        <v>189</v>
      </c>
      <c r="C19" s="115" t="s">
        <v>962</v>
      </c>
      <c r="D19" s="115" t="s">
        <v>35</v>
      </c>
      <c r="E19" s="110" t="s">
        <v>53</v>
      </c>
      <c r="F19" s="118">
        <v>10</v>
      </c>
      <c r="G19" s="114"/>
      <c r="H19" s="119"/>
      <c r="I19" s="120"/>
      <c r="J19" s="114"/>
      <c r="K19" s="114"/>
      <c r="L19" s="115"/>
      <c r="M19" s="110"/>
      <c r="N19" s="121"/>
      <c r="O19" s="114"/>
    </row>
    <row r="20" spans="1:15" ht="22" customHeight="1" x14ac:dyDescent="0.35">
      <c r="A20" s="120" t="s">
        <v>678</v>
      </c>
      <c r="B20" s="114" t="s">
        <v>190</v>
      </c>
      <c r="C20" s="115" t="s">
        <v>425</v>
      </c>
      <c r="D20" s="115" t="s">
        <v>35</v>
      </c>
      <c r="E20" s="110" t="s">
        <v>71</v>
      </c>
      <c r="F20" s="118">
        <v>8.6999999999999993</v>
      </c>
      <c r="G20" s="114"/>
      <c r="H20" s="119"/>
      <c r="I20" s="114"/>
      <c r="J20" s="114"/>
      <c r="K20" s="116"/>
      <c r="L20" s="115"/>
      <c r="M20" s="115"/>
      <c r="N20" s="118"/>
      <c r="O20" s="114"/>
    </row>
    <row r="21" spans="1:15" ht="22" customHeight="1" x14ac:dyDescent="0.35">
      <c r="A21" s="120" t="s">
        <v>680</v>
      </c>
      <c r="B21" s="114" t="s">
        <v>191</v>
      </c>
      <c r="C21" s="115" t="s">
        <v>963</v>
      </c>
      <c r="D21" s="115" t="s">
        <v>35</v>
      </c>
      <c r="E21" s="110" t="s">
        <v>53</v>
      </c>
      <c r="F21" s="118">
        <v>7</v>
      </c>
      <c r="G21" s="114"/>
      <c r="H21" s="119"/>
      <c r="I21" s="114"/>
      <c r="J21" s="114"/>
      <c r="K21" s="116"/>
      <c r="L21" s="115"/>
      <c r="M21" s="115"/>
      <c r="N21" s="118"/>
      <c r="O21" s="114"/>
    </row>
    <row r="22" spans="1:15" ht="22" customHeight="1" x14ac:dyDescent="0.35">
      <c r="A22" s="120" t="s">
        <v>687</v>
      </c>
      <c r="B22" s="114" t="s">
        <v>193</v>
      </c>
      <c r="C22" s="115" t="s">
        <v>895</v>
      </c>
      <c r="D22" s="115" t="s">
        <v>961</v>
      </c>
      <c r="E22" s="110" t="s">
        <v>53</v>
      </c>
      <c r="F22" s="118">
        <v>10.5</v>
      </c>
      <c r="G22" s="114"/>
      <c r="H22" s="119"/>
      <c r="I22" s="114"/>
      <c r="J22" s="114"/>
      <c r="K22" s="115"/>
      <c r="L22" s="115"/>
      <c r="M22" s="115"/>
      <c r="N22" s="118"/>
      <c r="O22" s="114"/>
    </row>
    <row r="23" spans="1:15" ht="22" customHeight="1" x14ac:dyDescent="0.35">
      <c r="A23" s="120" t="s">
        <v>690</v>
      </c>
      <c r="B23" s="114" t="s">
        <v>194</v>
      </c>
      <c r="C23" s="115" t="s">
        <v>895</v>
      </c>
      <c r="D23" s="115" t="s">
        <v>906</v>
      </c>
      <c r="E23" s="110" t="s">
        <v>33</v>
      </c>
      <c r="F23" s="118">
        <v>12</v>
      </c>
      <c r="G23" s="114"/>
      <c r="H23" s="119"/>
      <c r="I23" s="114"/>
      <c r="J23" s="114"/>
      <c r="K23" s="115"/>
      <c r="L23" s="115"/>
      <c r="M23" s="115"/>
      <c r="N23" s="118"/>
      <c r="O23" s="114"/>
    </row>
    <row r="24" spans="1:15" ht="22" customHeight="1" x14ac:dyDescent="0.35">
      <c r="A24" s="120" t="s">
        <v>696</v>
      </c>
      <c r="B24" s="114" t="s">
        <v>391</v>
      </c>
      <c r="C24" s="115" t="s">
        <v>427</v>
      </c>
      <c r="D24" s="115" t="s">
        <v>304</v>
      </c>
      <c r="E24" s="110" t="s">
        <v>33</v>
      </c>
      <c r="F24" s="118">
        <v>16</v>
      </c>
      <c r="G24" s="114"/>
      <c r="H24" s="119"/>
      <c r="I24" s="114"/>
      <c r="J24" s="114"/>
      <c r="K24" s="115"/>
      <c r="L24" s="115"/>
      <c r="M24" s="115"/>
      <c r="N24" s="118"/>
      <c r="O24" s="114"/>
    </row>
    <row r="25" spans="1:15" ht="22" customHeight="1" x14ac:dyDescent="0.35">
      <c r="A25" s="120" t="s">
        <v>898</v>
      </c>
      <c r="B25" s="112" t="s">
        <v>239</v>
      </c>
      <c r="C25" s="110" t="s">
        <v>427</v>
      </c>
      <c r="D25" s="115" t="s">
        <v>35</v>
      </c>
      <c r="E25" s="110" t="s">
        <v>40</v>
      </c>
      <c r="F25" s="118">
        <v>6</v>
      </c>
      <c r="G25" s="114"/>
      <c r="H25" s="119"/>
      <c r="I25" s="114"/>
      <c r="J25" s="114"/>
      <c r="K25" s="115"/>
      <c r="L25" s="115"/>
      <c r="M25" s="115"/>
      <c r="N25" s="118"/>
      <c r="O25" s="114"/>
    </row>
    <row r="26" spans="1:15" ht="22" customHeight="1" x14ac:dyDescent="0.35">
      <c r="A26" s="122" t="s">
        <v>729</v>
      </c>
      <c r="B26" s="114" t="s">
        <v>218</v>
      </c>
      <c r="C26" s="115"/>
      <c r="D26" s="115" t="s">
        <v>35</v>
      </c>
      <c r="E26" s="110" t="s">
        <v>55</v>
      </c>
      <c r="F26" s="118">
        <v>9.5</v>
      </c>
      <c r="G26" s="114"/>
      <c r="H26" s="119"/>
      <c r="I26" s="114"/>
      <c r="J26" s="114"/>
      <c r="K26" s="116"/>
      <c r="L26" s="115"/>
      <c r="M26" s="115"/>
      <c r="N26" s="118"/>
      <c r="O26" s="114"/>
    </row>
    <row r="27" spans="1:15" x14ac:dyDescent="0.35">
      <c r="A27" s="119"/>
      <c r="B27" s="119"/>
      <c r="C27" s="119"/>
      <c r="D27" s="119"/>
      <c r="E27" s="119"/>
      <c r="F27" s="125"/>
      <c r="G27" s="119"/>
      <c r="H27" s="119"/>
      <c r="I27" s="119"/>
      <c r="J27" s="119"/>
      <c r="K27" s="119"/>
      <c r="L27" s="119"/>
      <c r="M27" s="119"/>
      <c r="N27" s="119"/>
      <c r="O27" s="119"/>
    </row>
    <row r="28" spans="1:15" x14ac:dyDescent="0.35">
      <c r="A28" s="119"/>
      <c r="B28" s="119"/>
      <c r="C28" s="119"/>
      <c r="D28" s="119"/>
      <c r="E28" s="119"/>
      <c r="F28" s="125"/>
      <c r="G28" s="119"/>
      <c r="H28" s="119"/>
      <c r="I28" s="119"/>
      <c r="J28" s="119"/>
      <c r="K28" s="119"/>
      <c r="L28" s="119"/>
      <c r="M28" s="119"/>
      <c r="N28" s="119"/>
      <c r="O28" s="119"/>
    </row>
    <row r="29" spans="1:15" x14ac:dyDescent="0.35">
      <c r="A29" s="119"/>
      <c r="B29" s="119"/>
      <c r="C29" s="119"/>
      <c r="D29" s="119"/>
      <c r="E29" s="119"/>
      <c r="F29" s="125"/>
      <c r="G29" s="119"/>
      <c r="H29" s="119"/>
      <c r="I29" s="119"/>
      <c r="J29" s="119"/>
      <c r="K29" s="119"/>
      <c r="L29" s="119"/>
      <c r="M29" s="119"/>
      <c r="N29" s="119"/>
      <c r="O29" s="119"/>
    </row>
    <row r="30" spans="1:15" x14ac:dyDescent="0.35">
      <c r="A30" s="119"/>
      <c r="B30" s="119"/>
      <c r="C30" s="119"/>
      <c r="D30" s="119"/>
      <c r="E30" s="119"/>
      <c r="F30" s="125"/>
      <c r="G30" s="119"/>
      <c r="H30" s="119"/>
      <c r="I30" s="119"/>
      <c r="J30" s="119"/>
      <c r="K30" s="119"/>
      <c r="L30" s="119"/>
      <c r="M30" s="119"/>
      <c r="N30" s="119"/>
      <c r="O30" s="119"/>
    </row>
    <row r="31" spans="1:15" x14ac:dyDescent="0.35">
      <c r="A31" s="119"/>
      <c r="B31" s="119"/>
      <c r="C31" s="119"/>
      <c r="D31" s="119"/>
      <c r="E31" s="119"/>
      <c r="F31" s="125"/>
      <c r="G31" s="119"/>
      <c r="H31" s="119"/>
      <c r="I31" s="119"/>
      <c r="J31" s="119"/>
      <c r="K31" s="119"/>
      <c r="L31" s="119"/>
      <c r="M31" s="119"/>
      <c r="N31" s="119"/>
      <c r="O31" s="119"/>
    </row>
  </sheetData>
  <mergeCells count="1">
    <mergeCell ref="J16:K16"/>
  </mergeCells>
  <pageMargins left="0.51181102362204722" right="0.19685039370078741" top="0.74803149606299213" bottom="0.15748031496062992" header="0.31496062992125984" footer="0.31496062992125984"/>
  <pageSetup paperSize="9" scale="6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Sales Master</vt:lpstr>
      <vt:lpstr>#04-33 Picking List</vt:lpstr>
      <vt:lpstr>04-22 Lyeheng</vt:lpstr>
      <vt:lpstr>好运 </vt:lpstr>
      <vt:lpstr>order list new</vt:lpstr>
      <vt:lpstr>sEFONG</vt:lpstr>
      <vt:lpstr>Ally</vt:lpstr>
      <vt:lpstr>BLK 248</vt:lpstr>
      <vt:lpstr>Yuan Yuan</vt:lpstr>
      <vt:lpstr>City Energy</vt:lpstr>
      <vt:lpstr>Sheet1</vt:lpstr>
      <vt:lpstr>'#04-33 Picking List'!Print_Area</vt:lpstr>
      <vt:lpstr>'04-22 Lyeheng'!Print_Area</vt:lpstr>
      <vt:lpstr>Ally!Print_Area</vt:lpstr>
      <vt:lpstr>'BLK 248'!Print_Area</vt:lpstr>
      <vt:lpstr>'City Energy'!Print_Area</vt:lpstr>
      <vt:lpstr>'order list new'!Print_Area</vt:lpstr>
      <vt:lpstr>'Sales Master'!Print_Area</vt:lpstr>
      <vt:lpstr>sEFONG!Print_Area</vt:lpstr>
      <vt:lpstr>'Yuan Yuan'!Print_Area</vt:lpstr>
      <vt:lpstr>'好运 '!Print_Area</vt:lpstr>
      <vt:lpstr>'Sales Master'!Print_Titles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Mandy Toh</cp:lastModifiedBy>
  <cp:lastPrinted>2025-12-01T00:41:57Z</cp:lastPrinted>
  <dcterms:created xsi:type="dcterms:W3CDTF">2015-06-05T18:17:20Z</dcterms:created>
  <dcterms:modified xsi:type="dcterms:W3CDTF">2025-12-01T00:45:58Z</dcterms:modified>
</cp:coreProperties>
</file>