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codeName="ThisWorkbook"/>
  <mc:AlternateContent xmlns:mc="http://schemas.openxmlformats.org/markup-compatibility/2006">
    <mc:Choice Requires="x15">
      <x15ac:absPath xmlns:x15ac="http://schemas.microsoft.com/office/spreadsheetml/2010/11/ac" url="E:\Stephen new\"/>
    </mc:Choice>
  </mc:AlternateContent>
  <xr:revisionPtr revIDLastSave="0" documentId="8_{7FBE5D68-9CC5-4881-8235-D1FEBC5EE0F7}" xr6:coauthVersionLast="47" xr6:coauthVersionMax="47" xr10:uidLastSave="{00000000-0000-0000-0000-000000000000}"/>
  <bookViews>
    <workbookView xWindow="-110" yWindow="-110" windowWidth="19420" windowHeight="10300" activeTab="3" xr2:uid="{00000000-000D-0000-FFFF-FFFF00000000}"/>
  </bookViews>
  <sheets>
    <sheet name="#61" sheetId="263" r:id="rId1"/>
    <sheet name="Sales Master" sheetId="7" r:id="rId2"/>
    <sheet name="Delivery Location" sheetId="6" r:id="rId3"/>
    <sheet name="#193" sheetId="277" r:id="rId4"/>
    <sheet name="#197" sheetId="283" r:id="rId5"/>
    <sheet name="#196" sheetId="282" r:id="rId6"/>
    <sheet name="#195" sheetId="281" r:id="rId7"/>
    <sheet name="#194" sheetId="280" r:id="rId8"/>
    <sheet name="#192" sheetId="275" r:id="rId9"/>
    <sheet name="#191" sheetId="276" r:id="rId10"/>
    <sheet name="#190" sheetId="274" r:id="rId11"/>
    <sheet name="#189" sheetId="273" r:id="rId12"/>
    <sheet name="#188" sheetId="269" r:id="rId13"/>
    <sheet name="#187" sheetId="268" r:id="rId14"/>
    <sheet name="#21" sheetId="70" r:id="rId15"/>
    <sheet name="#64" sheetId="71" r:id="rId16"/>
    <sheet name="#04-33 Picking List" sheetId="152" r:id="rId17"/>
    <sheet name="#04-36 Picking List" sheetId="154" r:id="rId18"/>
    <sheet name="好运 " sheetId="155" r:id="rId19"/>
    <sheet name="NY LIST" sheetId="173" r:id="rId20"/>
    <sheet name="Product Master" sheetId="149" r:id="rId21"/>
    <sheet name="Teck Wah" sheetId="201" r:id="rId22"/>
    <sheet name="order list new" sheetId="213" r:id="rId23"/>
    <sheet name="FOODGLE" sheetId="220" r:id="rId24"/>
    <sheet name="Yuan Yuan" sheetId="225" r:id="rId25"/>
    <sheet name="BLK 248" sheetId="231" r:id="rId26"/>
    <sheet name="ORDER LIST" sheetId="192" r:id="rId27"/>
    <sheet name="#94" sheetId="103" r:id="rId28"/>
    <sheet name="#34" sheetId="124" r:id="rId29"/>
    <sheet name="#90" sheetId="96" r:id="rId30"/>
    <sheet name="SAMPLE" sheetId="243" r:id="rId31"/>
    <sheet name="#185" sheetId="93" r:id="rId32"/>
    <sheet name="#184" sheetId="245" r:id="rId33"/>
    <sheet name="#183" sheetId="244" r:id="rId34"/>
    <sheet name="#172" sheetId="248" r:id="rId35"/>
    <sheet name="#170" sheetId="242" r:id="rId36"/>
    <sheet name="#176" sheetId="238" r:id="rId37"/>
    <sheet name="#182" sheetId="240" r:id="rId38"/>
    <sheet name="#153" sheetId="215" r:id="rId39"/>
    <sheet name="#86" sheetId="68" r:id="rId40"/>
    <sheet name="#171" sheetId="249" r:id="rId41"/>
    <sheet name="#181" sheetId="237" r:id="rId42"/>
    <sheet name="#181 (2)" sheetId="272" r:id="rId43"/>
    <sheet name="#180" sheetId="234" r:id="rId44"/>
    <sheet name="#179" sheetId="233" r:id="rId45"/>
    <sheet name="#88" sheetId="88" r:id="rId46"/>
    <sheet name="#88 (2)" sheetId="271" r:id="rId47"/>
    <sheet name="#85" sheetId="142" r:id="rId48"/>
    <sheet name="#84" sheetId="139" r:id="rId49"/>
    <sheet name="#173" sheetId="246" r:id="rId50"/>
    <sheet name="#174" sheetId="247" r:id="rId51"/>
    <sheet name="#166" sheetId="232" r:id="rId52"/>
    <sheet name="#168" sheetId="235" r:id="rId53"/>
    <sheet name="#175" sheetId="239" r:id="rId54"/>
    <sheet name="#178" sheetId="236" r:id="rId55"/>
    <sheet name="#164" sheetId="228" r:id="rId56"/>
    <sheet name="#169" sheetId="278" r:id="rId57"/>
    <sheet name="#80" sheetId="94" r:id="rId58"/>
    <sheet name="#04" sheetId="83" r:id="rId59"/>
    <sheet name="#02" sheetId="86" r:id="rId60"/>
    <sheet name="#03" sheetId="85" r:id="rId61"/>
    <sheet name="#163" sheetId="227" r:id="rId62"/>
    <sheet name="#162" sheetId="226" r:id="rId63"/>
    <sheet name="#161" sheetId="224" r:id="rId64"/>
    <sheet name="#165" sheetId="230" r:id="rId65"/>
    <sheet name="#58" sheetId="78" r:id="rId66"/>
    <sheet name="#08" sheetId="270" r:id="rId67"/>
    <sheet name="#25" sheetId="113" r:id="rId68"/>
    <sheet name="#71" sheetId="119" r:id="rId69"/>
    <sheet name="#18" sheetId="92" r:id="rId70"/>
    <sheet name="#157" sheetId="219" r:id="rId71"/>
    <sheet name="#157 (2)" sheetId="259" r:id="rId72"/>
    <sheet name="#145" sheetId="204" r:id="rId73"/>
    <sheet name="#152" sheetId="214" r:id="rId74"/>
    <sheet name="#154" sheetId="216" r:id="rId75"/>
    <sheet name="#155" sheetId="217" r:id="rId76"/>
    <sheet name="#159" sheetId="222" r:id="rId77"/>
    <sheet name="#52" sheetId="81" r:id="rId78"/>
    <sheet name="#10" sheetId="99" r:id="rId79"/>
    <sheet name="#78" sheetId="40" r:id="rId80"/>
    <sheet name="#148" sheetId="104" r:id="rId81"/>
    <sheet name="#13" sheetId="61" r:id="rId82"/>
    <sheet name="#101" sheetId="145" r:id="rId83"/>
    <sheet name="#26" sheetId="63" r:id="rId84"/>
    <sheet name="#33" sheetId="87" r:id="rId85"/>
    <sheet name="#50" sheetId="60" r:id="rId86"/>
    <sheet name="#89" sheetId="89" r:id="rId87"/>
    <sheet name="#135" sheetId="189" r:id="rId88"/>
    <sheet name="#63" sheetId="52" r:id="rId89"/>
    <sheet name="#47" sheetId="136" r:id="rId90"/>
    <sheet name="#42" sheetId="111" r:id="rId91"/>
    <sheet name="#45" sheetId="43" r:id="rId92"/>
    <sheet name="#69" sheetId="72" r:id="rId93"/>
    <sheet name="#93" sheetId="102" r:id="rId94"/>
    <sheet name="#93 (2)" sheetId="262" r:id="rId95"/>
    <sheet name="#24" sheetId="120" r:id="rId96"/>
    <sheet name="#74" sheetId="45" r:id="rId97"/>
    <sheet name="#75" sheetId="46" r:id="rId98"/>
    <sheet name="#150" sheetId="209" r:id="rId99"/>
    <sheet name="#81" sheetId="67" r:id="rId100"/>
    <sheet name="#133" sheetId="187" r:id="rId101"/>
    <sheet name="#44" sheetId="54" r:id="rId102"/>
    <sheet name="#91" sheetId="98" r:id="rId103"/>
    <sheet name="#27" sheetId="131" r:id="rId104"/>
    <sheet name="#15" sheetId="65" r:id="rId105"/>
    <sheet name="#16" sheetId="66" r:id="rId106"/>
    <sheet name="#17" sheetId="64" r:id="rId107"/>
    <sheet name="#48" sheetId="50" r:id="rId108"/>
    <sheet name="#49" sheetId="49" r:id="rId109"/>
    <sheet name="#36" sheetId="41" r:id="rId110"/>
    <sheet name="#56" sheetId="42" r:id="rId111"/>
    <sheet name="#55" sheetId="116" r:id="rId112"/>
    <sheet name="#54" sheetId="117" r:id="rId113"/>
    <sheet name="#92" sheetId="101" r:id="rId114"/>
    <sheet name="#79" sheetId="44" r:id="rId115"/>
    <sheet name="#186" sheetId="255" r:id="rId116"/>
    <sheet name="#66" sheetId="69" r:id="rId117"/>
    <sheet name="#28" sheetId="76" r:id="rId118"/>
    <sheet name="#29" sheetId="77" r:id="rId119"/>
    <sheet name="#105" sheetId="150" r:id="rId120"/>
    <sheet name="#67" sheetId="97" r:id="rId121"/>
    <sheet name="#20" sheetId="106" r:id="rId122"/>
    <sheet name="#65" sheetId="75" r:id="rId123"/>
    <sheet name="#124" sheetId="176" r:id="rId124"/>
    <sheet name="#121" sheetId="169" r:id="rId125"/>
    <sheet name="#41" sheetId="51" r:id="rId126"/>
    <sheet name="#40" sheetId="36" r:id="rId127"/>
    <sheet name="#68" sheetId="90" r:id="rId128"/>
    <sheet name="#59" sheetId="121" r:id="rId129"/>
    <sheet name="#128" sheetId="181" r:id="rId130"/>
    <sheet name="#95" sheetId="208" r:id="rId131"/>
    <sheet name="#130" sheetId="184" r:id="rId132"/>
    <sheet name="#131" sheetId="185" r:id="rId133"/>
    <sheet name="#39" sheetId="146" r:id="rId134"/>
    <sheet name="#114" sheetId="164" r:id="rId135"/>
    <sheet name="#158" sheetId="221" r:id="rId136"/>
    <sheet name="#160" sheetId="223" r:id="rId137"/>
    <sheet name="#126" sheetId="179" r:id="rId138"/>
    <sheet name="#151" sheetId="211" r:id="rId139"/>
    <sheet name="#156" sheetId="218" r:id="rId140"/>
    <sheet name="#123" sheetId="174" r:id="rId141"/>
    <sheet name="#09" sheetId="91" r:id="rId142"/>
    <sheet name="#149" sheetId="207" r:id="rId143"/>
    <sheet name="#144" sheetId="202" r:id="rId144"/>
    <sheet name="#142" sheetId="199" r:id="rId145"/>
    <sheet name="#43" sheetId="110" r:id="rId146"/>
    <sheet name="#46" sheetId="197" r:id="rId147"/>
    <sheet name="#138" sheetId="193" r:id="rId148"/>
    <sheet name="#137" sheetId="191" r:id="rId149"/>
    <sheet name="#139" sheetId="194" r:id="rId150"/>
    <sheet name="#140" sheetId="195" r:id="rId151"/>
    <sheet name="#141" sheetId="196" r:id="rId152"/>
    <sheet name="#143" sheetId="200" r:id="rId153"/>
    <sheet name="#111" sheetId="161" r:id="rId154"/>
    <sheet name="#51" sheetId="58" r:id="rId155"/>
    <sheet name="#122" sheetId="170" r:id="rId156"/>
    <sheet name="#31" sheetId="123" r:id="rId157"/>
    <sheet name="#115" sheetId="165" r:id="rId158"/>
    <sheet name="#32" sheetId="56" r:id="rId159"/>
    <sheet name="#53" sheetId="129" r:id="rId160"/>
    <sheet name="#97" sheetId="112" r:id="rId161"/>
    <sheet name="#110" sheetId="160" r:id="rId162"/>
    <sheet name="#116" sheetId="172" r:id="rId163"/>
    <sheet name="#129" sheetId="182" r:id="rId164"/>
    <sheet name="#30" sheetId="82" r:id="rId165"/>
    <sheet name="#57" sheetId="130" r:id="rId166"/>
    <sheet name="#109" sheetId="159" r:id="rId167"/>
    <sheet name="#132" sheetId="186" r:id="rId168"/>
    <sheet name="#01" sheetId="108" r:id="rId169"/>
    <sheet name="#11" sheetId="100" r:id="rId170"/>
    <sheet name="#76" sheetId="47" r:id="rId171"/>
    <sheet name="#77" sheetId="107" r:id="rId172"/>
    <sheet name="#102" sheetId="147" r:id="rId173"/>
    <sheet name="#127" sheetId="180" r:id="rId174"/>
    <sheet name="#134" sheetId="188" r:id="rId175"/>
    <sheet name="#05" sheetId="84" r:id="rId176"/>
    <sheet name="#72" sheetId="95" r:id="rId177"/>
    <sheet name="#96" sheetId="105" r:id="rId178"/>
    <sheet name="#73" sheetId="53" r:id="rId179"/>
    <sheet name="#103" sheetId="157" r:id="rId180"/>
    <sheet name="#136" sheetId="190" r:id="rId181"/>
    <sheet name="#60" sheetId="125" r:id="rId182"/>
    <sheet name="#99" sheetId="135" r:id="rId183"/>
    <sheet name="#113" sheetId="162" r:id="rId184"/>
    <sheet name="STAFF" sheetId="109" r:id="rId185"/>
    <sheet name="#06" sheetId="74" r:id="rId186"/>
    <sheet name="#07" sheetId="73" r:id="rId187"/>
    <sheet name="#12" sheetId="115" r:id="rId188"/>
    <sheet name="#14" sheetId="114" r:id="rId189"/>
    <sheet name="#19" sheetId="122" r:id="rId190"/>
    <sheet name="#22" sheetId="133" r:id="rId191"/>
    <sheet name="#35" sheetId="126" r:id="rId192"/>
    <sheet name="#37" sheetId="127" r:id="rId193"/>
    <sheet name="#38" sheetId="128" r:id="rId194"/>
    <sheet name="#62" sheetId="144" r:id="rId195"/>
    <sheet name="#70" sheetId="118" r:id="rId196"/>
    <sheet name="#87" sheetId="57" r:id="rId197"/>
    <sheet name="#100" sheetId="138" r:id="rId198"/>
    <sheet name="#104" sheetId="171" r:id="rId199"/>
    <sheet name="#118" sheetId="166" r:id="rId200"/>
    <sheet name="#106" sheetId="151" r:id="rId201"/>
    <sheet name="#107" sheetId="156" r:id="rId202"/>
    <sheet name="#112" sheetId="163" r:id="rId203"/>
    <sheet name="#119" sheetId="167" r:id="rId204"/>
    <sheet name="#120" sheetId="168" r:id="rId205"/>
    <sheet name="#125" sheetId="177" r:id="rId206"/>
    <sheet name="#146" sheetId="205" r:id="rId207"/>
    <sheet name="#147" sheetId="206" r:id="rId208"/>
    <sheet name="sEFONG" sheetId="178" r:id="rId209"/>
    <sheet name="Ally" sheetId="29" r:id="rId210"/>
  </sheets>
  <externalReferences>
    <externalReference r:id="rId211"/>
    <externalReference r:id="rId212"/>
  </externalReferences>
  <definedNames>
    <definedName name="_xlnm._FilterDatabase" localSheetId="2" hidden="1">'Delivery Location'!$A$3:$Z$199</definedName>
    <definedName name="_xlnm._FilterDatabase" localSheetId="1" hidden="1">'Sales Master'!$A$2:$DA$371</definedName>
    <definedName name="_xlnm.Print_Area" localSheetId="168">'#01'!$B$1:$L$51</definedName>
    <definedName name="_xlnm.Print_Area" localSheetId="59">'#02'!$B$1:$L$42</definedName>
    <definedName name="_xlnm.Print_Area" localSheetId="60">'#03'!$B$1:$L$42</definedName>
    <definedName name="_xlnm.Print_Area" localSheetId="58">'#04'!$B$1:$L$46</definedName>
    <definedName name="_xlnm.Print_Area" localSheetId="16">'#04-33 Picking List'!$B$2:$R$28</definedName>
    <definedName name="_xlnm.Print_Area" localSheetId="17">'#04-36 Picking List'!$B$2:$Q$21</definedName>
    <definedName name="_xlnm.Print_Area" localSheetId="175">'#05'!$B$1:$L$47</definedName>
    <definedName name="_xlnm.Print_Area" localSheetId="185">'#06'!$B$7:$L$51</definedName>
    <definedName name="_xlnm.Print_Area" localSheetId="186">'#07'!$B$8:$L$50</definedName>
    <definedName name="_xlnm.Print_Area" localSheetId="66">'#08'!$B$1:$L$48</definedName>
    <definedName name="_xlnm.Print_Area" localSheetId="141">'#09'!$B$1:$L$45</definedName>
    <definedName name="_xlnm.Print_Area" localSheetId="78">'#10'!$B$1:$L$50</definedName>
    <definedName name="_xlnm.Print_Area" localSheetId="197">'#100'!$B$5:$L$47</definedName>
    <definedName name="_xlnm.Print_Area" localSheetId="82">'#101'!$B$1:$L$40</definedName>
    <definedName name="_xlnm.Print_Area" localSheetId="172">'#102'!$B$1:$L$51</definedName>
    <definedName name="_xlnm.Print_Area" localSheetId="179">'#103'!$B$1:$L$42</definedName>
    <definedName name="_xlnm.Print_Area" localSheetId="198">'#104'!$B$1:$L$51</definedName>
    <definedName name="_xlnm.Print_Area" localSheetId="119">'#105'!$B$1:$L$39</definedName>
    <definedName name="_xlnm.Print_Area" localSheetId="200">'#106'!$B$5:$L$47</definedName>
    <definedName name="_xlnm.Print_Area" localSheetId="201">'#107'!$B$5:$L$47</definedName>
    <definedName name="_xlnm.Print_Area" localSheetId="166">'#109'!$B$5:$L$47</definedName>
    <definedName name="_xlnm.Print_Area" localSheetId="169">'#11'!$B$1:$L$51</definedName>
    <definedName name="_xlnm.Print_Area" localSheetId="161">'#110'!$B$5:$L$46</definedName>
    <definedName name="_xlnm.Print_Area" localSheetId="153">'#111'!$B$10:$L$51</definedName>
    <definedName name="_xlnm.Print_Area" localSheetId="202">'#112'!$B$5:$L$47</definedName>
    <definedName name="_xlnm.Print_Area" localSheetId="183">'#113'!$B$1:$L$43</definedName>
    <definedName name="_xlnm.Print_Area" localSheetId="134">'#114'!$B$1:$L$52</definedName>
    <definedName name="_xlnm.Print_Area" localSheetId="157">'#115'!$B$1:$L$54</definedName>
    <definedName name="_xlnm.Print_Area" localSheetId="162">'#116'!$B$1:$L$44</definedName>
    <definedName name="_xlnm.Print_Area" localSheetId="199">'#118'!$B$1:$L$40</definedName>
    <definedName name="_xlnm.Print_Area" localSheetId="203">'#119'!$B$5:$L$47</definedName>
    <definedName name="_xlnm.Print_Area" localSheetId="187">'#12'!$B$5:$L$47</definedName>
    <definedName name="_xlnm.Print_Area" localSheetId="204">'#120'!$B$5:$L$47</definedName>
    <definedName name="_xlnm.Print_Area" localSheetId="124">'#121'!$B$1:$L$47</definedName>
    <definedName name="_xlnm.Print_Area" localSheetId="155">'#122'!$B$1:$L$55</definedName>
    <definedName name="_xlnm.Print_Area" localSheetId="140">'#123'!$B$1:$L$50</definedName>
    <definedName name="_xlnm.Print_Area" localSheetId="123">'#124'!$B$1:$L$43</definedName>
    <definedName name="_xlnm.Print_Area" localSheetId="205">'#125'!$B$5:$L$51</definedName>
    <definedName name="_xlnm.Print_Area" localSheetId="137">'#126'!$B$1:$L$51</definedName>
    <definedName name="_xlnm.Print_Area" localSheetId="173">'#127'!$B$1:$L$41</definedName>
    <definedName name="_xlnm.Print_Area" localSheetId="129">'#128'!$B$1:$L$43</definedName>
    <definedName name="_xlnm.Print_Area" localSheetId="163">'#129'!$B$1:$L$52</definedName>
    <definedName name="_xlnm.Print_Area" localSheetId="81">'#13'!$B$1:$L$46</definedName>
    <definedName name="_xlnm.Print_Area" localSheetId="131">'#130'!$B$1:$L$44</definedName>
    <definedName name="_xlnm.Print_Area" localSheetId="132">'#131'!$B$1:$L$51</definedName>
    <definedName name="_xlnm.Print_Area" localSheetId="167">'#132'!$B$1:$L$51</definedName>
    <definedName name="_xlnm.Print_Area" localSheetId="100">'#133'!$B$1:$L$51</definedName>
    <definedName name="_xlnm.Print_Area" localSheetId="174">'#134'!$B$1:$L$51</definedName>
    <definedName name="_xlnm.Print_Area" localSheetId="87">'#135'!$B$1:$L$43</definedName>
    <definedName name="_xlnm.Print_Area" localSheetId="180">'#136'!$B$10:$L$52</definedName>
    <definedName name="_xlnm.Print_Area" localSheetId="148">'#137'!$B$1:$L$56</definedName>
    <definedName name="_xlnm.Print_Area" localSheetId="147">'#138'!$B$1:$L$52</definedName>
    <definedName name="_xlnm.Print_Area" localSheetId="149">'#139'!$B$1:$L$49</definedName>
    <definedName name="_xlnm.Print_Area" localSheetId="188">'#14'!$B$5:$L$47</definedName>
    <definedName name="_xlnm.Print_Area" localSheetId="150">'#140'!$B$1:$L$49</definedName>
    <definedName name="_xlnm.Print_Area" localSheetId="151">'#141'!$B$1:$L$49</definedName>
    <definedName name="_xlnm.Print_Area" localSheetId="144">'#142'!$B$1:$L$42</definedName>
    <definedName name="_xlnm.Print_Area" localSheetId="152">'#143'!$B$1:$L$42</definedName>
    <definedName name="_xlnm.Print_Area" localSheetId="143">'#144'!$B$1:$L$50</definedName>
    <definedName name="_xlnm.Print_Area" localSheetId="72">'#145'!$B$1:$L$46</definedName>
    <definedName name="_xlnm.Print_Area" localSheetId="206">'#146'!$B$1:$L$41</definedName>
    <definedName name="_xlnm.Print_Area" localSheetId="207">'#147'!$B$1:$L$50</definedName>
    <definedName name="_xlnm.Print_Area" localSheetId="80">'#148'!$B$1:$L$46</definedName>
    <definedName name="_xlnm.Print_Area" localSheetId="142">'#149'!$B$1:$L$50</definedName>
    <definedName name="_xlnm.Print_Area" localSheetId="104">'#15'!$B$1:$L$40</definedName>
    <definedName name="_xlnm.Print_Area" localSheetId="98">'#150'!$B$1:$L$41</definedName>
    <definedName name="_xlnm.Print_Area" localSheetId="138">'#151'!$B$1:$L$42</definedName>
    <definedName name="_xlnm.Print_Area" localSheetId="73">'#152'!$B$1:$L$42</definedName>
    <definedName name="_xlnm.Print_Area" localSheetId="38">'#153'!$B$1:$L$48</definedName>
    <definedName name="_xlnm.Print_Area" localSheetId="74">'#154'!$B$1:$L$41</definedName>
    <definedName name="_xlnm.Print_Area" localSheetId="75">'#155'!$B$1:$L$44</definedName>
    <definedName name="_xlnm.Print_Area" localSheetId="139">'#156'!$B$1:$L$41</definedName>
    <definedName name="_xlnm.Print_Area" localSheetId="70">'#157'!$B$1:$L$48</definedName>
    <definedName name="_xlnm.Print_Area" localSheetId="71">'#157 (2)'!$B$1:$L$56</definedName>
    <definedName name="_xlnm.Print_Area" localSheetId="135">'#158'!$B$1:$L$45</definedName>
    <definedName name="_xlnm.Print_Area" localSheetId="76">'#159'!$B$1:$L$39</definedName>
    <definedName name="_xlnm.Print_Area" localSheetId="105">'#16'!$B$1:$L$42</definedName>
    <definedName name="_xlnm.Print_Area" localSheetId="136">'#160'!$B$1:$L$45</definedName>
    <definedName name="_xlnm.Print_Area" localSheetId="63">'#161'!$B$1:$L$45</definedName>
    <definedName name="_xlnm.Print_Area" localSheetId="62">'#162'!$B$1:$L$45</definedName>
    <definedName name="_xlnm.Print_Area" localSheetId="61">'#163'!$B$1:$L$38</definedName>
    <definedName name="_xlnm.Print_Area" localSheetId="55">'#164'!$B$1:$L$42</definedName>
    <definedName name="_xlnm.Print_Area" localSheetId="64">'#165'!$B$1:$L$41</definedName>
    <definedName name="_xlnm.Print_Area" localSheetId="51">'#166'!$B$1:$L$42</definedName>
    <definedName name="_xlnm.Print_Area" localSheetId="52">'#168'!$B$1:$L$44</definedName>
    <definedName name="_xlnm.Print_Area" localSheetId="56">'#169'!$B$1:$L$44</definedName>
    <definedName name="_xlnm.Print_Area" localSheetId="106">'#17'!$B$1:$L$43</definedName>
    <definedName name="_xlnm.Print_Area" localSheetId="35">'#170'!$B$1:$L$44</definedName>
    <definedName name="_xlnm.Print_Area" localSheetId="40">'#171'!$B$1:$L$45</definedName>
    <definedName name="_xlnm.Print_Area" localSheetId="34">'#172'!$B$1:$L$44</definedName>
    <definedName name="_xlnm.Print_Area" localSheetId="49">'#173'!$B$1:$L$44</definedName>
    <definedName name="_xlnm.Print_Area" localSheetId="50">'#174'!$B$1:$L$44</definedName>
    <definedName name="_xlnm.Print_Area" localSheetId="53">'#175'!$B$1:$L$44</definedName>
    <definedName name="_xlnm.Print_Area" localSheetId="36">'#176'!$B$1:$L$44</definedName>
    <definedName name="_xlnm.Print_Area" localSheetId="54">'#178'!$B$1:$L$42</definedName>
    <definedName name="_xlnm.Print_Area" localSheetId="44">'#179'!$B$1:$L$49</definedName>
    <definedName name="_xlnm.Print_Area" localSheetId="69">'#18'!$B$1:$L$48</definedName>
    <definedName name="_xlnm.Print_Area" localSheetId="43">'#180'!$B$1:$L$39</definedName>
    <definedName name="_xlnm.Print_Area" localSheetId="41">'#181'!$B$1:$L$39</definedName>
    <definedName name="_xlnm.Print_Area" localSheetId="42">'#181 (2)'!$B$1:$L$39</definedName>
    <definedName name="_xlnm.Print_Area" localSheetId="37">'#182'!$B$1:$L$39</definedName>
    <definedName name="_xlnm.Print_Area" localSheetId="33">'#183'!$B$1:$L$39</definedName>
    <definedName name="_xlnm.Print_Area" localSheetId="32">'#184'!$B$1:$L$39</definedName>
    <definedName name="_xlnm.Print_Area" localSheetId="31">'#185'!$B$1:$L$45</definedName>
    <definedName name="_xlnm.Print_Area" localSheetId="115">'#186'!$B$1:$L$49</definedName>
    <definedName name="_xlnm.Print_Area" localSheetId="13">'#187'!$B$1:$L$49</definedName>
    <definedName name="_xlnm.Print_Area" localSheetId="12">'#188'!$B$1:$L$49</definedName>
    <definedName name="_xlnm.Print_Area" localSheetId="11">'#189'!$B$1:$L$49</definedName>
    <definedName name="_xlnm.Print_Area" localSheetId="189">'#19'!$B$5:$L$47</definedName>
    <definedName name="_xlnm.Print_Area" localSheetId="10">'#190'!$B$1:$L$49</definedName>
    <definedName name="_xlnm.Print_Area" localSheetId="9">'#191'!$B$1:$L$47</definedName>
    <definedName name="_xlnm.Print_Area" localSheetId="8">'#192'!$B$1:$L$49</definedName>
    <definedName name="_xlnm.Print_Area" localSheetId="3">'#193'!$B$1:$L$49</definedName>
    <definedName name="_xlnm.Print_Area" localSheetId="7">'#194'!$B$1:$L$42</definedName>
    <definedName name="_xlnm.Print_Area" localSheetId="6">'#195'!$B$1:$L$44</definedName>
    <definedName name="_xlnm.Print_Area" localSheetId="5">'#196'!$B$1:$L$49</definedName>
    <definedName name="_xlnm.Print_Area" localSheetId="4">'#197'!$B$1:$L$49</definedName>
    <definedName name="_xlnm.Print_Area" localSheetId="121">'#20'!$B$1:$L$48</definedName>
    <definedName name="_xlnm.Print_Area" localSheetId="14">'#21'!$B$1:$L$43</definedName>
    <definedName name="_xlnm.Print_Area" localSheetId="190">'#22'!$B$5:$L$47</definedName>
    <definedName name="_xlnm.Print_Area" localSheetId="95">'#24'!$B$1:$L$46</definedName>
    <definedName name="_xlnm.Print_Area" localSheetId="67">'#25'!$B$1:$L$44</definedName>
    <definedName name="_xlnm.Print_Area" localSheetId="83">'#26'!$B$1:$L$45</definedName>
    <definedName name="_xlnm.Print_Area" localSheetId="103">'#27'!$B$1:$L$43</definedName>
    <definedName name="_xlnm.Print_Area" localSheetId="117">'#28'!$B$1:$L$42</definedName>
    <definedName name="_xlnm.Print_Area" localSheetId="118">'#29'!$B$1:$L$43</definedName>
    <definedName name="_xlnm.Print_Area" localSheetId="164">'#30'!$B$1:$L$42</definedName>
    <definedName name="_xlnm.Print_Area" localSheetId="156">'#31'!$B$1:$L$51</definedName>
    <definedName name="_xlnm.Print_Area" localSheetId="158">'#32'!$B$1:$L$45</definedName>
    <definedName name="_xlnm.Print_Area" localSheetId="84">'#33'!$B$1:$L$49</definedName>
    <definedName name="_xlnm.Print_Area" localSheetId="28">'#34'!$B$1:$L$62</definedName>
    <definedName name="_xlnm.Print_Area" localSheetId="191">'#35'!$B$4:$L$47</definedName>
    <definedName name="_xlnm.Print_Area" localSheetId="109">'#36'!$B$1:$L$49</definedName>
    <definedName name="_xlnm.Print_Area" localSheetId="192">'#37'!$B$4:$L$47</definedName>
    <definedName name="_xlnm.Print_Area" localSheetId="193">'#38'!$B$4:$L$47</definedName>
    <definedName name="_xlnm.Print_Area" localSheetId="133">'#39'!$B$1:$L$43</definedName>
    <definedName name="_xlnm.Print_Area" localSheetId="126">'#40'!$B$1:$L$45</definedName>
    <definedName name="_xlnm.Print_Area" localSheetId="125">'#41'!$B$1:$L$48</definedName>
    <definedName name="_xlnm.Print_Area" localSheetId="90">'#42'!$B$1:$L$37</definedName>
    <definedName name="_xlnm.Print_Area" localSheetId="145">'#43'!$B$1:$L$51</definedName>
    <definedName name="_xlnm.Print_Area" localSheetId="101">'#44'!$B$1:$L$48</definedName>
    <definedName name="_xlnm.Print_Area" localSheetId="91">'#45'!$B$1:$L$43</definedName>
    <definedName name="_xlnm.Print_Area" localSheetId="146">'#46'!$B$1:$L$51</definedName>
    <definedName name="_xlnm.Print_Area" localSheetId="89">'#47'!$B$1:$L$48</definedName>
    <definedName name="_xlnm.Print_Area" localSheetId="107">'#48'!$B$1:$L$42</definedName>
    <definedName name="_xlnm.Print_Area" localSheetId="108">'#49'!$B$1:$L$44</definedName>
    <definedName name="_xlnm.Print_Area" localSheetId="85">'#50'!$B$1:$L$55</definedName>
    <definedName name="_xlnm.Print_Area" localSheetId="154">'#51'!$B$1:$L$49</definedName>
    <definedName name="_xlnm.Print_Area" localSheetId="77">'#52'!$B$1:$L$48</definedName>
    <definedName name="_xlnm.Print_Area" localSheetId="159">'#53'!$B$1:$L$50</definedName>
    <definedName name="_xlnm.Print_Area" localSheetId="112">'#54'!$B$1:$L$41</definedName>
    <definedName name="_xlnm.Print_Area" localSheetId="111">'#55'!$B$1:$L$41</definedName>
    <definedName name="_xlnm.Print_Area" localSheetId="110">'#56'!$B$1:$L$51</definedName>
    <definedName name="_xlnm.Print_Area" localSheetId="165">'#57'!$B$1:$L$49</definedName>
    <definedName name="_xlnm.Print_Area" localSheetId="65">'#58'!$B$1:$L$44</definedName>
    <definedName name="_xlnm.Print_Area" localSheetId="128">'#59'!$B$1:$L$40</definedName>
    <definedName name="_xlnm.Print_Area" localSheetId="181">'#60'!$B$1:$L$51</definedName>
    <definedName name="_xlnm.Print_Area" localSheetId="0">'#61'!$B$1:$L$45</definedName>
    <definedName name="_xlnm.Print_Area" localSheetId="194">'#62'!$B$5:$L$47</definedName>
    <definedName name="_xlnm.Print_Area" localSheetId="88">'#63'!$B$1:$L$55</definedName>
    <definedName name="_xlnm.Print_Area" localSheetId="15">'#64'!$B$1:$L$57</definedName>
    <definedName name="_xlnm.Print_Area" localSheetId="122">'#65'!$B$1:$L$48</definedName>
    <definedName name="_xlnm.Print_Area" localSheetId="116">'#66'!$B$1:$L$42</definedName>
    <definedName name="_xlnm.Print_Area" localSheetId="120">'#67'!$B$1:$L$46</definedName>
    <definedName name="_xlnm.Print_Area" localSheetId="127">'#68'!$B$1:$L$43</definedName>
    <definedName name="_xlnm.Print_Area" localSheetId="92">'#69'!$B$1:$L$53</definedName>
    <definedName name="_xlnm.Print_Area" localSheetId="195">'#70'!$B$5:$L$47</definedName>
    <definedName name="_xlnm.Print_Area" localSheetId="68">'#71'!$B$1:$L$43</definedName>
    <definedName name="_xlnm.Print_Area" localSheetId="176">'#72'!$B$1:$L$50</definedName>
    <definedName name="_xlnm.Print_Area" localSheetId="178">'#73'!$B$1:$L$40</definedName>
    <definedName name="_xlnm.Print_Area" localSheetId="96">'#74'!$B$1:$L$51</definedName>
    <definedName name="_xlnm.Print_Area" localSheetId="97">'#75'!$B$1:$L$43</definedName>
    <definedName name="_xlnm.Print_Area" localSheetId="170">'#76'!$B$1:$L$51</definedName>
    <definedName name="_xlnm.Print_Area" localSheetId="171">'#77'!$B$1:$L$47</definedName>
    <definedName name="_xlnm.Print_Area" localSheetId="79">'#78'!$B$1:$L$41</definedName>
    <definedName name="_xlnm.Print_Area" localSheetId="114">'#79'!$B$1:$L$50</definedName>
    <definedName name="_xlnm.Print_Area" localSheetId="57">'#80'!$B$1:$L$55</definedName>
    <definedName name="_xlnm.Print_Area" localSheetId="99">'#81'!$B$1:$L$45</definedName>
    <definedName name="_xlnm.Print_Area" localSheetId="48">'#84'!$B$1:$L$50</definedName>
    <definedName name="_xlnm.Print_Area" localSheetId="47">'#85'!$B$1:$L$46</definedName>
    <definedName name="_xlnm.Print_Area" localSheetId="39">'#86'!$B$1:$L$42</definedName>
    <definedName name="_xlnm.Print_Area" localSheetId="196">'#87'!$B$5:$L$47</definedName>
    <definedName name="_xlnm.Print_Area" localSheetId="45">'#88'!$B$1:$L$47</definedName>
    <definedName name="_xlnm.Print_Area" localSheetId="46">'#88 (2)'!$B$1:$L$44</definedName>
    <definedName name="_xlnm.Print_Area" localSheetId="86">'#89'!$B$1:$L$43</definedName>
    <definedName name="_xlnm.Print_Area" localSheetId="29">'#90'!$B$1:$L$48</definedName>
    <definedName name="_xlnm.Print_Area" localSheetId="102">'#91'!$B$1:$L$46</definedName>
    <definedName name="_xlnm.Print_Area" localSheetId="113">'#92'!$B$1:$L$52</definedName>
    <definedName name="_xlnm.Print_Area" localSheetId="93">'#93'!$B$1:$L$41</definedName>
    <definedName name="_xlnm.Print_Area" localSheetId="94">'#93 (2)'!$B$1:$L$42</definedName>
    <definedName name="_xlnm.Print_Area" localSheetId="27">'#94'!$B$1:$L$43</definedName>
    <definedName name="_xlnm.Print_Area" localSheetId="130">'#95'!$B$1:$L$44</definedName>
    <definedName name="_xlnm.Print_Area" localSheetId="177">'#96'!$B$1:$L$50</definedName>
    <definedName name="_xlnm.Print_Area" localSheetId="160">'#97'!$B$1:$L$51</definedName>
    <definedName name="_xlnm.Print_Area" localSheetId="182">'#99'!$B$1:$L$44</definedName>
    <definedName name="_xlnm.Print_Area" localSheetId="209">Ally!$B$1:$L$58</definedName>
    <definedName name="_xlnm.Print_Area" localSheetId="25">'BLK 248'!$A$2:$G$51</definedName>
    <definedName name="_xlnm.Print_Area" localSheetId="2">'Delivery Location'!$A$3:$P$89</definedName>
    <definedName name="_xlnm.Print_Area" localSheetId="23">FOODGLE!$A$6:$L$28</definedName>
    <definedName name="_xlnm.Print_Area" localSheetId="19">'NY LIST'!$A$2:$E$21</definedName>
    <definedName name="_xlnm.Print_Area" localSheetId="26">'ORDER LIST'!$B$2:$L$49</definedName>
    <definedName name="_xlnm.Print_Area" localSheetId="22">'order list new'!$B$2:$R$41</definedName>
    <definedName name="_xlnm.Print_Area" localSheetId="20">'Product Master'!$B$2:$R$45</definedName>
    <definedName name="_xlnm.Print_Area" localSheetId="1">'Sales Master'!$B$3:$DA$399</definedName>
    <definedName name="_xlnm.Print_Area" localSheetId="30">SAMPLE!$B$1:$L$44</definedName>
    <definedName name="_xlnm.Print_Area" localSheetId="208">sEFONG!$B$5:$L$47</definedName>
    <definedName name="_xlnm.Print_Area" localSheetId="184">STAFF!$B$7:$L$50</definedName>
    <definedName name="_xlnm.Print_Area" localSheetId="21">'Teck Wah'!$B$2:$F$32</definedName>
    <definedName name="_xlnm.Print_Area" localSheetId="24">'Yuan Yuan'!$A$2:$O$26</definedName>
    <definedName name="_xlnm.Print_Area" localSheetId="18">'好运 '!$B$2:$R$34</definedName>
    <definedName name="_xlnm.Print_Titles" localSheetId="1">'Sales Master'!$2:$2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26" i="88" l="1"/>
  <c r="D26" i="88" s="1"/>
  <c r="C31" i="88"/>
  <c r="D31" i="88" s="1"/>
  <c r="C30" i="88"/>
  <c r="D30" i="88" s="1"/>
  <c r="C29" i="88"/>
  <c r="D29" i="88" s="1"/>
  <c r="C28" i="88"/>
  <c r="D28" i="88" s="1"/>
  <c r="C27" i="88"/>
  <c r="D27" i="88" s="1"/>
  <c r="K23" i="99"/>
  <c r="C33" i="99"/>
  <c r="I33" i="99" s="1"/>
  <c r="C32" i="99"/>
  <c r="N32" i="99" s="1"/>
  <c r="C31" i="99"/>
  <c r="N31" i="99" s="1"/>
  <c r="M36" i="51"/>
  <c r="L36" i="51"/>
  <c r="N32" i="51"/>
  <c r="K32" i="51"/>
  <c r="O32" i="51" s="1"/>
  <c r="P32" i="51" s="1"/>
  <c r="I32" i="51"/>
  <c r="H32" i="51"/>
  <c r="N31" i="51"/>
  <c r="K31" i="51"/>
  <c r="O31" i="51" s="1"/>
  <c r="P31" i="51" s="1"/>
  <c r="I31" i="51"/>
  <c r="H31" i="51"/>
  <c r="O30" i="51"/>
  <c r="P30" i="51" s="1"/>
  <c r="N30" i="51"/>
  <c r="K30" i="51"/>
  <c r="L30" i="51" s="1"/>
  <c r="I30" i="51"/>
  <c r="H30" i="51"/>
  <c r="N29" i="51"/>
  <c r="K29" i="51"/>
  <c r="L29" i="51" s="1"/>
  <c r="I29" i="51"/>
  <c r="H29" i="51"/>
  <c r="O28" i="51"/>
  <c r="P28" i="51" s="1"/>
  <c r="N28" i="51"/>
  <c r="L28" i="51"/>
  <c r="K28" i="51"/>
  <c r="I28" i="51"/>
  <c r="H28" i="51"/>
  <c r="N27" i="51"/>
  <c r="K27" i="51"/>
  <c r="O27" i="51" s="1"/>
  <c r="P27" i="51" s="1"/>
  <c r="I27" i="51"/>
  <c r="H27" i="51"/>
  <c r="N26" i="51"/>
  <c r="O26" i="51" s="1"/>
  <c r="P26" i="51" s="1"/>
  <c r="L26" i="51"/>
  <c r="K26" i="51"/>
  <c r="I26" i="51"/>
  <c r="H26" i="51"/>
  <c r="N25" i="51"/>
  <c r="K25" i="51"/>
  <c r="L25" i="51" s="1"/>
  <c r="I25" i="51"/>
  <c r="H25" i="51"/>
  <c r="N24" i="51"/>
  <c r="K24" i="51"/>
  <c r="L24" i="51" s="1"/>
  <c r="I24" i="51"/>
  <c r="H24" i="51"/>
  <c r="D32" i="51"/>
  <c r="D31" i="51"/>
  <c r="D30" i="51"/>
  <c r="D29" i="51"/>
  <c r="D28" i="51"/>
  <c r="D27" i="51"/>
  <c r="D26" i="51"/>
  <c r="D25" i="51"/>
  <c r="D24" i="51"/>
  <c r="N19" i="281"/>
  <c r="K19" i="281"/>
  <c r="O19" i="281" s="1"/>
  <c r="P19" i="281" s="1"/>
  <c r="I19" i="281"/>
  <c r="H19" i="281"/>
  <c r="D19" i="281"/>
  <c r="N18" i="283"/>
  <c r="K18" i="283"/>
  <c r="O18" i="283" s="1"/>
  <c r="P18" i="283" s="1"/>
  <c r="M37" i="283" s="1"/>
  <c r="I18" i="283"/>
  <c r="H18" i="283"/>
  <c r="D18" i="283"/>
  <c r="F11" i="283"/>
  <c r="N18" i="282"/>
  <c r="K18" i="282"/>
  <c r="O18" i="282" s="1"/>
  <c r="P18" i="282" s="1"/>
  <c r="M37" i="282" s="1"/>
  <c r="I18" i="282"/>
  <c r="H18" i="282"/>
  <c r="D18" i="282"/>
  <c r="F11" i="282"/>
  <c r="N18" i="281"/>
  <c r="K18" i="281"/>
  <c r="I18" i="281"/>
  <c r="H18" i="281"/>
  <c r="D18" i="281"/>
  <c r="F11" i="281"/>
  <c r="N18" i="280"/>
  <c r="K18" i="280"/>
  <c r="O18" i="280" s="1"/>
  <c r="P18" i="280" s="1"/>
  <c r="M30" i="280" s="1"/>
  <c r="I18" i="280"/>
  <c r="H18" i="280"/>
  <c r="D18" i="280"/>
  <c r="F11" i="280"/>
  <c r="E10" i="155"/>
  <c r="E23" i="155"/>
  <c r="D23" i="155"/>
  <c r="C23" i="155"/>
  <c r="E7" i="155"/>
  <c r="D7" i="155"/>
  <c r="C7" i="155"/>
  <c r="E16" i="155"/>
  <c r="D16" i="155"/>
  <c r="C16" i="155"/>
  <c r="E19" i="155"/>
  <c r="D19" i="155"/>
  <c r="C19" i="155"/>
  <c r="E6" i="155"/>
  <c r="D6" i="155"/>
  <c r="C6" i="155"/>
  <c r="E27" i="152"/>
  <c r="D27" i="152"/>
  <c r="C27" i="152"/>
  <c r="E26" i="152"/>
  <c r="D26" i="152"/>
  <c r="C26" i="152"/>
  <c r="E20" i="152"/>
  <c r="D20" i="152"/>
  <c r="C20" i="152"/>
  <c r="E8" i="152"/>
  <c r="C8" i="152"/>
  <c r="N32" i="270"/>
  <c r="K32" i="270"/>
  <c r="I32" i="270"/>
  <c r="H32" i="270"/>
  <c r="N31" i="270"/>
  <c r="K31" i="270"/>
  <c r="I31" i="270"/>
  <c r="H31" i="270"/>
  <c r="N30" i="270"/>
  <c r="K30" i="270"/>
  <c r="L30" i="270" s="1"/>
  <c r="I30" i="270"/>
  <c r="H30" i="270"/>
  <c r="N29" i="270"/>
  <c r="K29" i="270"/>
  <c r="L29" i="270" s="1"/>
  <c r="I29" i="270"/>
  <c r="H29" i="270"/>
  <c r="N28" i="270"/>
  <c r="K28" i="270"/>
  <c r="L28" i="270" s="1"/>
  <c r="I28" i="270"/>
  <c r="H28" i="270"/>
  <c r="K27" i="270"/>
  <c r="L27" i="270" s="1"/>
  <c r="I27" i="270"/>
  <c r="H27" i="270"/>
  <c r="K26" i="270"/>
  <c r="I26" i="270"/>
  <c r="H26" i="270"/>
  <c r="K25" i="270"/>
  <c r="I25" i="270"/>
  <c r="H25" i="270"/>
  <c r="K24" i="270"/>
  <c r="I24" i="270"/>
  <c r="H24" i="270"/>
  <c r="D32" i="270"/>
  <c r="D31" i="270"/>
  <c r="D30" i="270"/>
  <c r="D29" i="270"/>
  <c r="D28" i="270"/>
  <c r="D27" i="270"/>
  <c r="D26" i="270"/>
  <c r="D25" i="270"/>
  <c r="D24" i="270"/>
  <c r="N26" i="83"/>
  <c r="K26" i="83"/>
  <c r="I26" i="83"/>
  <c r="H26" i="83"/>
  <c r="D26" i="83"/>
  <c r="N35" i="52"/>
  <c r="K35" i="52"/>
  <c r="I35" i="52"/>
  <c r="H35" i="52"/>
  <c r="N34" i="52"/>
  <c r="K34" i="52"/>
  <c r="I34" i="52"/>
  <c r="H34" i="52"/>
  <c r="K33" i="52"/>
  <c r="L33" i="52" s="1"/>
  <c r="I33" i="52"/>
  <c r="H33" i="52"/>
  <c r="K32" i="52"/>
  <c r="L32" i="52" s="1"/>
  <c r="I32" i="52"/>
  <c r="H32" i="52"/>
  <c r="N31" i="52"/>
  <c r="K31" i="52"/>
  <c r="I31" i="52"/>
  <c r="H31" i="52"/>
  <c r="K30" i="52"/>
  <c r="I30" i="52"/>
  <c r="H30" i="52"/>
  <c r="D35" i="52"/>
  <c r="D34" i="52"/>
  <c r="D33" i="52"/>
  <c r="D32" i="52"/>
  <c r="D31" i="52"/>
  <c r="D30" i="52"/>
  <c r="N29" i="136"/>
  <c r="I29" i="136"/>
  <c r="H29" i="136"/>
  <c r="D29" i="136"/>
  <c r="N26" i="43"/>
  <c r="K26" i="43"/>
  <c r="I26" i="43"/>
  <c r="H26" i="43"/>
  <c r="K25" i="43"/>
  <c r="L25" i="43" s="1"/>
  <c r="I25" i="43"/>
  <c r="H25" i="43"/>
  <c r="N24" i="43"/>
  <c r="K24" i="43"/>
  <c r="I24" i="43"/>
  <c r="H24" i="43"/>
  <c r="D26" i="43"/>
  <c r="D25" i="43"/>
  <c r="D24" i="43"/>
  <c r="I26" i="88" l="1"/>
  <c r="H26" i="88"/>
  <c r="K26" i="88"/>
  <c r="N26" i="88"/>
  <c r="N27" i="88"/>
  <c r="H27" i="88"/>
  <c r="I27" i="88"/>
  <c r="K27" i="88"/>
  <c r="O27" i="88" s="1"/>
  <c r="P27" i="88" s="1"/>
  <c r="H28" i="88"/>
  <c r="I28" i="88"/>
  <c r="K28" i="88"/>
  <c r="N28" i="88"/>
  <c r="K29" i="88"/>
  <c r="L29" i="88" s="1"/>
  <c r="N29" i="88"/>
  <c r="I29" i="88"/>
  <c r="H29" i="88"/>
  <c r="N30" i="88"/>
  <c r="H30" i="88"/>
  <c r="I30" i="88"/>
  <c r="K30" i="88"/>
  <c r="H31" i="88"/>
  <c r="I31" i="88"/>
  <c r="K31" i="88"/>
  <c r="N31" i="88"/>
  <c r="D33" i="99"/>
  <c r="H33" i="99"/>
  <c r="K33" i="99"/>
  <c r="N33" i="99"/>
  <c r="D32" i="99"/>
  <c r="H32" i="99"/>
  <c r="I32" i="99"/>
  <c r="K32" i="99"/>
  <c r="D31" i="99"/>
  <c r="H31" i="99"/>
  <c r="I31" i="99"/>
  <c r="K31" i="99"/>
  <c r="L27" i="51"/>
  <c r="O29" i="51"/>
  <c r="P29" i="51" s="1"/>
  <c r="L32" i="51"/>
  <c r="O25" i="51"/>
  <c r="P25" i="51" s="1"/>
  <c r="L31" i="51"/>
  <c r="O24" i="51"/>
  <c r="P24" i="51" s="1"/>
  <c r="L19" i="281"/>
  <c r="N37" i="283"/>
  <c r="L18" i="283"/>
  <c r="L37" i="283" s="1"/>
  <c r="L18" i="282"/>
  <c r="L37" i="282" s="1"/>
  <c r="N37" i="282" s="1"/>
  <c r="O18" i="281"/>
  <c r="P18" i="281" s="1"/>
  <c r="M32" i="281" s="1"/>
  <c r="L18" i="281"/>
  <c r="L18" i="280"/>
  <c r="L30" i="280" s="1"/>
  <c r="O28" i="270"/>
  <c r="P28" i="270" s="1"/>
  <c r="O24" i="43"/>
  <c r="P24" i="43" s="1"/>
  <c r="O26" i="43"/>
  <c r="P26" i="43" s="1"/>
  <c r="O29" i="270"/>
  <c r="P29" i="270" s="1"/>
  <c r="O26" i="83"/>
  <c r="P26" i="83" s="1"/>
  <c r="O31" i="270"/>
  <c r="P31" i="270" s="1"/>
  <c r="O31" i="52"/>
  <c r="P31" i="52" s="1"/>
  <c r="O35" i="52"/>
  <c r="P35" i="52" s="1"/>
  <c r="O32" i="270"/>
  <c r="P32" i="270" s="1"/>
  <c r="O34" i="52"/>
  <c r="P34" i="52" s="1"/>
  <c r="L32" i="270"/>
  <c r="O30" i="270"/>
  <c r="P30" i="270" s="1"/>
  <c r="L25" i="270"/>
  <c r="L24" i="270"/>
  <c r="L26" i="270"/>
  <c r="L31" i="270"/>
  <c r="L26" i="83"/>
  <c r="L34" i="52"/>
  <c r="L31" i="52"/>
  <c r="L30" i="52"/>
  <c r="L35" i="52"/>
  <c r="L24" i="43"/>
  <c r="L26" i="43"/>
  <c r="O31" i="88" l="1"/>
  <c r="P31" i="88" s="1"/>
  <c r="O26" i="88"/>
  <c r="P26" i="88" s="1"/>
  <c r="L26" i="88"/>
  <c r="L27" i="88"/>
  <c r="O28" i="88"/>
  <c r="P28" i="88" s="1"/>
  <c r="L28" i="88"/>
  <c r="O29" i="88"/>
  <c r="P29" i="88" s="1"/>
  <c r="O30" i="88"/>
  <c r="P30" i="88" s="1"/>
  <c r="L30" i="88"/>
  <c r="L31" i="88"/>
  <c r="O33" i="99"/>
  <c r="P33" i="99" s="1"/>
  <c r="L33" i="99"/>
  <c r="O32" i="99"/>
  <c r="P32" i="99" s="1"/>
  <c r="L32" i="99"/>
  <c r="O31" i="99"/>
  <c r="P31" i="99" s="1"/>
  <c r="L31" i="99"/>
  <c r="L32" i="281"/>
  <c r="L33" i="281" s="1"/>
  <c r="L34" i="281" s="1"/>
  <c r="L38" i="283"/>
  <c r="L39" i="283" s="1"/>
  <c r="L38" i="282"/>
  <c r="L39" i="282" s="1"/>
  <c r="L31" i="280"/>
  <c r="L32" i="280" s="1"/>
  <c r="N30" i="280"/>
  <c r="K35" i="72"/>
  <c r="I35" i="72"/>
  <c r="H35" i="72"/>
  <c r="D35" i="72"/>
  <c r="N34" i="72"/>
  <c r="K34" i="72"/>
  <c r="I34" i="72"/>
  <c r="H34" i="72"/>
  <c r="D34" i="72"/>
  <c r="I47" i="124"/>
  <c r="H47" i="124"/>
  <c r="D47" i="124"/>
  <c r="I46" i="124"/>
  <c r="H46" i="124"/>
  <c r="D46" i="124"/>
  <c r="K45" i="124"/>
  <c r="I45" i="124"/>
  <c r="H45" i="124"/>
  <c r="N44" i="124"/>
  <c r="K44" i="124"/>
  <c r="L44" i="124" s="1"/>
  <c r="I44" i="124"/>
  <c r="H44" i="124"/>
  <c r="K43" i="124"/>
  <c r="L43" i="124" s="1"/>
  <c r="I43" i="124"/>
  <c r="H43" i="124"/>
  <c r="N42" i="124"/>
  <c r="K42" i="124"/>
  <c r="I42" i="124"/>
  <c r="H42" i="124"/>
  <c r="N41" i="124"/>
  <c r="K41" i="124"/>
  <c r="I41" i="124"/>
  <c r="H41" i="124"/>
  <c r="K40" i="124"/>
  <c r="L40" i="124" s="1"/>
  <c r="I40" i="124"/>
  <c r="H40" i="124"/>
  <c r="N39" i="124"/>
  <c r="K39" i="124"/>
  <c r="I39" i="124"/>
  <c r="H39" i="124"/>
  <c r="N38" i="124"/>
  <c r="K38" i="124"/>
  <c r="L38" i="124" s="1"/>
  <c r="I38" i="124"/>
  <c r="H38" i="124"/>
  <c r="K37" i="124"/>
  <c r="I37" i="124"/>
  <c r="H37" i="124"/>
  <c r="N36" i="124"/>
  <c r="K36" i="124"/>
  <c r="L36" i="124" s="1"/>
  <c r="I36" i="124"/>
  <c r="H36" i="124"/>
  <c r="K35" i="124"/>
  <c r="L35" i="124" s="1"/>
  <c r="I35" i="124"/>
  <c r="H35" i="124"/>
  <c r="K34" i="124"/>
  <c r="L34" i="124" s="1"/>
  <c r="I34" i="124"/>
  <c r="H34" i="124"/>
  <c r="K33" i="124"/>
  <c r="I33" i="124"/>
  <c r="H33" i="124"/>
  <c r="N32" i="124"/>
  <c r="K32" i="124"/>
  <c r="L32" i="124" s="1"/>
  <c r="I32" i="124"/>
  <c r="H32" i="124"/>
  <c r="K31" i="124"/>
  <c r="I31" i="124"/>
  <c r="H31" i="124"/>
  <c r="K30" i="124"/>
  <c r="L30" i="124" s="1"/>
  <c r="I30" i="124"/>
  <c r="H30" i="124"/>
  <c r="K29" i="124"/>
  <c r="I29" i="124"/>
  <c r="H29" i="124"/>
  <c r="K28" i="124"/>
  <c r="I28" i="124"/>
  <c r="H28" i="124"/>
  <c r="N27" i="124"/>
  <c r="K27" i="124"/>
  <c r="L27" i="124" s="1"/>
  <c r="I27" i="124"/>
  <c r="H27" i="124"/>
  <c r="K26" i="124"/>
  <c r="L26" i="124" s="1"/>
  <c r="I26" i="124"/>
  <c r="H26" i="124"/>
  <c r="K25" i="124"/>
  <c r="I25" i="124"/>
  <c r="H25" i="124"/>
  <c r="K24" i="124"/>
  <c r="L24" i="124" s="1"/>
  <c r="I24" i="124"/>
  <c r="H24" i="124"/>
  <c r="N23" i="124"/>
  <c r="K23" i="124"/>
  <c r="I23" i="124"/>
  <c r="H23" i="124"/>
  <c r="N22" i="124"/>
  <c r="K22" i="124"/>
  <c r="L22" i="124" s="1"/>
  <c r="I22" i="124"/>
  <c r="H22" i="124"/>
  <c r="N21" i="124"/>
  <c r="K21" i="124"/>
  <c r="I21" i="124"/>
  <c r="H21" i="124"/>
  <c r="N20" i="124"/>
  <c r="K20" i="124"/>
  <c r="L20" i="124" s="1"/>
  <c r="I20" i="124"/>
  <c r="H20" i="124"/>
  <c r="N19" i="124"/>
  <c r="K19" i="124"/>
  <c r="L19" i="124" s="1"/>
  <c r="I19" i="124"/>
  <c r="H19" i="124"/>
  <c r="D30" i="124"/>
  <c r="D29" i="124"/>
  <c r="D28" i="124"/>
  <c r="D27" i="124"/>
  <c r="D26" i="124"/>
  <c r="D25" i="124"/>
  <c r="D24" i="124"/>
  <c r="D23" i="124"/>
  <c r="D22" i="124"/>
  <c r="D21" i="124"/>
  <c r="D20" i="124"/>
  <c r="D45" i="124"/>
  <c r="D44" i="124"/>
  <c r="D43" i="124"/>
  <c r="D42" i="124"/>
  <c r="D41" i="124"/>
  <c r="D40" i="124"/>
  <c r="D39" i="124"/>
  <c r="D38" i="124"/>
  <c r="D37" i="124"/>
  <c r="D36" i="124"/>
  <c r="D35" i="124"/>
  <c r="D34" i="124"/>
  <c r="D33" i="124"/>
  <c r="D32" i="124"/>
  <c r="D31" i="124"/>
  <c r="D19" i="124"/>
  <c r="K18" i="124"/>
  <c r="N18" i="124"/>
  <c r="I18" i="124"/>
  <c r="H18" i="124"/>
  <c r="D18" i="124"/>
  <c r="N32" i="281" l="1"/>
  <c r="L40" i="283"/>
  <c r="L41" i="283" s="1"/>
  <c r="L40" i="282"/>
  <c r="L41" i="282" s="1"/>
  <c r="L35" i="281"/>
  <c r="L36" i="281" s="1"/>
  <c r="L33" i="280"/>
  <c r="L34" i="280" s="1"/>
  <c r="O39" i="124"/>
  <c r="P39" i="124" s="1"/>
  <c r="O34" i="72"/>
  <c r="P34" i="72" s="1"/>
  <c r="O41" i="124"/>
  <c r="P41" i="124" s="1"/>
  <c r="O32" i="124"/>
  <c r="P32" i="124" s="1"/>
  <c r="O23" i="124"/>
  <c r="P23" i="124" s="1"/>
  <c r="L35" i="72"/>
  <c r="L34" i="72"/>
  <c r="O42" i="124"/>
  <c r="P42" i="124" s="1"/>
  <c r="O20" i="124"/>
  <c r="P20" i="124" s="1"/>
  <c r="L45" i="124"/>
  <c r="O44" i="124"/>
  <c r="P44" i="124" s="1"/>
  <c r="L42" i="124"/>
  <c r="O38" i="124"/>
  <c r="P38" i="124" s="1"/>
  <c r="O36" i="124"/>
  <c r="P36" i="124" s="1"/>
  <c r="L28" i="124"/>
  <c r="O22" i="124"/>
  <c r="P22" i="124" s="1"/>
  <c r="O21" i="124"/>
  <c r="P21" i="124" s="1"/>
  <c r="O19" i="124"/>
  <c r="P19" i="124" s="1"/>
  <c r="L25" i="124"/>
  <c r="O27" i="124"/>
  <c r="P27" i="124" s="1"/>
  <c r="L33" i="124"/>
  <c r="L41" i="124"/>
  <c r="L23" i="124"/>
  <c r="L31" i="124"/>
  <c r="L39" i="124"/>
  <c r="L21" i="124"/>
  <c r="L29" i="124"/>
  <c r="L37" i="124"/>
  <c r="O18" i="124"/>
  <c r="P18" i="124" s="1"/>
  <c r="L18" i="124"/>
  <c r="N19" i="249" l="1"/>
  <c r="K19" i="249"/>
  <c r="I19" i="249"/>
  <c r="H19" i="249"/>
  <c r="D19" i="249"/>
  <c r="N35" i="42"/>
  <c r="K35" i="42"/>
  <c r="I35" i="42"/>
  <c r="H35" i="42"/>
  <c r="K34" i="42"/>
  <c r="I34" i="42"/>
  <c r="H34" i="42"/>
  <c r="N33" i="42"/>
  <c r="K33" i="42"/>
  <c r="L33" i="42" s="1"/>
  <c r="I33" i="42"/>
  <c r="H33" i="42"/>
  <c r="N32" i="42"/>
  <c r="K32" i="42"/>
  <c r="L32" i="42" s="1"/>
  <c r="I32" i="42"/>
  <c r="H32" i="42"/>
  <c r="N31" i="42"/>
  <c r="K31" i="42"/>
  <c r="I31" i="42"/>
  <c r="H31" i="42"/>
  <c r="N30" i="42"/>
  <c r="K30" i="42"/>
  <c r="I30" i="42"/>
  <c r="H30" i="42"/>
  <c r="N29" i="42"/>
  <c r="K29" i="42"/>
  <c r="L29" i="42" s="1"/>
  <c r="I29" i="42"/>
  <c r="H29" i="42"/>
  <c r="N28" i="42"/>
  <c r="K28" i="42"/>
  <c r="I28" i="42"/>
  <c r="H28" i="42"/>
  <c r="K27" i="42"/>
  <c r="I27" i="42"/>
  <c r="H27" i="42"/>
  <c r="D35" i="42"/>
  <c r="D34" i="42"/>
  <c r="D33" i="42"/>
  <c r="D32" i="42"/>
  <c r="D31" i="42"/>
  <c r="D30" i="42"/>
  <c r="D29" i="42"/>
  <c r="D28" i="42"/>
  <c r="D27" i="42"/>
  <c r="DA166" i="7"/>
  <c r="N20" i="278" s="1"/>
  <c r="I193" i="7"/>
  <c r="K22" i="278" s="1"/>
  <c r="I171" i="7"/>
  <c r="K21" i="278" s="1"/>
  <c r="I166" i="7"/>
  <c r="K20" i="278" s="1"/>
  <c r="I149" i="7"/>
  <c r="K19" i="278" s="1"/>
  <c r="N22" i="278"/>
  <c r="I22" i="278"/>
  <c r="H22" i="278"/>
  <c r="D22" i="278"/>
  <c r="I21" i="278"/>
  <c r="H21" i="278"/>
  <c r="D21" i="278"/>
  <c r="I20" i="278"/>
  <c r="H20" i="278"/>
  <c r="D20" i="278"/>
  <c r="I19" i="278"/>
  <c r="H19" i="278"/>
  <c r="D19" i="278"/>
  <c r="N18" i="278"/>
  <c r="K18" i="278"/>
  <c r="I18" i="278"/>
  <c r="H18" i="278"/>
  <c r="D18" i="278"/>
  <c r="F11" i="278"/>
  <c r="O31" i="42" l="1"/>
  <c r="P31" i="42" s="1"/>
  <c r="O28" i="42"/>
  <c r="P28" i="42" s="1"/>
  <c r="O30" i="42"/>
  <c r="P30" i="42" s="1"/>
  <c r="O19" i="249"/>
  <c r="P19" i="249" s="1"/>
  <c r="O33" i="42"/>
  <c r="P33" i="42" s="1"/>
  <c r="O35" i="42"/>
  <c r="P35" i="42" s="1"/>
  <c r="O29" i="42"/>
  <c r="P29" i="42" s="1"/>
  <c r="L31" i="42"/>
  <c r="L34" i="42"/>
  <c r="L19" i="249"/>
  <c r="L30" i="42"/>
  <c r="O32" i="42"/>
  <c r="P32" i="42" s="1"/>
  <c r="L28" i="42"/>
  <c r="L27" i="42"/>
  <c r="L35" i="42"/>
  <c r="O22" i="278"/>
  <c r="P22" i="278" s="1"/>
  <c r="O18" i="278"/>
  <c r="P18" i="278" s="1"/>
  <c r="O20" i="278"/>
  <c r="P20" i="278" s="1"/>
  <c r="L22" i="278"/>
  <c r="L21" i="278"/>
  <c r="L20" i="278"/>
  <c r="L18" i="278"/>
  <c r="L19" i="278"/>
  <c r="L32" i="278" l="1"/>
  <c r="K18" i="277"/>
  <c r="L18" i="277" s="1"/>
  <c r="L37" i="277" s="1"/>
  <c r="I18" i="277"/>
  <c r="H18" i="277"/>
  <c r="D18" i="277"/>
  <c r="F11" i="277"/>
  <c r="N39" i="94"/>
  <c r="K39" i="94"/>
  <c r="I39" i="94"/>
  <c r="H39" i="94"/>
  <c r="K38" i="94"/>
  <c r="I38" i="94"/>
  <c r="H38" i="94"/>
  <c r="N37" i="94"/>
  <c r="K37" i="94"/>
  <c r="L37" i="94" s="1"/>
  <c r="I37" i="94"/>
  <c r="H37" i="94"/>
  <c r="N36" i="94"/>
  <c r="K36" i="94"/>
  <c r="L36" i="94" s="1"/>
  <c r="I36" i="94"/>
  <c r="H36" i="94"/>
  <c r="N35" i="94"/>
  <c r="K35" i="94"/>
  <c r="I35" i="94"/>
  <c r="H35" i="94"/>
  <c r="K34" i="94"/>
  <c r="I34" i="94"/>
  <c r="H34" i="94"/>
  <c r="N33" i="94"/>
  <c r="K33" i="94"/>
  <c r="L33" i="94" s="1"/>
  <c r="I33" i="94"/>
  <c r="H33" i="94"/>
  <c r="N32" i="94"/>
  <c r="K32" i="94"/>
  <c r="I32" i="94"/>
  <c r="H32" i="94"/>
  <c r="N31" i="94"/>
  <c r="K31" i="94"/>
  <c r="I31" i="94"/>
  <c r="H31" i="94"/>
  <c r="K30" i="94"/>
  <c r="I30" i="94"/>
  <c r="H30" i="94"/>
  <c r="D31" i="94"/>
  <c r="D39" i="94"/>
  <c r="D38" i="94"/>
  <c r="D37" i="94"/>
  <c r="D36" i="94"/>
  <c r="D35" i="94"/>
  <c r="D34" i="94"/>
  <c r="D33" i="94"/>
  <c r="D32" i="94"/>
  <c r="D30" i="94"/>
  <c r="N29" i="94"/>
  <c r="K29" i="94"/>
  <c r="I29" i="94"/>
  <c r="H29" i="94"/>
  <c r="D29" i="94"/>
  <c r="K28" i="94"/>
  <c r="I28" i="94"/>
  <c r="H28" i="94"/>
  <c r="D28" i="94"/>
  <c r="D20" i="67"/>
  <c r="D18" i="67"/>
  <c r="D19" i="67"/>
  <c r="K22" i="77"/>
  <c r="I22" i="77"/>
  <c r="H22" i="77"/>
  <c r="K21" i="77"/>
  <c r="I21" i="77"/>
  <c r="H21" i="77"/>
  <c r="D22" i="77"/>
  <c r="D21" i="77"/>
  <c r="C39" i="60"/>
  <c r="N39" i="60" s="1"/>
  <c r="C38" i="60"/>
  <c r="N38" i="60" s="1"/>
  <c r="C37" i="60"/>
  <c r="N37" i="60" s="1"/>
  <c r="C36" i="60"/>
  <c r="N36" i="60" s="1"/>
  <c r="C35" i="60"/>
  <c r="C34" i="60"/>
  <c r="N34" i="60" s="1"/>
  <c r="C33" i="60"/>
  <c r="N33" i="60" s="1"/>
  <c r="C32" i="60"/>
  <c r="C31" i="60"/>
  <c r="N31" i="60" s="1"/>
  <c r="C30" i="60"/>
  <c r="C29" i="60"/>
  <c r="D29" i="60" s="1"/>
  <c r="C28" i="60"/>
  <c r="N28" i="60" s="1"/>
  <c r="C27" i="60"/>
  <c r="D27" i="60" s="1"/>
  <c r="C26" i="60"/>
  <c r="K26" i="60" s="1"/>
  <c r="L26" i="60" s="1"/>
  <c r="N22" i="93"/>
  <c r="K22" i="93"/>
  <c r="I22" i="93"/>
  <c r="H22" i="93"/>
  <c r="D22" i="93"/>
  <c r="L33" i="278" l="1"/>
  <c r="L34" i="278" s="1"/>
  <c r="O32" i="94"/>
  <c r="P32" i="94" s="1"/>
  <c r="O29" i="94"/>
  <c r="P29" i="94" s="1"/>
  <c r="O35" i="94"/>
  <c r="P35" i="94" s="1"/>
  <c r="O31" i="94"/>
  <c r="P31" i="94" s="1"/>
  <c r="O39" i="94"/>
  <c r="P39" i="94" s="1"/>
  <c r="L38" i="277"/>
  <c r="L39" i="277" s="1"/>
  <c r="O22" i="93"/>
  <c r="P22" i="93" s="1"/>
  <c r="O33" i="94"/>
  <c r="P33" i="94" s="1"/>
  <c r="L38" i="94"/>
  <c r="O37" i="94"/>
  <c r="P37" i="94" s="1"/>
  <c r="L35" i="94"/>
  <c r="L32" i="94"/>
  <c r="L30" i="94"/>
  <c r="L34" i="94"/>
  <c r="O36" i="94"/>
  <c r="P36" i="94" s="1"/>
  <c r="L31" i="94"/>
  <c r="L39" i="94"/>
  <c r="L29" i="94"/>
  <c r="L28" i="94"/>
  <c r="L22" i="77"/>
  <c r="L21" i="77"/>
  <c r="N26" i="60"/>
  <c r="O26" i="60" s="1"/>
  <c r="P26" i="60" s="1"/>
  <c r="K29" i="60"/>
  <c r="L29" i="60" s="1"/>
  <c r="D36" i="60"/>
  <c r="H36" i="60"/>
  <c r="H26" i="60"/>
  <c r="K37" i="60"/>
  <c r="O37" i="60" s="1"/>
  <c r="P37" i="60" s="1"/>
  <c r="D30" i="60"/>
  <c r="D35" i="60"/>
  <c r="D28" i="60"/>
  <c r="H27" i="60"/>
  <c r="I28" i="60"/>
  <c r="H30" i="60"/>
  <c r="D34" i="60"/>
  <c r="H35" i="60"/>
  <c r="I36" i="60"/>
  <c r="D38" i="60"/>
  <c r="D26" i="60"/>
  <c r="I27" i="60"/>
  <c r="K28" i="60"/>
  <c r="O28" i="60" s="1"/>
  <c r="P28" i="60" s="1"/>
  <c r="I30" i="60"/>
  <c r="H34" i="60"/>
  <c r="I35" i="60"/>
  <c r="K36" i="60"/>
  <c r="O36" i="60" s="1"/>
  <c r="P36" i="60" s="1"/>
  <c r="H38" i="60"/>
  <c r="K27" i="60"/>
  <c r="I38" i="60"/>
  <c r="H28" i="60"/>
  <c r="I34" i="60"/>
  <c r="K35" i="60"/>
  <c r="I26" i="60"/>
  <c r="H29" i="60"/>
  <c r="D31" i="60"/>
  <c r="K34" i="60"/>
  <c r="L34" i="60" s="1"/>
  <c r="D37" i="60"/>
  <c r="N27" i="60"/>
  <c r="I29" i="60"/>
  <c r="H31" i="60"/>
  <c r="H37" i="60"/>
  <c r="D39" i="60"/>
  <c r="I37" i="60"/>
  <c r="H39" i="60"/>
  <c r="D32" i="60"/>
  <c r="K30" i="60"/>
  <c r="I31" i="60"/>
  <c r="H32" i="60"/>
  <c r="D33" i="60"/>
  <c r="K38" i="60"/>
  <c r="I39" i="60"/>
  <c r="K31" i="60"/>
  <c r="I32" i="60"/>
  <c r="H33" i="60"/>
  <c r="K39" i="60"/>
  <c r="K32" i="60"/>
  <c r="I33" i="60"/>
  <c r="K33" i="60"/>
  <c r="L22" i="93"/>
  <c r="L35" i="278" l="1"/>
  <c r="L36" i="278" s="1"/>
  <c r="L40" i="277"/>
  <c r="L41" i="277" s="1"/>
  <c r="L36" i="60"/>
  <c r="L37" i="60"/>
  <c r="O27" i="60"/>
  <c r="P27" i="60" s="1"/>
  <c r="L27" i="60"/>
  <c r="L28" i="60"/>
  <c r="L35" i="60"/>
  <c r="O34" i="60"/>
  <c r="P34" i="60" s="1"/>
  <c r="O31" i="60"/>
  <c r="P31" i="60" s="1"/>
  <c r="L31" i="60"/>
  <c r="L33" i="60"/>
  <c r="O33" i="60"/>
  <c r="P33" i="60" s="1"/>
  <c r="L30" i="60"/>
  <c r="O38" i="60"/>
  <c r="P38" i="60" s="1"/>
  <c r="L38" i="60"/>
  <c r="L32" i="60"/>
  <c r="O39" i="60"/>
  <c r="P39" i="60" s="1"/>
  <c r="L39" i="60"/>
  <c r="N22" i="81" l="1"/>
  <c r="K22" i="81"/>
  <c r="I22" i="81"/>
  <c r="H22" i="81"/>
  <c r="D22" i="81"/>
  <c r="K29" i="52"/>
  <c r="I29" i="52"/>
  <c r="H29" i="52"/>
  <c r="K28" i="52"/>
  <c r="I28" i="52"/>
  <c r="H28" i="52"/>
  <c r="D29" i="52"/>
  <c r="D28" i="52"/>
  <c r="C31" i="87"/>
  <c r="I31" i="87" s="1"/>
  <c r="N18" i="276"/>
  <c r="K18" i="276"/>
  <c r="I18" i="276"/>
  <c r="H18" i="276"/>
  <c r="D18" i="276"/>
  <c r="F11" i="276"/>
  <c r="N18" i="275"/>
  <c r="K18" i="275"/>
  <c r="I18" i="275"/>
  <c r="H18" i="275"/>
  <c r="D18" i="275"/>
  <c r="F11" i="275"/>
  <c r="O18" i="276" l="1"/>
  <c r="P18" i="276" s="1"/>
  <c r="M35" i="276" s="1"/>
  <c r="O22" i="81"/>
  <c r="P22" i="81" s="1"/>
  <c r="L22" i="81"/>
  <c r="L29" i="52"/>
  <c r="L28" i="52"/>
  <c r="D31" i="87"/>
  <c r="H31" i="87"/>
  <c r="K31" i="87"/>
  <c r="N31" i="87"/>
  <c r="L18" i="276"/>
  <c r="L35" i="276" s="1"/>
  <c r="O18" i="275"/>
  <c r="P18" i="275" s="1"/>
  <c r="L18" i="275"/>
  <c r="L37" i="275" s="1"/>
  <c r="N35" i="276" l="1"/>
  <c r="O31" i="87"/>
  <c r="P31" i="87" s="1"/>
  <c r="L31" i="87"/>
  <c r="L36" i="276"/>
  <c r="L37" i="276" s="1"/>
  <c r="L38" i="275"/>
  <c r="L39" i="275" s="1"/>
  <c r="L38" i="276" l="1"/>
  <c r="L39" i="276" s="1"/>
  <c r="L40" i="275"/>
  <c r="L41" i="275" s="1"/>
  <c r="N23" i="49" l="1"/>
  <c r="K23" i="49"/>
  <c r="I23" i="49"/>
  <c r="H23" i="49"/>
  <c r="D23" i="49"/>
  <c r="N22" i="49"/>
  <c r="K22" i="49"/>
  <c r="I22" i="49"/>
  <c r="H22" i="49"/>
  <c r="D22" i="49"/>
  <c r="K21" i="49"/>
  <c r="I21" i="49"/>
  <c r="H21" i="49"/>
  <c r="D21" i="49"/>
  <c r="N20" i="49"/>
  <c r="K20" i="49"/>
  <c r="I20" i="49"/>
  <c r="H20" i="49"/>
  <c r="D20" i="49"/>
  <c r="L31" i="44"/>
  <c r="I31" i="44"/>
  <c r="H31" i="44"/>
  <c r="D31" i="44"/>
  <c r="N31" i="96"/>
  <c r="K31" i="96"/>
  <c r="L31" i="96" s="1"/>
  <c r="I31" i="96"/>
  <c r="H31" i="96"/>
  <c r="N30" i="96"/>
  <c r="K30" i="96"/>
  <c r="I30" i="96"/>
  <c r="H30" i="96"/>
  <c r="K29" i="96"/>
  <c r="I29" i="96"/>
  <c r="H29" i="96"/>
  <c r="K28" i="96"/>
  <c r="I28" i="96"/>
  <c r="H28" i="96"/>
  <c r="K27" i="96"/>
  <c r="I27" i="96"/>
  <c r="H27" i="96"/>
  <c r="D31" i="96"/>
  <c r="D30" i="96"/>
  <c r="D29" i="96"/>
  <c r="D28" i="96"/>
  <c r="D27" i="96"/>
  <c r="O22" i="49" l="1"/>
  <c r="P22" i="49" s="1"/>
  <c r="O23" i="49"/>
  <c r="P23" i="49" s="1"/>
  <c r="O20" i="49"/>
  <c r="P20" i="49" s="1"/>
  <c r="L23" i="49"/>
  <c r="L22" i="49"/>
  <c r="L21" i="49"/>
  <c r="L20" i="49"/>
  <c r="O30" i="96"/>
  <c r="P30" i="96" s="1"/>
  <c r="L30" i="96"/>
  <c r="L28" i="96"/>
  <c r="L27" i="96"/>
  <c r="L29" i="96"/>
  <c r="O31" i="96"/>
  <c r="P31" i="96" s="1"/>
  <c r="K42" i="71" l="1"/>
  <c r="I42" i="71"/>
  <c r="H42" i="71"/>
  <c r="D42" i="71"/>
  <c r="N41" i="71"/>
  <c r="K41" i="71"/>
  <c r="I41" i="71"/>
  <c r="H41" i="71"/>
  <c r="D41" i="71"/>
  <c r="N40" i="71"/>
  <c r="K40" i="71"/>
  <c r="I40" i="71"/>
  <c r="H40" i="71"/>
  <c r="D40" i="71"/>
  <c r="K39" i="71"/>
  <c r="I39" i="71"/>
  <c r="H39" i="71"/>
  <c r="D39" i="71"/>
  <c r="K38" i="71"/>
  <c r="I38" i="71"/>
  <c r="H38" i="71"/>
  <c r="D38" i="71"/>
  <c r="N37" i="71"/>
  <c r="K37" i="71"/>
  <c r="I37" i="71"/>
  <c r="H37" i="71"/>
  <c r="D37" i="71"/>
  <c r="K24" i="101"/>
  <c r="I24" i="101"/>
  <c r="H24" i="101"/>
  <c r="D24" i="101"/>
  <c r="K21" i="101"/>
  <c r="H21" i="101"/>
  <c r="C20" i="60"/>
  <c r="C27" i="233"/>
  <c r="K19" i="274"/>
  <c r="I19" i="274"/>
  <c r="H19" i="274"/>
  <c r="D19" i="274"/>
  <c r="N18" i="274"/>
  <c r="K18" i="274"/>
  <c r="I18" i="274"/>
  <c r="H18" i="274"/>
  <c r="D18" i="274"/>
  <c r="F11" i="274"/>
  <c r="N18" i="273"/>
  <c r="K18" i="273"/>
  <c r="L18" i="273" s="1"/>
  <c r="I18" i="273"/>
  <c r="H18" i="273"/>
  <c r="D18" i="273"/>
  <c r="F11" i="273"/>
  <c r="O18" i="274" l="1"/>
  <c r="P18" i="274" s="1"/>
  <c r="O41" i="71"/>
  <c r="P41" i="71" s="1"/>
  <c r="O37" i="71"/>
  <c r="P37" i="71" s="1"/>
  <c r="O40" i="71"/>
  <c r="P40" i="71" s="1"/>
  <c r="L42" i="71"/>
  <c r="L41" i="71"/>
  <c r="L40" i="71"/>
  <c r="L39" i="71"/>
  <c r="L38" i="71"/>
  <c r="L37" i="71"/>
  <c r="L24" i="101"/>
  <c r="D27" i="233"/>
  <c r="H27" i="233"/>
  <c r="K27" i="233"/>
  <c r="I27" i="233"/>
  <c r="L37" i="273"/>
  <c r="L38" i="273" s="1"/>
  <c r="L39" i="273" s="1"/>
  <c r="L18" i="274"/>
  <c r="L19" i="274"/>
  <c r="O18" i="273"/>
  <c r="P18" i="273" s="1"/>
  <c r="L27" i="233" l="1"/>
  <c r="L37" i="274"/>
  <c r="L38" i="274" s="1"/>
  <c r="L39" i="274" s="1"/>
  <c r="L40" i="273"/>
  <c r="L41" i="273" s="1"/>
  <c r="L40" i="274" l="1"/>
  <c r="L41" i="274" s="1"/>
  <c r="N28" i="136" l="1"/>
  <c r="I28" i="136"/>
  <c r="H28" i="136"/>
  <c r="N27" i="136"/>
  <c r="I27" i="136"/>
  <c r="H27" i="136"/>
  <c r="N26" i="136"/>
  <c r="I26" i="136"/>
  <c r="H26" i="136"/>
  <c r="N25" i="136"/>
  <c r="I25" i="136"/>
  <c r="H25" i="136"/>
  <c r="D28" i="136"/>
  <c r="D27" i="136"/>
  <c r="D26" i="136"/>
  <c r="D25" i="136"/>
  <c r="K25" i="219"/>
  <c r="I25" i="219"/>
  <c r="H25" i="219"/>
  <c r="D25" i="219"/>
  <c r="L25" i="219" l="1"/>
  <c r="C24" i="88" l="1"/>
  <c r="D18" i="219"/>
  <c r="K23" i="270"/>
  <c r="I23" i="270"/>
  <c r="H23" i="270"/>
  <c r="K22" i="270"/>
  <c r="I22" i="270"/>
  <c r="H22" i="270"/>
  <c r="D23" i="270"/>
  <c r="D22" i="270"/>
  <c r="D24" i="88" l="1"/>
  <c r="H24" i="88"/>
  <c r="I24" i="88"/>
  <c r="K24" i="88"/>
  <c r="L23" i="270"/>
  <c r="L22" i="270"/>
  <c r="N19" i="84"/>
  <c r="K19" i="84"/>
  <c r="L19" i="84" s="1"/>
  <c r="I19" i="84"/>
  <c r="H19" i="84"/>
  <c r="D19" i="84"/>
  <c r="L24" i="88" l="1"/>
  <c r="O19" i="84"/>
  <c r="P19" i="84" s="1"/>
  <c r="D22" i="94" l="1"/>
  <c r="C30" i="61"/>
  <c r="N30" i="61" s="1"/>
  <c r="C29" i="61"/>
  <c r="N29" i="61" s="1"/>
  <c r="C28" i="61"/>
  <c r="I28" i="61" s="1"/>
  <c r="C27" i="61"/>
  <c r="C26" i="61"/>
  <c r="D26" i="61" s="1"/>
  <c r="K27" i="52"/>
  <c r="I27" i="52"/>
  <c r="H27" i="52"/>
  <c r="K26" i="52"/>
  <c r="I26" i="52"/>
  <c r="H26" i="52"/>
  <c r="K25" i="52"/>
  <c r="I25" i="52"/>
  <c r="H25" i="52"/>
  <c r="K24" i="52"/>
  <c r="I24" i="52"/>
  <c r="H24" i="52"/>
  <c r="K23" i="52"/>
  <c r="I23" i="52"/>
  <c r="H23" i="52"/>
  <c r="K22" i="52"/>
  <c r="I22" i="52"/>
  <c r="H22" i="52"/>
  <c r="K21" i="52"/>
  <c r="L21" i="52" s="1"/>
  <c r="I21" i="52"/>
  <c r="H21" i="52"/>
  <c r="K20" i="52"/>
  <c r="L20" i="52" s="1"/>
  <c r="I20" i="52"/>
  <c r="H20" i="52"/>
  <c r="K19" i="52"/>
  <c r="L19" i="52" s="1"/>
  <c r="I19" i="52"/>
  <c r="H19" i="52"/>
  <c r="D27" i="52"/>
  <c r="D26" i="52"/>
  <c r="D25" i="52"/>
  <c r="D24" i="52"/>
  <c r="D23" i="52"/>
  <c r="D22" i="52"/>
  <c r="D21" i="52"/>
  <c r="D20" i="52"/>
  <c r="D19" i="52"/>
  <c r="D27" i="61" l="1"/>
  <c r="N26" i="61"/>
  <c r="K28" i="61"/>
  <c r="H30" i="61"/>
  <c r="D28" i="61"/>
  <c r="N28" i="61"/>
  <c r="I30" i="61"/>
  <c r="D29" i="61"/>
  <c r="H27" i="61"/>
  <c r="K30" i="61"/>
  <c r="O30" i="61" s="1"/>
  <c r="P30" i="61" s="1"/>
  <c r="H26" i="61"/>
  <c r="I29" i="61"/>
  <c r="I26" i="61"/>
  <c r="K29" i="61"/>
  <c r="H28" i="61"/>
  <c r="D30" i="61"/>
  <c r="I27" i="61"/>
  <c r="H29" i="61"/>
  <c r="K27" i="61"/>
  <c r="L27" i="61" s="1"/>
  <c r="K26" i="61"/>
  <c r="L27" i="52"/>
  <c r="L25" i="52"/>
  <c r="L22" i="52"/>
  <c r="L26" i="52"/>
  <c r="L24" i="52"/>
  <c r="L23" i="52"/>
  <c r="C18" i="272"/>
  <c r="N18" i="272" s="1"/>
  <c r="F11" i="272"/>
  <c r="L30" i="61" l="1"/>
  <c r="O29" i="61"/>
  <c r="P29" i="61" s="1"/>
  <c r="L29" i="61"/>
  <c r="L26" i="61"/>
  <c r="O26" i="61"/>
  <c r="P26" i="61" s="1"/>
  <c r="L28" i="61"/>
  <c r="O28" i="61"/>
  <c r="P28" i="61" s="1"/>
  <c r="I18" i="272"/>
  <c r="H18" i="272"/>
  <c r="K18" i="272"/>
  <c r="D18" i="272"/>
  <c r="K26" i="96"/>
  <c r="I26" i="96"/>
  <c r="H26" i="96"/>
  <c r="D26" i="96"/>
  <c r="I29" i="78"/>
  <c r="H29" i="78"/>
  <c r="D29" i="78"/>
  <c r="I39" i="52"/>
  <c r="H39" i="52"/>
  <c r="D39" i="52"/>
  <c r="I39" i="72"/>
  <c r="H39" i="72"/>
  <c r="D39" i="72"/>
  <c r="K30" i="72"/>
  <c r="I30" i="72"/>
  <c r="H30" i="72"/>
  <c r="D30" i="72"/>
  <c r="N1048576" i="76"/>
  <c r="K1048576" i="76"/>
  <c r="I1048576" i="76"/>
  <c r="H1048576" i="76"/>
  <c r="N19" i="236"/>
  <c r="K19" i="236"/>
  <c r="I19" i="236"/>
  <c r="H19" i="236"/>
  <c r="D19" i="236"/>
  <c r="K23" i="43"/>
  <c r="L23" i="43" s="1"/>
  <c r="I23" i="43"/>
  <c r="H23" i="43"/>
  <c r="D23" i="43"/>
  <c r="K22" i="43"/>
  <c r="I22" i="43"/>
  <c r="H22" i="43"/>
  <c r="D22" i="43"/>
  <c r="N20" i="215"/>
  <c r="K20" i="215"/>
  <c r="I20" i="215"/>
  <c r="H20" i="215"/>
  <c r="D20" i="215"/>
  <c r="L18" i="272" l="1"/>
  <c r="L27" i="272" s="1"/>
  <c r="O18" i="272"/>
  <c r="P18" i="272" s="1"/>
  <c r="M27" i="272" s="1"/>
  <c r="L26" i="96"/>
  <c r="O19" i="236"/>
  <c r="P19" i="236" s="1"/>
  <c r="O1048576" i="76"/>
  <c r="P1048576" i="76" s="1"/>
  <c r="L30" i="72"/>
  <c r="L1048576" i="76"/>
  <c r="L19" i="236"/>
  <c r="O20" i="215"/>
  <c r="P20" i="215" s="1"/>
  <c r="L22" i="43"/>
  <c r="L20" i="215"/>
  <c r="N27" i="272" l="1"/>
  <c r="L28" i="272"/>
  <c r="L29" i="272" s="1"/>
  <c r="Q38" i="271"/>
  <c r="C18" i="271"/>
  <c r="F11" i="271"/>
  <c r="C20" i="68"/>
  <c r="N20" i="68" s="1"/>
  <c r="N19" i="65"/>
  <c r="K19" i="65"/>
  <c r="I19" i="65"/>
  <c r="H19" i="65"/>
  <c r="D19" i="65"/>
  <c r="C30" i="99"/>
  <c r="N30" i="99" s="1"/>
  <c r="C27" i="99"/>
  <c r="N27" i="99" s="1"/>
  <c r="L30" i="272" l="1"/>
  <c r="L31" i="272" s="1"/>
  <c r="D18" i="271"/>
  <c r="I18" i="271"/>
  <c r="K18" i="271"/>
  <c r="H18" i="271"/>
  <c r="O19" i="65"/>
  <c r="P19" i="65" s="1"/>
  <c r="D20" i="68"/>
  <c r="I20" i="68"/>
  <c r="K20" i="68"/>
  <c r="L19" i="65"/>
  <c r="I27" i="99"/>
  <c r="K30" i="99"/>
  <c r="L30" i="99" s="1"/>
  <c r="D27" i="99"/>
  <c r="H30" i="99"/>
  <c r="D30" i="99"/>
  <c r="H27" i="99"/>
  <c r="I30" i="99"/>
  <c r="K27" i="99"/>
  <c r="L18" i="271" l="1"/>
  <c r="O30" i="99"/>
  <c r="P30" i="99" s="1"/>
  <c r="O20" i="68"/>
  <c r="P20" i="68" s="1"/>
  <c r="L20" i="68"/>
  <c r="O27" i="99"/>
  <c r="P27" i="99" s="1"/>
  <c r="L27" i="99"/>
  <c r="L31" i="271" l="1"/>
  <c r="L33" i="271" l="1"/>
  <c r="L34" i="271" l="1"/>
  <c r="L35" i="271" s="1"/>
  <c r="I38" i="72" l="1"/>
  <c r="H38" i="72"/>
  <c r="D38" i="72"/>
  <c r="K21" i="270" l="1"/>
  <c r="I21" i="270"/>
  <c r="H21" i="270"/>
  <c r="K20" i="270"/>
  <c r="I20" i="270"/>
  <c r="H20" i="270"/>
  <c r="N19" i="270"/>
  <c r="K19" i="270"/>
  <c r="L19" i="270" s="1"/>
  <c r="I19" i="270"/>
  <c r="H19" i="270"/>
  <c r="N18" i="270"/>
  <c r="K18" i="270"/>
  <c r="L18" i="270" s="1"/>
  <c r="I18" i="270"/>
  <c r="H18" i="270"/>
  <c r="D21" i="270"/>
  <c r="D20" i="270"/>
  <c r="D19" i="270"/>
  <c r="D18" i="270"/>
  <c r="F11" i="270"/>
  <c r="K19" i="269"/>
  <c r="L19" i="269" s="1"/>
  <c r="I19" i="269"/>
  <c r="H19" i="269"/>
  <c r="D19" i="269"/>
  <c r="N18" i="269"/>
  <c r="K18" i="269"/>
  <c r="L18" i="269" s="1"/>
  <c r="I18" i="269"/>
  <c r="H18" i="269"/>
  <c r="D18" i="269"/>
  <c r="F11" i="269"/>
  <c r="K23" i="113"/>
  <c r="I23" i="113"/>
  <c r="H23" i="113"/>
  <c r="D23" i="113"/>
  <c r="N22" i="113"/>
  <c r="K22" i="113"/>
  <c r="I22" i="113"/>
  <c r="H22" i="113"/>
  <c r="D22" i="113"/>
  <c r="N21" i="113"/>
  <c r="K21" i="113"/>
  <c r="L21" i="113" s="1"/>
  <c r="I21" i="113"/>
  <c r="H21" i="113"/>
  <c r="D21" i="113"/>
  <c r="K19" i="239"/>
  <c r="I19" i="239"/>
  <c r="H19" i="239"/>
  <c r="D19" i="239"/>
  <c r="K18" i="268"/>
  <c r="F11" i="268"/>
  <c r="I18" i="268"/>
  <c r="H18" i="268"/>
  <c r="D18" i="268"/>
  <c r="I34" i="219"/>
  <c r="H34" i="219"/>
  <c r="D34" i="219"/>
  <c r="I33" i="219"/>
  <c r="H33" i="219"/>
  <c r="D33" i="219"/>
  <c r="O19" i="270" l="1"/>
  <c r="P19" i="270" s="1"/>
  <c r="O18" i="270"/>
  <c r="P18" i="270" s="1"/>
  <c r="L21" i="270"/>
  <c r="L20" i="270"/>
  <c r="O18" i="269"/>
  <c r="P18" i="269" s="1"/>
  <c r="L37" i="269"/>
  <c r="L38" i="269" s="1"/>
  <c r="L39" i="269" s="1"/>
  <c r="O21" i="113"/>
  <c r="P21" i="113" s="1"/>
  <c r="O22" i="113"/>
  <c r="P22" i="113" s="1"/>
  <c r="L23" i="113"/>
  <c r="L22" i="113"/>
  <c r="L19" i="239"/>
  <c r="L18" i="268"/>
  <c r="L37" i="270" l="1"/>
  <c r="L40" i="269"/>
  <c r="L41" i="269" s="1"/>
  <c r="L37" i="268"/>
  <c r="L38" i="268" s="1"/>
  <c r="L39" i="268" s="1"/>
  <c r="L38" i="270" l="1"/>
  <c r="L39" i="270" s="1"/>
  <c r="L40" i="268"/>
  <c r="L41" i="268" s="1"/>
  <c r="C22" i="189"/>
  <c r="D22" i="189" s="1"/>
  <c r="C21" i="189"/>
  <c r="D21" i="189" s="1"/>
  <c r="C30" i="87"/>
  <c r="D30" i="87" s="1"/>
  <c r="C29" i="87"/>
  <c r="D29" i="87" s="1"/>
  <c r="I28" i="135"/>
  <c r="H28" i="135"/>
  <c r="L40" i="270" l="1"/>
  <c r="L41" i="270" s="1"/>
  <c r="H22" i="189"/>
  <c r="I22" i="189"/>
  <c r="K22" i="189"/>
  <c r="N22" i="189"/>
  <c r="N21" i="189"/>
  <c r="H21" i="189"/>
  <c r="I21" i="189"/>
  <c r="K21" i="189"/>
  <c r="K30" i="87"/>
  <c r="L30" i="87" s="1"/>
  <c r="N30" i="87"/>
  <c r="H30" i="87"/>
  <c r="I30" i="87"/>
  <c r="K29" i="87"/>
  <c r="L29" i="87" s="1"/>
  <c r="H29" i="87"/>
  <c r="I29" i="87"/>
  <c r="K23" i="96"/>
  <c r="I23" i="96"/>
  <c r="H23" i="96"/>
  <c r="K22" i="96"/>
  <c r="I22" i="96"/>
  <c r="H22" i="96"/>
  <c r="K21" i="96"/>
  <c r="L21" i="96" s="1"/>
  <c r="I21" i="96"/>
  <c r="H21" i="96"/>
  <c r="D23" i="96"/>
  <c r="D22" i="96"/>
  <c r="D21" i="96"/>
  <c r="I30" i="75"/>
  <c r="H30" i="75"/>
  <c r="D30" i="75"/>
  <c r="C21" i="99"/>
  <c r="K21" i="99" s="1"/>
  <c r="C26" i="99"/>
  <c r="C25" i="99"/>
  <c r="H25" i="99" s="1"/>
  <c r="C29" i="99"/>
  <c r="H29" i="99" s="1"/>
  <c r="C28" i="99"/>
  <c r="I28" i="99" s="1"/>
  <c r="C24" i="99"/>
  <c r="D24" i="99" s="1"/>
  <c r="C23" i="99"/>
  <c r="H23" i="99" s="1"/>
  <c r="D21" i="83"/>
  <c r="C22" i="40"/>
  <c r="K21" i="81"/>
  <c r="I21" i="81"/>
  <c r="H21" i="81"/>
  <c r="N20" i="81"/>
  <c r="K20" i="81"/>
  <c r="I20" i="81"/>
  <c r="H20" i="81"/>
  <c r="D21" i="81"/>
  <c r="D20" i="81"/>
  <c r="D19" i="53"/>
  <c r="H19" i="53"/>
  <c r="I19" i="53"/>
  <c r="K19" i="53"/>
  <c r="L19" i="53" s="1"/>
  <c r="D20" i="53"/>
  <c r="H20" i="53"/>
  <c r="I20" i="53"/>
  <c r="K20" i="53"/>
  <c r="L20" i="53" s="1"/>
  <c r="D21" i="53"/>
  <c r="H21" i="53"/>
  <c r="I21" i="53"/>
  <c r="K21" i="53"/>
  <c r="L21" i="53" s="1"/>
  <c r="D22" i="53"/>
  <c r="H22" i="53"/>
  <c r="I22" i="53"/>
  <c r="K22" i="53"/>
  <c r="L22" i="53" s="1"/>
  <c r="O22" i="189" l="1"/>
  <c r="P22" i="189" s="1"/>
  <c r="L22" i="189"/>
  <c r="O21" i="189"/>
  <c r="P21" i="189" s="1"/>
  <c r="L21" i="189"/>
  <c r="I23" i="99"/>
  <c r="O30" i="87"/>
  <c r="P30" i="87" s="1"/>
  <c r="L22" i="96"/>
  <c r="L23" i="96"/>
  <c r="O20" i="81"/>
  <c r="P20" i="81" s="1"/>
  <c r="D21" i="99"/>
  <c r="H26" i="99"/>
  <c r="I26" i="99"/>
  <c r="D26" i="99"/>
  <c r="K26" i="99"/>
  <c r="I25" i="99"/>
  <c r="K25" i="99"/>
  <c r="L25" i="99" s="1"/>
  <c r="D25" i="99"/>
  <c r="N29" i="99"/>
  <c r="I29" i="99"/>
  <c r="K24" i="99"/>
  <c r="H24" i="99"/>
  <c r="I24" i="99"/>
  <c r="K28" i="99"/>
  <c r="L28" i="99" s="1"/>
  <c r="H28" i="99"/>
  <c r="H21" i="99"/>
  <c r="D28" i="99"/>
  <c r="I21" i="99"/>
  <c r="D29" i="99"/>
  <c r="K29" i="99"/>
  <c r="L29" i="99" s="1"/>
  <c r="L21" i="99"/>
  <c r="D22" i="40"/>
  <c r="H22" i="40"/>
  <c r="K22" i="40"/>
  <c r="I22" i="40"/>
  <c r="L21" i="81"/>
  <c r="L20" i="81"/>
  <c r="L26" i="99" l="1"/>
  <c r="O29" i="99"/>
  <c r="P29" i="99" s="1"/>
  <c r="L24" i="99"/>
  <c r="L22" i="40"/>
  <c r="C28" i="87" l="1"/>
  <c r="C27" i="87"/>
  <c r="C26" i="87"/>
  <c r="C25" i="87"/>
  <c r="H25" i="87" s="1"/>
  <c r="K20" i="77"/>
  <c r="I20" i="77"/>
  <c r="H20" i="77"/>
  <c r="D20" i="77"/>
  <c r="D26" i="87" l="1"/>
  <c r="H26" i="87"/>
  <c r="K26" i="87"/>
  <c r="L26" i="87" s="1"/>
  <c r="D27" i="87"/>
  <c r="H27" i="87"/>
  <c r="D28" i="87"/>
  <c r="I25" i="87"/>
  <c r="I27" i="87"/>
  <c r="K25" i="87"/>
  <c r="I26" i="87"/>
  <c r="H28" i="87"/>
  <c r="D25" i="87"/>
  <c r="K27" i="87"/>
  <c r="I28" i="87"/>
  <c r="K28" i="87"/>
  <c r="L20" i="77"/>
  <c r="L25" i="87" l="1"/>
  <c r="L28" i="87"/>
  <c r="L27" i="87"/>
  <c r="K24" i="94"/>
  <c r="L24" i="94" s="1"/>
  <c r="I24" i="94"/>
  <c r="H24" i="94"/>
  <c r="D24" i="94"/>
  <c r="I26" i="93" l="1"/>
  <c r="H26" i="93"/>
  <c r="D26" i="93"/>
  <c r="N36" i="71"/>
  <c r="K36" i="71"/>
  <c r="I36" i="71"/>
  <c r="H36" i="71"/>
  <c r="K35" i="71"/>
  <c r="L35" i="71" s="1"/>
  <c r="I35" i="71"/>
  <c r="H35" i="71"/>
  <c r="K34" i="71"/>
  <c r="L34" i="71" s="1"/>
  <c r="I34" i="71"/>
  <c r="H34" i="71"/>
  <c r="K33" i="71"/>
  <c r="L33" i="71" s="1"/>
  <c r="I33" i="71"/>
  <c r="H33" i="71"/>
  <c r="K32" i="71"/>
  <c r="I32" i="71"/>
  <c r="H32" i="71"/>
  <c r="K31" i="71"/>
  <c r="L31" i="71" s="1"/>
  <c r="I31" i="71"/>
  <c r="H31" i="71"/>
  <c r="K30" i="71"/>
  <c r="L30" i="71" s="1"/>
  <c r="I30" i="71"/>
  <c r="H30" i="71"/>
  <c r="K29" i="71"/>
  <c r="L29" i="71" s="1"/>
  <c r="I29" i="71"/>
  <c r="H29" i="71"/>
  <c r="K28" i="71"/>
  <c r="L28" i="71" s="1"/>
  <c r="I28" i="71"/>
  <c r="H28" i="71"/>
  <c r="D36" i="71"/>
  <c r="D35" i="71"/>
  <c r="D34" i="71"/>
  <c r="D33" i="71"/>
  <c r="D32" i="71"/>
  <c r="D31" i="71"/>
  <c r="D30" i="71"/>
  <c r="D29" i="71"/>
  <c r="D28" i="71"/>
  <c r="K20" i="69"/>
  <c r="I20" i="69"/>
  <c r="H20" i="69"/>
  <c r="D20" i="69"/>
  <c r="N19" i="217"/>
  <c r="D20" i="60" l="1"/>
  <c r="H20" i="60"/>
  <c r="K20" i="60"/>
  <c r="I20" i="60"/>
  <c r="O36" i="71"/>
  <c r="P36" i="71" s="1"/>
  <c r="L36" i="71"/>
  <c r="L32" i="71"/>
  <c r="L20" i="69"/>
  <c r="L20" i="60" l="1"/>
  <c r="N28" i="139" l="1"/>
  <c r="K28" i="139"/>
  <c r="I28" i="139"/>
  <c r="H28" i="139"/>
  <c r="D28" i="139"/>
  <c r="N27" i="139"/>
  <c r="K27" i="139"/>
  <c r="I27" i="139"/>
  <c r="H27" i="139"/>
  <c r="D27" i="139"/>
  <c r="I26" i="139"/>
  <c r="H26" i="139"/>
  <c r="D26" i="139"/>
  <c r="K33" i="72"/>
  <c r="I33" i="72"/>
  <c r="H33" i="72"/>
  <c r="K32" i="72"/>
  <c r="I32" i="72"/>
  <c r="H32" i="72"/>
  <c r="K31" i="72"/>
  <c r="I31" i="72"/>
  <c r="H31" i="72"/>
  <c r="D33" i="72"/>
  <c r="D32" i="72"/>
  <c r="D31" i="72"/>
  <c r="O27" i="139" l="1"/>
  <c r="P27" i="139" s="1"/>
  <c r="O28" i="139"/>
  <c r="P28" i="139" s="1"/>
  <c r="L28" i="139"/>
  <c r="L27" i="139"/>
  <c r="L31" i="72"/>
  <c r="L33" i="72"/>
  <c r="L32" i="72"/>
  <c r="C24" i="60" l="1"/>
  <c r="D24" i="60" s="1"/>
  <c r="C23" i="60"/>
  <c r="D23" i="60" s="1"/>
  <c r="C22" i="60"/>
  <c r="D22" i="60" s="1"/>
  <c r="C21" i="60"/>
  <c r="D21" i="60" s="1"/>
  <c r="C25" i="60"/>
  <c r="D25" i="60" s="1"/>
  <c r="K29" i="75"/>
  <c r="I29" i="75"/>
  <c r="H29" i="75"/>
  <c r="D29" i="75"/>
  <c r="D19" i="76"/>
  <c r="N29" i="219"/>
  <c r="K29" i="219"/>
  <c r="I29" i="219"/>
  <c r="H29" i="219"/>
  <c r="K28" i="219"/>
  <c r="L28" i="219" s="1"/>
  <c r="I28" i="219"/>
  <c r="H28" i="219"/>
  <c r="K27" i="219"/>
  <c r="L27" i="219" s="1"/>
  <c r="I27" i="219"/>
  <c r="H27" i="219"/>
  <c r="K26" i="219"/>
  <c r="I26" i="219"/>
  <c r="H26" i="219"/>
  <c r="K24" i="219"/>
  <c r="I24" i="219"/>
  <c r="H24" i="219"/>
  <c r="K23" i="219"/>
  <c r="L23" i="219" s="1"/>
  <c r="I23" i="219"/>
  <c r="H23" i="219"/>
  <c r="K22" i="219"/>
  <c r="I22" i="219"/>
  <c r="H22" i="219"/>
  <c r="K21" i="219"/>
  <c r="I21" i="219"/>
  <c r="H21" i="219"/>
  <c r="N20" i="219"/>
  <c r="K20" i="219"/>
  <c r="I20" i="219"/>
  <c r="H20" i="219"/>
  <c r="N19" i="219"/>
  <c r="K19" i="219"/>
  <c r="L19" i="219" s="1"/>
  <c r="I19" i="219"/>
  <c r="H19" i="219"/>
  <c r="D29" i="219"/>
  <c r="D28" i="219"/>
  <c r="D27" i="219"/>
  <c r="D26" i="219"/>
  <c r="D24" i="219"/>
  <c r="D23" i="219"/>
  <c r="D22" i="219"/>
  <c r="D21" i="219"/>
  <c r="D20" i="219"/>
  <c r="D19" i="219"/>
  <c r="K25" i="83"/>
  <c r="L25" i="83" s="1"/>
  <c r="I25" i="83"/>
  <c r="H25" i="83"/>
  <c r="I24" i="83"/>
  <c r="H24" i="83"/>
  <c r="K23" i="83"/>
  <c r="L23" i="83" s="1"/>
  <c r="I23" i="83"/>
  <c r="H23" i="83"/>
  <c r="K22" i="83"/>
  <c r="L22" i="83" s="1"/>
  <c r="I22" i="83"/>
  <c r="H22" i="83"/>
  <c r="K21" i="83"/>
  <c r="L21" i="83" s="1"/>
  <c r="I21" i="83"/>
  <c r="H21" i="83"/>
  <c r="K20" i="83"/>
  <c r="L20" i="83" s="1"/>
  <c r="I20" i="83"/>
  <c r="H20" i="83"/>
  <c r="D25" i="83"/>
  <c r="D24" i="83"/>
  <c r="D23" i="83"/>
  <c r="D22" i="83"/>
  <c r="D20" i="83"/>
  <c r="K20" i="67"/>
  <c r="I20" i="67"/>
  <c r="H20" i="67"/>
  <c r="C24" i="87"/>
  <c r="K26" i="42"/>
  <c r="I26" i="42"/>
  <c r="H26" i="42"/>
  <c r="D26" i="42"/>
  <c r="N23" i="51"/>
  <c r="K23" i="51"/>
  <c r="I23" i="51"/>
  <c r="H23" i="51"/>
  <c r="D23" i="51"/>
  <c r="K22" i="51"/>
  <c r="L22" i="51" s="1"/>
  <c r="I22" i="51"/>
  <c r="H22" i="51"/>
  <c r="N20" i="70"/>
  <c r="K20" i="70"/>
  <c r="I20" i="70"/>
  <c r="H20" i="70"/>
  <c r="D20" i="70"/>
  <c r="N19" i="70"/>
  <c r="K19" i="70"/>
  <c r="I19" i="70"/>
  <c r="H19" i="70"/>
  <c r="D19" i="70"/>
  <c r="O19" i="70" l="1"/>
  <c r="P19" i="70" s="1"/>
  <c r="O29" i="219"/>
  <c r="P29" i="219" s="1"/>
  <c r="I24" i="60"/>
  <c r="K24" i="60"/>
  <c r="H24" i="60"/>
  <c r="H23" i="60"/>
  <c r="I23" i="60"/>
  <c r="K23" i="60"/>
  <c r="H22" i="60"/>
  <c r="I22" i="60"/>
  <c r="K22" i="60"/>
  <c r="H21" i="60"/>
  <c r="I21" i="60"/>
  <c r="K21" i="60"/>
  <c r="L21" i="60" s="1"/>
  <c r="K25" i="60"/>
  <c r="I25" i="60"/>
  <c r="H25" i="60"/>
  <c r="L29" i="75"/>
  <c r="O23" i="51"/>
  <c r="P23" i="51" s="1"/>
  <c r="O20" i="70"/>
  <c r="P20" i="70" s="1"/>
  <c r="L29" i="219"/>
  <c r="L26" i="219"/>
  <c r="O20" i="219"/>
  <c r="P20" i="219" s="1"/>
  <c r="L20" i="219"/>
  <c r="L22" i="219"/>
  <c r="O19" i="219"/>
  <c r="P19" i="219" s="1"/>
  <c r="L24" i="219"/>
  <c r="L21" i="219"/>
  <c r="L20" i="67"/>
  <c r="D24" i="87"/>
  <c r="H24" i="87"/>
  <c r="I24" i="87"/>
  <c r="K24" i="87"/>
  <c r="L26" i="42"/>
  <c r="L23" i="51"/>
  <c r="L20" i="70"/>
  <c r="L19" i="70"/>
  <c r="L24" i="60" l="1"/>
  <c r="L23" i="60"/>
  <c r="L22" i="60"/>
  <c r="L25" i="60"/>
  <c r="L24" i="87"/>
  <c r="D25" i="96"/>
  <c r="K25" i="96"/>
  <c r="I25" i="96"/>
  <c r="H25" i="96"/>
  <c r="K24" i="96"/>
  <c r="L24" i="96" s="1"/>
  <c r="I24" i="96"/>
  <c r="H24" i="96"/>
  <c r="D24" i="96"/>
  <c r="L25" i="96" l="1"/>
  <c r="K18" i="232" l="1"/>
  <c r="I18" i="232"/>
  <c r="H18" i="232"/>
  <c r="D18" i="232"/>
  <c r="L18" i="232" l="1"/>
  <c r="DA206" i="7" l="1"/>
  <c r="K20" i="145"/>
  <c r="I20" i="145"/>
  <c r="H20" i="145"/>
  <c r="D20" i="145"/>
  <c r="K19" i="145"/>
  <c r="I19" i="145"/>
  <c r="H19" i="145"/>
  <c r="D19" i="145"/>
  <c r="K18" i="263"/>
  <c r="Q40" i="263"/>
  <c r="D18" i="263"/>
  <c r="F11" i="263"/>
  <c r="N19" i="239" l="1"/>
  <c r="O19" i="239" s="1"/>
  <c r="P19" i="239" s="1"/>
  <c r="L20" i="145"/>
  <c r="L19" i="145"/>
  <c r="I18" i="263"/>
  <c r="N18" i="263"/>
  <c r="H18" i="263"/>
  <c r="O18" i="263" l="1"/>
  <c r="P18" i="263" s="1"/>
  <c r="L18" i="263"/>
  <c r="L35" i="263" s="1"/>
  <c r="N35" i="263" l="1"/>
  <c r="L36" i="263"/>
  <c r="L37" i="263" s="1"/>
  <c r="L38" i="263" l="1"/>
  <c r="L39" i="263" s="1"/>
  <c r="K23" i="78" l="1"/>
  <c r="I23" i="78"/>
  <c r="H23" i="78"/>
  <c r="D23" i="78"/>
  <c r="L23" i="78" l="1"/>
  <c r="I35" i="101" l="1"/>
  <c r="H35" i="101"/>
  <c r="D35" i="101"/>
  <c r="N23" i="101"/>
  <c r="K23" i="101"/>
  <c r="I23" i="101"/>
  <c r="H23" i="101"/>
  <c r="D23" i="101"/>
  <c r="O23" i="101" l="1"/>
  <c r="P23" i="101" s="1"/>
  <c r="L23" i="101"/>
  <c r="I26" i="262" l="1"/>
  <c r="H26" i="262"/>
  <c r="D26" i="262"/>
  <c r="N18" i="262"/>
  <c r="K18" i="262"/>
  <c r="L18" i="262" s="1"/>
  <c r="I18" i="262"/>
  <c r="H18" i="262"/>
  <c r="D18" i="262"/>
  <c r="F11" i="262"/>
  <c r="D19" i="102"/>
  <c r="H19" i="102"/>
  <c r="I19" i="102"/>
  <c r="K19" i="102"/>
  <c r="L19" i="102" s="1"/>
  <c r="K27" i="94"/>
  <c r="I27" i="94"/>
  <c r="H27" i="94"/>
  <c r="K26" i="94"/>
  <c r="I26" i="94"/>
  <c r="H26" i="94"/>
  <c r="K25" i="94"/>
  <c r="L25" i="94" s="1"/>
  <c r="I25" i="94"/>
  <c r="H25" i="94"/>
  <c r="K23" i="94"/>
  <c r="L23" i="94" s="1"/>
  <c r="I23" i="94"/>
  <c r="H23" i="94"/>
  <c r="K22" i="94"/>
  <c r="I22" i="94"/>
  <c r="H22" i="94"/>
  <c r="K21" i="94"/>
  <c r="I21" i="94"/>
  <c r="H21" i="94"/>
  <c r="K20" i="94"/>
  <c r="L20" i="94" s="1"/>
  <c r="I20" i="94"/>
  <c r="H20" i="94"/>
  <c r="N19" i="94"/>
  <c r="K19" i="94"/>
  <c r="I19" i="94"/>
  <c r="H19" i="94"/>
  <c r="D27" i="94"/>
  <c r="D26" i="94"/>
  <c r="D25" i="94"/>
  <c r="D23" i="94"/>
  <c r="D21" i="94"/>
  <c r="D20" i="94"/>
  <c r="D19" i="94"/>
  <c r="K19" i="49"/>
  <c r="L19" i="49" s="1"/>
  <c r="I19" i="49"/>
  <c r="H19" i="49"/>
  <c r="D19" i="49"/>
  <c r="L30" i="262" l="1"/>
  <c r="O18" i="262"/>
  <c r="P18" i="262" s="1"/>
  <c r="M30" i="262" s="1"/>
  <c r="O19" i="94"/>
  <c r="P19" i="94" s="1"/>
  <c r="L26" i="94"/>
  <c r="L22" i="94"/>
  <c r="L19" i="94"/>
  <c r="L21" i="94"/>
  <c r="L27" i="94"/>
  <c r="L31" i="262" l="1"/>
  <c r="L32" i="262" s="1"/>
  <c r="N30" i="262"/>
  <c r="DA146" i="7"/>
  <c r="E22" i="155"/>
  <c r="C22" i="155"/>
  <c r="L33" i="262" l="1"/>
  <c r="L34" i="262" s="1"/>
  <c r="D19" i="44" l="1"/>
  <c r="H19" i="44"/>
  <c r="I19" i="44"/>
  <c r="K19" i="44"/>
  <c r="L19" i="44" s="1"/>
  <c r="D20" i="44"/>
  <c r="H20" i="44"/>
  <c r="I20" i="44"/>
  <c r="D21" i="44"/>
  <c r="H21" i="44"/>
  <c r="I21" i="44"/>
  <c r="K21" i="44"/>
  <c r="L21" i="44" s="1"/>
  <c r="D22" i="44"/>
  <c r="H22" i="44"/>
  <c r="I22" i="44"/>
  <c r="K22" i="44"/>
  <c r="L22" i="44" s="1"/>
  <c r="D23" i="44"/>
  <c r="H23" i="44"/>
  <c r="I23" i="44"/>
  <c r="K23" i="44"/>
  <c r="L23" i="44" s="1"/>
  <c r="D24" i="44"/>
  <c r="H24" i="44"/>
  <c r="I24" i="44"/>
  <c r="K24" i="44"/>
  <c r="L24" i="44" s="1"/>
  <c r="D25" i="44"/>
  <c r="H25" i="44"/>
  <c r="I25" i="44"/>
  <c r="K25" i="44"/>
  <c r="L25" i="44" s="1"/>
  <c r="D26" i="44"/>
  <c r="H26" i="44"/>
  <c r="I26" i="44"/>
  <c r="K26" i="44"/>
  <c r="L26" i="44" s="1"/>
  <c r="D27" i="44"/>
  <c r="H27" i="44"/>
  <c r="I27" i="44"/>
  <c r="K27" i="44"/>
  <c r="L27" i="44" s="1"/>
  <c r="D28" i="44"/>
  <c r="H28" i="44"/>
  <c r="I28" i="44"/>
  <c r="K28" i="44"/>
  <c r="L28" i="44" s="1"/>
  <c r="D29" i="44"/>
  <c r="H29" i="44"/>
  <c r="I29" i="44"/>
  <c r="K29" i="44"/>
  <c r="L29" i="44" s="1"/>
  <c r="D30" i="44"/>
  <c r="H30" i="44"/>
  <c r="I30" i="44"/>
  <c r="L30" i="44"/>
  <c r="E31" i="155"/>
  <c r="D31" i="155"/>
  <c r="C31" i="155"/>
  <c r="E27" i="155"/>
  <c r="D27" i="155"/>
  <c r="C27" i="155"/>
  <c r="E12" i="155"/>
  <c r="D12" i="155"/>
  <c r="C12" i="155"/>
  <c r="E23" i="154"/>
  <c r="D23" i="154"/>
  <c r="C23" i="154"/>
  <c r="E22" i="154"/>
  <c r="D22" i="154"/>
  <c r="C22" i="154"/>
  <c r="E21" i="154"/>
  <c r="D21" i="154"/>
  <c r="C21" i="154"/>
  <c r="E20" i="154"/>
  <c r="D20" i="154"/>
  <c r="C20" i="154"/>
  <c r="E19" i="154"/>
  <c r="D19" i="154"/>
  <c r="C19" i="154"/>
  <c r="E18" i="154"/>
  <c r="D18" i="154"/>
  <c r="C18" i="154"/>
  <c r="E17" i="154"/>
  <c r="D17" i="154"/>
  <c r="C17" i="154"/>
  <c r="E16" i="154"/>
  <c r="D16" i="154"/>
  <c r="C16" i="154"/>
  <c r="E15" i="154"/>
  <c r="D15" i="154"/>
  <c r="C15" i="154"/>
  <c r="E14" i="154"/>
  <c r="D14" i="154"/>
  <c r="C14" i="154"/>
  <c r="E13" i="154"/>
  <c r="C13" i="154"/>
  <c r="E12" i="154"/>
  <c r="D12" i="154"/>
  <c r="C12" i="154"/>
  <c r="E11" i="154"/>
  <c r="D11" i="154"/>
  <c r="C11" i="154"/>
  <c r="E10" i="154"/>
  <c r="D10" i="154"/>
  <c r="C10" i="154"/>
  <c r="E9" i="154"/>
  <c r="D9" i="154"/>
  <c r="C9" i="154"/>
  <c r="E8" i="154"/>
  <c r="D8" i="154"/>
  <c r="C8" i="154"/>
  <c r="E7" i="154"/>
  <c r="D7" i="154"/>
  <c r="C7" i="154"/>
  <c r="E6" i="154"/>
  <c r="D6" i="154"/>
  <c r="C6" i="154"/>
  <c r="E5" i="154"/>
  <c r="D5" i="154"/>
  <c r="C5" i="154"/>
  <c r="E21" i="152"/>
  <c r="D21" i="152"/>
  <c r="C21" i="152"/>
  <c r="E6" i="152"/>
  <c r="D6" i="152"/>
  <c r="C6" i="152"/>
  <c r="E9" i="152"/>
  <c r="D9" i="152"/>
  <c r="C9" i="152"/>
  <c r="E14" i="152"/>
  <c r="C14" i="152"/>
  <c r="E13" i="152"/>
  <c r="D13" i="152"/>
  <c r="C13" i="152"/>
  <c r="E7" i="152"/>
  <c r="D7" i="152"/>
  <c r="C7" i="152"/>
  <c r="O15" i="249"/>
  <c r="D18" i="44"/>
  <c r="D20" i="96" l="1"/>
  <c r="D19" i="96"/>
  <c r="K20" i="96"/>
  <c r="I20" i="96"/>
  <c r="H20" i="96"/>
  <c r="K19" i="96"/>
  <c r="I19" i="96"/>
  <c r="H19" i="96"/>
  <c r="I26" i="70"/>
  <c r="H26" i="70"/>
  <c r="D26" i="70"/>
  <c r="C23" i="87"/>
  <c r="D23" i="87" s="1"/>
  <c r="C22" i="87"/>
  <c r="D22" i="87" s="1"/>
  <c r="C21" i="87"/>
  <c r="D21" i="87" s="1"/>
  <c r="C20" i="87"/>
  <c r="D20" i="87" s="1"/>
  <c r="C19" i="87"/>
  <c r="D19" i="87" s="1"/>
  <c r="C18" i="87"/>
  <c r="D18" i="87" s="1"/>
  <c r="K25" i="42"/>
  <c r="I25" i="42"/>
  <c r="H25" i="42"/>
  <c r="D25" i="42"/>
  <c r="C20" i="88"/>
  <c r="K20" i="88" s="1"/>
  <c r="C25" i="88"/>
  <c r="N25" i="88" s="1"/>
  <c r="C23" i="88"/>
  <c r="D23" i="88" s="1"/>
  <c r="C22" i="88"/>
  <c r="D22" i="88" s="1"/>
  <c r="C21" i="88"/>
  <c r="C19" i="88"/>
  <c r="K19" i="88" s="1"/>
  <c r="C18" i="88"/>
  <c r="D18" i="88" s="1"/>
  <c r="D22" i="51"/>
  <c r="L20" i="96" l="1"/>
  <c r="L19" i="96"/>
  <c r="H23" i="87"/>
  <c r="I23" i="87"/>
  <c r="K23" i="87"/>
  <c r="K22" i="87"/>
  <c r="H22" i="87"/>
  <c r="I22" i="87"/>
  <c r="H21" i="87"/>
  <c r="I21" i="87"/>
  <c r="K21" i="87"/>
  <c r="L21" i="87" s="1"/>
  <c r="I20" i="87"/>
  <c r="K20" i="87"/>
  <c r="H20" i="87"/>
  <c r="I19" i="87"/>
  <c r="K19" i="87"/>
  <c r="H19" i="87"/>
  <c r="I18" i="87"/>
  <c r="H18" i="87"/>
  <c r="K18" i="87"/>
  <c r="L25" i="42"/>
  <c r="D20" i="88"/>
  <c r="H20" i="88"/>
  <c r="L20" i="88"/>
  <c r="I20" i="88"/>
  <c r="D25" i="88"/>
  <c r="H25" i="88"/>
  <c r="I25" i="88"/>
  <c r="K25" i="88"/>
  <c r="K23" i="88"/>
  <c r="H23" i="88"/>
  <c r="I23" i="88"/>
  <c r="H22" i="88"/>
  <c r="I22" i="88"/>
  <c r="K22" i="88"/>
  <c r="I21" i="88"/>
  <c r="H21" i="88"/>
  <c r="K21" i="88"/>
  <c r="D21" i="88"/>
  <c r="L19" i="88"/>
  <c r="H19" i="88"/>
  <c r="I19" i="88"/>
  <c r="D19" i="88"/>
  <c r="H18" i="88"/>
  <c r="I18" i="88"/>
  <c r="K18" i="88"/>
  <c r="N20" i="90"/>
  <c r="K20" i="90"/>
  <c r="I20" i="90"/>
  <c r="H20" i="90"/>
  <c r="K19" i="90"/>
  <c r="L19" i="90" s="1"/>
  <c r="I19" i="90"/>
  <c r="H19" i="90"/>
  <c r="D20" i="90"/>
  <c r="D19" i="90"/>
  <c r="L23" i="87" l="1"/>
  <c r="L22" i="87"/>
  <c r="L20" i="87"/>
  <c r="L19" i="87"/>
  <c r="L18" i="87"/>
  <c r="O25" i="88"/>
  <c r="P25" i="88" s="1"/>
  <c r="L25" i="88"/>
  <c r="L23" i="88"/>
  <c r="L22" i="88"/>
  <c r="L21" i="88"/>
  <c r="L18" i="88"/>
  <c r="O20" i="90"/>
  <c r="P20" i="90" s="1"/>
  <c r="L20" i="90"/>
  <c r="C20" i="189" l="1"/>
  <c r="D20" i="189" s="1"/>
  <c r="K22" i="78"/>
  <c r="L22" i="78" s="1"/>
  <c r="I22" i="78"/>
  <c r="H22" i="78"/>
  <c r="K21" i="78"/>
  <c r="L21" i="78" s="1"/>
  <c r="I21" i="78"/>
  <c r="H21" i="78"/>
  <c r="K20" i="78"/>
  <c r="L20" i="78" s="1"/>
  <c r="I20" i="78"/>
  <c r="H20" i="78"/>
  <c r="K19" i="78"/>
  <c r="I19" i="78"/>
  <c r="H19" i="78"/>
  <c r="D22" i="78"/>
  <c r="D21" i="78"/>
  <c r="D20" i="78"/>
  <c r="D19" i="78"/>
  <c r="K20" i="189" l="1"/>
  <c r="I20" i="189"/>
  <c r="H20" i="189"/>
  <c r="L19" i="78"/>
  <c r="L20" i="189" l="1"/>
  <c r="D19" i="42" l="1"/>
  <c r="H19" i="42"/>
  <c r="I19" i="42"/>
  <c r="C19" i="68" l="1"/>
  <c r="N19" i="68" s="1"/>
  <c r="D19" i="68" l="1"/>
  <c r="I19" i="68"/>
  <c r="K19" i="68"/>
  <c r="O19" i="68" l="1"/>
  <c r="P19" i="68" s="1"/>
  <c r="L19" i="68"/>
  <c r="K20" i="113"/>
  <c r="I20" i="113"/>
  <c r="H20" i="113"/>
  <c r="K19" i="113"/>
  <c r="I19" i="113"/>
  <c r="H19" i="113"/>
  <c r="L20" i="113" l="1"/>
  <c r="L19" i="113"/>
  <c r="I23" i="136" l="1"/>
  <c r="H23" i="136"/>
  <c r="D23" i="136"/>
  <c r="N21" i="93"/>
  <c r="K21" i="93"/>
  <c r="I21" i="93"/>
  <c r="H21" i="93"/>
  <c r="D21" i="93"/>
  <c r="F11" i="181"/>
  <c r="N9" i="181"/>
  <c r="DA369" i="7"/>
  <c r="O21" i="93" l="1"/>
  <c r="P21" i="93" s="1"/>
  <c r="L21" i="93"/>
  <c r="D18" i="239" l="1"/>
  <c r="N19" i="185"/>
  <c r="K20" i="185"/>
  <c r="L20" i="185" s="1"/>
  <c r="I20" i="185"/>
  <c r="H20" i="185"/>
  <c r="I19" i="185"/>
  <c r="H19" i="185"/>
  <c r="D20" i="185"/>
  <c r="D19" i="185"/>
  <c r="K24" i="42"/>
  <c r="I24" i="42"/>
  <c r="H24" i="42"/>
  <c r="D24" i="42"/>
  <c r="K23" i="42"/>
  <c r="I23" i="42"/>
  <c r="H23" i="42"/>
  <c r="D23" i="42"/>
  <c r="L24" i="42" l="1"/>
  <c r="L23" i="42"/>
  <c r="N37" i="259" l="1"/>
  <c r="K37" i="259"/>
  <c r="L37" i="259" s="1"/>
  <c r="I37" i="259"/>
  <c r="H37" i="259"/>
  <c r="D37" i="259"/>
  <c r="N36" i="259"/>
  <c r="K36" i="259"/>
  <c r="L36" i="259" s="1"/>
  <c r="I36" i="259"/>
  <c r="H36" i="259"/>
  <c r="D36" i="259"/>
  <c r="K35" i="259"/>
  <c r="L35" i="259" s="1"/>
  <c r="I35" i="259"/>
  <c r="H35" i="259"/>
  <c r="D35" i="259"/>
  <c r="K34" i="259"/>
  <c r="L34" i="259" s="1"/>
  <c r="I34" i="259"/>
  <c r="H34" i="259"/>
  <c r="D34" i="259"/>
  <c r="N33" i="259"/>
  <c r="K33" i="259"/>
  <c r="L33" i="259" s="1"/>
  <c r="I33" i="259"/>
  <c r="H33" i="259"/>
  <c r="D33" i="259"/>
  <c r="N32" i="259"/>
  <c r="K32" i="259"/>
  <c r="L32" i="259" s="1"/>
  <c r="I32" i="259"/>
  <c r="H32" i="259"/>
  <c r="D32" i="259"/>
  <c r="N31" i="259"/>
  <c r="K31" i="259"/>
  <c r="L31" i="259" s="1"/>
  <c r="I31" i="259"/>
  <c r="H31" i="259"/>
  <c r="D31" i="259"/>
  <c r="N30" i="259"/>
  <c r="K30" i="259"/>
  <c r="L30" i="259" s="1"/>
  <c r="I30" i="259"/>
  <c r="H30" i="259"/>
  <c r="D30" i="259"/>
  <c r="N29" i="259"/>
  <c r="K29" i="259"/>
  <c r="L29" i="259" s="1"/>
  <c r="I29" i="259"/>
  <c r="H29" i="259"/>
  <c r="D29" i="259"/>
  <c r="N28" i="259"/>
  <c r="K28" i="259"/>
  <c r="L28" i="259" s="1"/>
  <c r="I28" i="259"/>
  <c r="H28" i="259"/>
  <c r="D28" i="259"/>
  <c r="N27" i="259"/>
  <c r="K27" i="259"/>
  <c r="L27" i="259" s="1"/>
  <c r="I27" i="259"/>
  <c r="H27" i="259"/>
  <c r="D27" i="259"/>
  <c r="N26" i="259"/>
  <c r="K26" i="259"/>
  <c r="L26" i="259" s="1"/>
  <c r="I26" i="259"/>
  <c r="H26" i="259"/>
  <c r="D26" i="259"/>
  <c r="K25" i="259"/>
  <c r="L25" i="259" s="1"/>
  <c r="I25" i="259"/>
  <c r="H25" i="259"/>
  <c r="D25" i="259"/>
  <c r="K24" i="259"/>
  <c r="L24" i="259" s="1"/>
  <c r="I24" i="259"/>
  <c r="H24" i="259"/>
  <c r="D24" i="259"/>
  <c r="K23" i="259"/>
  <c r="L23" i="259" s="1"/>
  <c r="I23" i="259"/>
  <c r="H23" i="259"/>
  <c r="D23" i="259"/>
  <c r="K22" i="259"/>
  <c r="L22" i="259" s="1"/>
  <c r="I22" i="259"/>
  <c r="H22" i="259"/>
  <c r="D22" i="259"/>
  <c r="N21" i="259"/>
  <c r="K21" i="259"/>
  <c r="L21" i="259" s="1"/>
  <c r="I21" i="259"/>
  <c r="H21" i="259"/>
  <c r="D21" i="259"/>
  <c r="K20" i="259"/>
  <c r="L20" i="259" s="1"/>
  <c r="I20" i="259"/>
  <c r="H20" i="259"/>
  <c r="D20" i="259"/>
  <c r="N19" i="259"/>
  <c r="K19" i="259"/>
  <c r="L19" i="259" s="1"/>
  <c r="I19" i="259"/>
  <c r="H19" i="259"/>
  <c r="D19" i="259"/>
  <c r="K18" i="259"/>
  <c r="L18" i="259" s="1"/>
  <c r="I18" i="259"/>
  <c r="H18" i="259"/>
  <c r="D18" i="259"/>
  <c r="F11" i="259"/>
  <c r="L44" i="259" l="1"/>
  <c r="O19" i="259"/>
  <c r="P19" i="259" s="1"/>
  <c r="O21" i="259"/>
  <c r="P21" i="259" s="1"/>
  <c r="O26" i="259"/>
  <c r="P26" i="259" s="1"/>
  <c r="O27" i="259"/>
  <c r="P27" i="259" s="1"/>
  <c r="O28" i="259"/>
  <c r="P28" i="259" s="1"/>
  <c r="O29" i="259"/>
  <c r="P29" i="259" s="1"/>
  <c r="O30" i="259"/>
  <c r="P30" i="259" s="1"/>
  <c r="O31" i="259"/>
  <c r="P31" i="259" s="1"/>
  <c r="O32" i="259"/>
  <c r="P32" i="259" s="1"/>
  <c r="O33" i="259"/>
  <c r="P33" i="259" s="1"/>
  <c r="O36" i="259"/>
  <c r="P36" i="259" s="1"/>
  <c r="O37" i="259"/>
  <c r="P37" i="259" s="1"/>
  <c r="L45" i="259" l="1"/>
  <c r="L46" i="259" s="1"/>
  <c r="L47" i="259" l="1"/>
  <c r="L48" i="259" s="1"/>
  <c r="C21" i="89" l="1"/>
  <c r="D21" i="89" s="1"/>
  <c r="C20" i="89"/>
  <c r="D20" i="89" s="1"/>
  <c r="C19" i="89"/>
  <c r="D19" i="89" s="1"/>
  <c r="H20" i="89" l="1"/>
  <c r="I20" i="89"/>
  <c r="H21" i="89"/>
  <c r="K20" i="89"/>
  <c r="L20" i="89" s="1"/>
  <c r="K21" i="89"/>
  <c r="L21" i="89" s="1"/>
  <c r="I21" i="89"/>
  <c r="H19" i="89"/>
  <c r="I19" i="89"/>
  <c r="K19" i="89"/>
  <c r="L19" i="89" s="1"/>
  <c r="N18" i="227" l="1"/>
  <c r="N21" i="204" l="1"/>
  <c r="K21" i="204"/>
  <c r="I21" i="204"/>
  <c r="H21" i="204"/>
  <c r="D21" i="204"/>
  <c r="K21" i="51"/>
  <c r="I21" i="51"/>
  <c r="H21" i="51"/>
  <c r="D21" i="51"/>
  <c r="I20" i="136"/>
  <c r="H20" i="136"/>
  <c r="D20" i="136"/>
  <c r="O21" i="204" l="1"/>
  <c r="P21" i="204" s="1"/>
  <c r="L21" i="204"/>
  <c r="L21" i="51"/>
  <c r="N22" i="120" l="1"/>
  <c r="K22" i="120"/>
  <c r="I22" i="120"/>
  <c r="H22" i="120"/>
  <c r="K21" i="120"/>
  <c r="I21" i="120"/>
  <c r="H21" i="120"/>
  <c r="D22" i="120"/>
  <c r="D21" i="120"/>
  <c r="O22" i="120" l="1"/>
  <c r="P22" i="120" s="1"/>
  <c r="L22" i="120"/>
  <c r="L21" i="120"/>
  <c r="D18" i="102" l="1"/>
  <c r="H18" i="102"/>
  <c r="I18" i="102"/>
  <c r="K18" i="102"/>
  <c r="L18" i="102" s="1"/>
  <c r="H19" i="76" l="1"/>
  <c r="I19" i="76"/>
  <c r="K19" i="76"/>
  <c r="L19" i="76" s="1"/>
  <c r="C25" i="61"/>
  <c r="D25" i="61" s="1"/>
  <c r="C24" i="61"/>
  <c r="D24" i="61" s="1"/>
  <c r="K21" i="43"/>
  <c r="I21" i="43"/>
  <c r="H21" i="43"/>
  <c r="D21" i="43"/>
  <c r="I27" i="90"/>
  <c r="H27" i="90"/>
  <c r="D27" i="90"/>
  <c r="C19" i="60"/>
  <c r="D19" i="60" s="1"/>
  <c r="K25" i="61" l="1"/>
  <c r="L25" i="61" s="1"/>
  <c r="K24" i="61"/>
  <c r="L24" i="61" s="1"/>
  <c r="H24" i="61"/>
  <c r="I24" i="61"/>
  <c r="H25" i="61"/>
  <c r="I25" i="61"/>
  <c r="L21" i="43"/>
  <c r="H19" i="60"/>
  <c r="I19" i="60"/>
  <c r="K19" i="60"/>
  <c r="L19" i="60" l="1"/>
  <c r="K29" i="72"/>
  <c r="L29" i="72" s="1"/>
  <c r="I29" i="72"/>
  <c r="H29" i="72"/>
  <c r="K28" i="72"/>
  <c r="I28" i="72"/>
  <c r="H28" i="72"/>
  <c r="D29" i="72"/>
  <c r="D28" i="72"/>
  <c r="L28" i="72" l="1"/>
  <c r="I34" i="101" l="1"/>
  <c r="H34" i="101"/>
  <c r="D34" i="101"/>
  <c r="I33" i="101"/>
  <c r="H33" i="101"/>
  <c r="D33" i="101"/>
  <c r="I32" i="101"/>
  <c r="H32" i="101"/>
  <c r="D32" i="101"/>
  <c r="I31" i="101"/>
  <c r="H31" i="101"/>
  <c r="D31" i="101"/>
  <c r="DA335" i="7"/>
  <c r="K22" i="42"/>
  <c r="L22" i="42" s="1"/>
  <c r="I22" i="42"/>
  <c r="H22" i="42"/>
  <c r="K21" i="42"/>
  <c r="I21" i="42"/>
  <c r="H21" i="42"/>
  <c r="K20" i="42"/>
  <c r="I20" i="42"/>
  <c r="H20" i="42"/>
  <c r="D22" i="42"/>
  <c r="D21" i="42"/>
  <c r="D20" i="42"/>
  <c r="N29" i="44" l="1"/>
  <c r="O29" i="44" s="1"/>
  <c r="P29" i="44" s="1"/>
  <c r="N22" i="77"/>
  <c r="O22" i="77" s="1"/>
  <c r="P22" i="77" s="1"/>
  <c r="N32" i="60"/>
  <c r="O32" i="60" s="1"/>
  <c r="P32" i="60" s="1"/>
  <c r="N24" i="88"/>
  <c r="O24" i="88" s="1"/>
  <c r="P24" i="88" s="1"/>
  <c r="N22" i="53"/>
  <c r="O22" i="53" s="1"/>
  <c r="P22" i="53" s="1"/>
  <c r="L21" i="42"/>
  <c r="L20" i="42"/>
  <c r="AM186" i="7" l="1"/>
  <c r="D29" i="97"/>
  <c r="I213" i="6"/>
  <c r="H213" i="6"/>
  <c r="D213" i="6"/>
  <c r="D20" i="113" l="1"/>
  <c r="H370" i="7"/>
  <c r="K18" i="255"/>
  <c r="I18" i="255"/>
  <c r="H18" i="255"/>
  <c r="D18" i="255"/>
  <c r="F11" i="255"/>
  <c r="I220" i="6"/>
  <c r="H220" i="6"/>
  <c r="D220" i="6"/>
  <c r="I219" i="6"/>
  <c r="H219" i="6"/>
  <c r="D219" i="6"/>
  <c r="K24" i="142"/>
  <c r="I24" i="142"/>
  <c r="H24" i="142"/>
  <c r="N23" i="142"/>
  <c r="K23" i="142"/>
  <c r="I23" i="142"/>
  <c r="H23" i="142"/>
  <c r="K22" i="142"/>
  <c r="L22" i="142" s="1"/>
  <c r="I22" i="142"/>
  <c r="H22" i="142"/>
  <c r="N21" i="142"/>
  <c r="K21" i="142"/>
  <c r="L21" i="142" s="1"/>
  <c r="I21" i="142"/>
  <c r="H21" i="142"/>
  <c r="D24" i="142"/>
  <c r="D23" i="142"/>
  <c r="D22" i="142"/>
  <c r="D21" i="142"/>
  <c r="C21" i="40"/>
  <c r="H21" i="40" s="1"/>
  <c r="L18" i="255" l="1"/>
  <c r="O23" i="142"/>
  <c r="P23" i="142" s="1"/>
  <c r="L23" i="142"/>
  <c r="O21" i="142"/>
  <c r="P21" i="142" s="1"/>
  <c r="L24" i="142"/>
  <c r="D21" i="40"/>
  <c r="K21" i="40"/>
  <c r="I21" i="40"/>
  <c r="L37" i="255" l="1"/>
  <c r="L21" i="40"/>
  <c r="L38" i="255" l="1"/>
  <c r="L39" i="255" s="1"/>
  <c r="L40" i="255" l="1"/>
  <c r="L41" i="255" s="1"/>
  <c r="DA234" i="7"/>
  <c r="N18" i="268" s="1"/>
  <c r="O18" i="268" s="1"/>
  <c r="P18" i="268" s="1"/>
  <c r="DA196" i="7"/>
  <c r="DA194" i="7"/>
  <c r="N22" i="270" s="1"/>
  <c r="O22" i="270" s="1"/>
  <c r="P22" i="270" s="1"/>
  <c r="DA192" i="7"/>
  <c r="DA191" i="7"/>
  <c r="DA189" i="7"/>
  <c r="DA190" i="7" s="1"/>
  <c r="DA188" i="7"/>
  <c r="N20" i="270" s="1"/>
  <c r="O20" i="270" s="1"/>
  <c r="P20" i="270" s="1"/>
  <c r="DA186" i="7"/>
  <c r="N31" i="124" s="1"/>
  <c r="O31" i="124" s="1"/>
  <c r="P31" i="124" s="1"/>
  <c r="DA185" i="7"/>
  <c r="DA183" i="7"/>
  <c r="N28" i="52" s="1"/>
  <c r="O28" i="52" s="1"/>
  <c r="P28" i="52" s="1"/>
  <c r="DA181" i="7"/>
  <c r="DA182" i="7" s="1"/>
  <c r="DA180" i="7"/>
  <c r="N26" i="270" s="1"/>
  <c r="O26" i="270" s="1"/>
  <c r="P26" i="270" s="1"/>
  <c r="DA177" i="7"/>
  <c r="DA176" i="7"/>
  <c r="DA173" i="7"/>
  <c r="DA174" i="7" s="1"/>
  <c r="DA172" i="7"/>
  <c r="DA171" i="7"/>
  <c r="DA170" i="7"/>
  <c r="DA164" i="7"/>
  <c r="DA163" i="7"/>
  <c r="DA162" i="7"/>
  <c r="DA160" i="7"/>
  <c r="DA157" i="7"/>
  <c r="DA158" i="7" s="1"/>
  <c r="DA152" i="7"/>
  <c r="DA155" i="7" s="1"/>
  <c r="DA149" i="7"/>
  <c r="N19" i="278" s="1"/>
  <c r="O19" i="278" s="1"/>
  <c r="P19" i="278" s="1"/>
  <c r="M32" i="278" s="1"/>
  <c r="N32" i="278" s="1"/>
  <c r="N24" i="101" l="1"/>
  <c r="O24" i="101" s="1"/>
  <c r="P24" i="101" s="1"/>
  <c r="N25" i="270"/>
  <c r="O25" i="270" s="1"/>
  <c r="P25" i="270" s="1"/>
  <c r="N28" i="94"/>
  <c r="O28" i="94" s="1"/>
  <c r="P28" i="94" s="1"/>
  <c r="N30" i="52"/>
  <c r="O30" i="52" s="1"/>
  <c r="P30" i="52" s="1"/>
  <c r="N24" i="52"/>
  <c r="O24" i="52" s="1"/>
  <c r="P24" i="52" s="1"/>
  <c r="N24" i="270"/>
  <c r="O24" i="270" s="1"/>
  <c r="P24" i="270" s="1"/>
  <c r="N29" i="52"/>
  <c r="O29" i="52" s="1"/>
  <c r="P29" i="52" s="1"/>
  <c r="N21" i="278"/>
  <c r="O21" i="278" s="1"/>
  <c r="P21" i="278" s="1"/>
  <c r="N29" i="124"/>
  <c r="O29" i="124" s="1"/>
  <c r="P29" i="124" s="1"/>
  <c r="DA178" i="7"/>
  <c r="N30" i="124"/>
  <c r="O30" i="124" s="1"/>
  <c r="P30" i="124" s="1"/>
  <c r="N21" i="81"/>
  <c r="O21" i="81" s="1"/>
  <c r="P21" i="81" s="1"/>
  <c r="N20" i="52"/>
  <c r="O20" i="52" s="1"/>
  <c r="P20" i="52" s="1"/>
  <c r="N23" i="270"/>
  <c r="O23" i="270" s="1"/>
  <c r="P23" i="270" s="1"/>
  <c r="N18" i="271"/>
  <c r="O18" i="271" s="1"/>
  <c r="P18" i="271" s="1"/>
  <c r="M31" i="271" s="1"/>
  <c r="N31" i="271" s="1"/>
  <c r="N19" i="52"/>
  <c r="O19" i="52" s="1"/>
  <c r="P19" i="52" s="1"/>
  <c r="N23" i="96"/>
  <c r="O23" i="96" s="1"/>
  <c r="P23" i="96" s="1"/>
  <c r="N20" i="145"/>
  <c r="O20" i="145" s="1"/>
  <c r="P20" i="145" s="1"/>
  <c r="N24" i="99"/>
  <c r="O24" i="99" s="1"/>
  <c r="P24" i="99" s="1"/>
  <c r="N28" i="99"/>
  <c r="O28" i="99" s="1"/>
  <c r="P28" i="99" s="1"/>
  <c r="N24" i="60"/>
  <c r="O24" i="60" s="1"/>
  <c r="P24" i="60" s="1"/>
  <c r="N21" i="53"/>
  <c r="O21" i="53" s="1"/>
  <c r="P21" i="53" s="1"/>
  <c r="N20" i="53"/>
  <c r="O20" i="53" s="1"/>
  <c r="P20" i="53" s="1"/>
  <c r="N23" i="60"/>
  <c r="O23" i="60" s="1"/>
  <c r="P23" i="60" s="1"/>
  <c r="N25" i="96"/>
  <c r="O25" i="96" s="1"/>
  <c r="P25" i="96" s="1"/>
  <c r="N24" i="87"/>
  <c r="O24" i="87" s="1"/>
  <c r="P24" i="87" s="1"/>
  <c r="N18" i="232"/>
  <c r="O18" i="232" s="1"/>
  <c r="P18" i="232" s="1"/>
  <c r="N19" i="145"/>
  <c r="O19" i="145" s="1"/>
  <c r="P19" i="145" s="1"/>
  <c r="N21" i="89"/>
  <c r="O21" i="89" s="1"/>
  <c r="P21" i="89" s="1"/>
  <c r="N18" i="255"/>
  <c r="O18" i="255" s="1"/>
  <c r="P18" i="255" s="1"/>
  <c r="N24" i="44"/>
  <c r="O24" i="44" s="1"/>
  <c r="P24" i="44" s="1"/>
  <c r="N19" i="102"/>
  <c r="O19" i="102" s="1"/>
  <c r="P19" i="102" s="1"/>
  <c r="N23" i="44"/>
  <c r="O23" i="44" s="1"/>
  <c r="P23" i="44" s="1"/>
  <c r="N21" i="78"/>
  <c r="O21" i="78" s="1"/>
  <c r="P21" i="78" s="1"/>
  <c r="N19" i="76"/>
  <c r="O19" i="76" s="1"/>
  <c r="P19" i="76" s="1"/>
  <c r="N19" i="113"/>
  <c r="O19" i="113" s="1"/>
  <c r="P19" i="113" s="1"/>
  <c r="N20" i="185"/>
  <c r="O20" i="185" s="1"/>
  <c r="P20" i="185" s="1"/>
  <c r="N21" i="51"/>
  <c r="O21" i="51" s="1"/>
  <c r="P21" i="51" s="1"/>
  <c r="N24" i="42"/>
  <c r="O24" i="42" s="1"/>
  <c r="P24" i="42" s="1"/>
  <c r="DA150" i="7"/>
  <c r="DA147" i="7"/>
  <c r="DA148" i="7"/>
  <c r="DA153" i="7"/>
  <c r="N21" i="42" s="1"/>
  <c r="O21" i="42" s="1"/>
  <c r="P21" i="42" s="1"/>
  <c r="DA154" i="7"/>
  <c r="N22" i="78" l="1"/>
  <c r="O22" i="78" s="1"/>
  <c r="P22" i="78" s="1"/>
  <c r="M37" i="255"/>
  <c r="N37" i="255" s="1"/>
  <c r="N23" i="87"/>
  <c r="O23" i="87" s="1"/>
  <c r="P23" i="87" s="1"/>
  <c r="N21" i="219"/>
  <c r="O21" i="219" s="1"/>
  <c r="P21" i="219" s="1"/>
  <c r="N22" i="60"/>
  <c r="O22" i="60" s="1"/>
  <c r="P22" i="60" s="1"/>
  <c r="N20" i="89"/>
  <c r="O20" i="89" s="1"/>
  <c r="P20" i="89" s="1"/>
  <c r="N19" i="53"/>
  <c r="O19" i="53" s="1"/>
  <c r="P19" i="53" s="1"/>
  <c r="N26" i="219"/>
  <c r="O26" i="219" s="1"/>
  <c r="P26" i="219" s="1"/>
  <c r="N21" i="88"/>
  <c r="O21" i="88" s="1"/>
  <c r="P21" i="88" s="1"/>
  <c r="N22" i="44"/>
  <c r="O22" i="44" s="1"/>
  <c r="P22" i="44" s="1"/>
  <c r="N20" i="96"/>
  <c r="O20" i="96" s="1"/>
  <c r="P20" i="96" s="1"/>
  <c r="N22" i="88"/>
  <c r="O22" i="88" s="1"/>
  <c r="P22" i="88" s="1"/>
  <c r="N20" i="189"/>
  <c r="O20" i="189" s="1"/>
  <c r="P20" i="189" s="1"/>
  <c r="N18" i="102"/>
  <c r="O18" i="102" s="1"/>
  <c r="P18" i="102" s="1"/>
  <c r="K22" i="97" l="1"/>
  <c r="L22" i="97" s="1"/>
  <c r="I22" i="97"/>
  <c r="H22" i="97"/>
  <c r="D22" i="97"/>
  <c r="I212" i="6"/>
  <c r="H212" i="6"/>
  <c r="D212" i="6"/>
  <c r="K19" i="67" l="1"/>
  <c r="I19" i="67"/>
  <c r="H19" i="67"/>
  <c r="L19" i="67" l="1"/>
  <c r="D20" i="204" l="1"/>
  <c r="N20" i="204"/>
  <c r="K20" i="204"/>
  <c r="I20" i="204"/>
  <c r="H20" i="204"/>
  <c r="N19" i="204"/>
  <c r="K19" i="204"/>
  <c r="L19" i="204" s="1"/>
  <c r="I19" i="204"/>
  <c r="H19" i="204"/>
  <c r="D19" i="204"/>
  <c r="D18" i="90"/>
  <c r="I18" i="50"/>
  <c r="O20" i="204" l="1"/>
  <c r="P20" i="204" s="1"/>
  <c r="O19" i="204"/>
  <c r="P19" i="204" s="1"/>
  <c r="L20" i="204"/>
  <c r="K27" i="71" l="1"/>
  <c r="I27" i="71"/>
  <c r="H27" i="71"/>
  <c r="K26" i="71"/>
  <c r="L26" i="71" s="1"/>
  <c r="I26" i="71"/>
  <c r="H26" i="71"/>
  <c r="K25" i="71"/>
  <c r="I25" i="71"/>
  <c r="H25" i="71"/>
  <c r="K24" i="71"/>
  <c r="I24" i="71"/>
  <c r="H24" i="71"/>
  <c r="K23" i="71"/>
  <c r="L23" i="71" s="1"/>
  <c r="I23" i="71"/>
  <c r="H23" i="71"/>
  <c r="K22" i="71"/>
  <c r="L22" i="71" s="1"/>
  <c r="I22" i="71"/>
  <c r="H22" i="71"/>
  <c r="K21" i="71"/>
  <c r="I21" i="71"/>
  <c r="H21" i="71"/>
  <c r="N20" i="71"/>
  <c r="K20" i="71"/>
  <c r="L20" i="71" s="1"/>
  <c r="I20" i="71"/>
  <c r="H20" i="71"/>
  <c r="N19" i="71"/>
  <c r="K19" i="71"/>
  <c r="I19" i="71"/>
  <c r="H19" i="71"/>
  <c r="D27" i="71"/>
  <c r="D26" i="71"/>
  <c r="D25" i="71"/>
  <c r="D24" i="71"/>
  <c r="D23" i="71"/>
  <c r="D22" i="71"/>
  <c r="D21" i="71"/>
  <c r="D20" i="71"/>
  <c r="D19" i="71"/>
  <c r="Q38" i="99"/>
  <c r="D23" i="99"/>
  <c r="C22" i="99"/>
  <c r="D22" i="99" s="1"/>
  <c r="K21" i="97"/>
  <c r="I21" i="97"/>
  <c r="H21" i="97"/>
  <c r="D21" i="97"/>
  <c r="O19" i="71" l="1"/>
  <c r="P19" i="71" s="1"/>
  <c r="L21" i="71"/>
  <c r="O20" i="71"/>
  <c r="P20" i="71" s="1"/>
  <c r="L19" i="71"/>
  <c r="L27" i="71"/>
  <c r="L25" i="71"/>
  <c r="L24" i="71"/>
  <c r="H22" i="99"/>
  <c r="I22" i="99"/>
  <c r="K22" i="99"/>
  <c r="L21" i="97"/>
  <c r="L23" i="99" l="1"/>
  <c r="L22" i="99"/>
  <c r="DA145" i="7"/>
  <c r="DA142" i="7"/>
  <c r="DA358" i="7"/>
  <c r="N32" i="52" l="1"/>
  <c r="O32" i="52" s="1"/>
  <c r="P32" i="52" s="1"/>
  <c r="N25" i="43"/>
  <c r="O25" i="43" s="1"/>
  <c r="P25" i="43" s="1"/>
  <c r="N35" i="72"/>
  <c r="O35" i="72" s="1"/>
  <c r="P35" i="72" s="1"/>
  <c r="N40" i="124"/>
  <c r="O40" i="124" s="1"/>
  <c r="P40" i="124" s="1"/>
  <c r="N28" i="124"/>
  <c r="O28" i="124" s="1"/>
  <c r="P28" i="124" s="1"/>
  <c r="N34" i="94"/>
  <c r="O34" i="94" s="1"/>
  <c r="P34" i="94" s="1"/>
  <c r="N35" i="60"/>
  <c r="O35" i="60" s="1"/>
  <c r="P35" i="60" s="1"/>
  <c r="N28" i="87"/>
  <c r="O28" i="87" s="1"/>
  <c r="P28" i="87" s="1"/>
  <c r="N21" i="49"/>
  <c r="O21" i="49" s="1"/>
  <c r="P21" i="49" s="1"/>
  <c r="N38" i="71"/>
  <c r="O38" i="71" s="1"/>
  <c r="P38" i="71" s="1"/>
  <c r="N22" i="43"/>
  <c r="O22" i="43" s="1"/>
  <c r="P22" i="43" s="1"/>
  <c r="N25" i="94"/>
  <c r="O25" i="94" s="1"/>
  <c r="P25" i="94" s="1"/>
  <c r="N25" i="52"/>
  <c r="O25" i="52" s="1"/>
  <c r="P25" i="52" s="1"/>
  <c r="N19" i="49"/>
  <c r="O19" i="49" s="1"/>
  <c r="P19" i="49" s="1"/>
  <c r="N27" i="219"/>
  <c r="O27" i="219" s="1"/>
  <c r="P27" i="219" s="1"/>
  <c r="N22" i="87"/>
  <c r="O22" i="87" s="1"/>
  <c r="P22" i="87" s="1"/>
  <c r="N27" i="87"/>
  <c r="O27" i="87" s="1"/>
  <c r="P27" i="87" s="1"/>
  <c r="N23" i="88"/>
  <c r="O23" i="88" s="1"/>
  <c r="P23" i="88" s="1"/>
  <c r="N23" i="113"/>
  <c r="O23" i="113" s="1"/>
  <c r="P23" i="113" s="1"/>
  <c r="N21" i="60"/>
  <c r="O21" i="60" s="1"/>
  <c r="P21" i="60" s="1"/>
  <c r="N34" i="71"/>
  <c r="O34" i="71" s="1"/>
  <c r="P34" i="71" s="1"/>
  <c r="N25" i="87"/>
  <c r="O25" i="87" s="1"/>
  <c r="P25" i="87" s="1"/>
  <c r="N35" i="71"/>
  <c r="O35" i="71" s="1"/>
  <c r="P35" i="71" s="1"/>
  <c r="N20" i="60"/>
  <c r="O20" i="60" s="1"/>
  <c r="P20" i="60" s="1"/>
  <c r="N21" i="87"/>
  <c r="O21" i="87" s="1"/>
  <c r="P21" i="87" s="1"/>
  <c r="N20" i="88"/>
  <c r="O20" i="88" s="1"/>
  <c r="P20" i="88" s="1"/>
  <c r="N22" i="42"/>
  <c r="O22" i="42" s="1"/>
  <c r="P22" i="42" s="1"/>
  <c r="N34" i="259"/>
  <c r="O34" i="259" s="1"/>
  <c r="P34" i="259" s="1"/>
  <c r="K28" i="75" l="1"/>
  <c r="L28" i="75" s="1"/>
  <c r="I28" i="75"/>
  <c r="H28" i="75"/>
  <c r="K27" i="75"/>
  <c r="I27" i="75"/>
  <c r="H27" i="75"/>
  <c r="K26" i="75"/>
  <c r="I26" i="75"/>
  <c r="H26" i="75"/>
  <c r="D28" i="75"/>
  <c r="D27" i="75"/>
  <c r="D26" i="75"/>
  <c r="H18" i="94"/>
  <c r="L27" i="75" l="1"/>
  <c r="L26" i="75"/>
  <c r="N18" i="235" l="1"/>
  <c r="K18" i="235"/>
  <c r="I18" i="235"/>
  <c r="H18" i="235"/>
  <c r="F11" i="70"/>
  <c r="O18" i="235" l="1"/>
  <c r="P18" i="235" s="1"/>
  <c r="L18" i="235"/>
  <c r="K20" i="93" l="1"/>
  <c r="I20" i="93"/>
  <c r="H20" i="93"/>
  <c r="D20" i="93"/>
  <c r="L20" i="93" l="1"/>
  <c r="C23" i="61" l="1"/>
  <c r="K23" i="61" s="1"/>
  <c r="C22" i="61"/>
  <c r="K22" i="61" s="1"/>
  <c r="C21" i="61"/>
  <c r="D23" i="61" l="1"/>
  <c r="H23" i="61"/>
  <c r="D22" i="61"/>
  <c r="H22" i="61"/>
  <c r="I22" i="61"/>
  <c r="I21" i="61"/>
  <c r="L23" i="61"/>
  <c r="L22" i="61"/>
  <c r="K21" i="61"/>
  <c r="D21" i="61"/>
  <c r="I23" i="61"/>
  <c r="H21" i="61"/>
  <c r="L21" i="61" l="1"/>
  <c r="C26" i="233" l="1"/>
  <c r="D26" i="233" s="1"/>
  <c r="I26" i="233" l="1"/>
  <c r="H26" i="233"/>
  <c r="K26" i="233"/>
  <c r="L26" i="233" l="1"/>
  <c r="K52" i="96" l="1"/>
  <c r="I52" i="96"/>
  <c r="H52" i="96"/>
  <c r="D52" i="96"/>
  <c r="I23" i="121" l="1"/>
  <c r="H23" i="121"/>
  <c r="D23" i="121"/>
  <c r="K18" i="67" l="1"/>
  <c r="I18" i="67"/>
  <c r="H18" i="67"/>
  <c r="H204" i="7"/>
  <c r="K20" i="43"/>
  <c r="L20" i="43" s="1"/>
  <c r="I20" i="43"/>
  <c r="H20" i="43"/>
  <c r="K19" i="43"/>
  <c r="L19" i="43" s="1"/>
  <c r="I19" i="43"/>
  <c r="H19" i="43"/>
  <c r="K18" i="43"/>
  <c r="L18" i="43" s="1"/>
  <c r="I18" i="43"/>
  <c r="H18" i="43"/>
  <c r="L18" i="67" l="1"/>
  <c r="I32" i="204"/>
  <c r="H32" i="204"/>
  <c r="D32" i="204"/>
  <c r="I59" i="139"/>
  <c r="H59" i="139"/>
  <c r="D59" i="139"/>
  <c r="I56" i="139"/>
  <c r="H56" i="139"/>
  <c r="D56" i="139"/>
  <c r="I53" i="139"/>
  <c r="H53" i="139"/>
  <c r="D53" i="139"/>
  <c r="I216" i="6"/>
  <c r="H216" i="6"/>
  <c r="D216" i="6"/>
  <c r="K19" i="83" l="1"/>
  <c r="L19" i="83" s="1"/>
  <c r="I19" i="83"/>
  <c r="H19" i="83"/>
  <c r="DA195" i="68" l="1"/>
  <c r="DA208" i="7"/>
  <c r="DA194" i="68"/>
  <c r="DA207" i="7"/>
  <c r="DA200" i="68"/>
  <c r="DA213" i="7"/>
  <c r="N20" i="113" l="1"/>
  <c r="O20" i="113" s="1"/>
  <c r="P20" i="113" s="1"/>
  <c r="D28" i="135"/>
  <c r="D28" i="97" l="1"/>
  <c r="D19" i="113" l="1"/>
  <c r="D18" i="136" l="1"/>
  <c r="I20" i="142"/>
  <c r="H20" i="142"/>
  <c r="D20" i="142"/>
  <c r="I25" i="139"/>
  <c r="H25" i="139"/>
  <c r="D25" i="139"/>
  <c r="K22" i="139"/>
  <c r="K24" i="139"/>
  <c r="I24" i="139"/>
  <c r="H24" i="139"/>
  <c r="D24" i="139"/>
  <c r="L24" i="139" l="1"/>
  <c r="C19" i="189" l="1"/>
  <c r="D19" i="189" s="1"/>
  <c r="N25" i="75"/>
  <c r="K25" i="75"/>
  <c r="L25" i="75" s="1"/>
  <c r="I25" i="75"/>
  <c r="H25" i="75"/>
  <c r="K24" i="75"/>
  <c r="I24" i="75"/>
  <c r="H24" i="75"/>
  <c r="K23" i="75"/>
  <c r="I23" i="75"/>
  <c r="H23" i="75"/>
  <c r="K22" i="75"/>
  <c r="L22" i="75" s="1"/>
  <c r="I22" i="75"/>
  <c r="H22" i="75"/>
  <c r="K21" i="75"/>
  <c r="I21" i="75"/>
  <c r="H21" i="75"/>
  <c r="K20" i="75"/>
  <c r="I20" i="75"/>
  <c r="H20" i="75"/>
  <c r="K19" i="75"/>
  <c r="L19" i="75" s="1"/>
  <c r="I19" i="75"/>
  <c r="H19" i="75"/>
  <c r="D25" i="75"/>
  <c r="D24" i="75"/>
  <c r="D23" i="75"/>
  <c r="D22" i="75"/>
  <c r="D21" i="75"/>
  <c r="D20" i="75"/>
  <c r="D19" i="75"/>
  <c r="N18" i="146"/>
  <c r="H19" i="189" l="1"/>
  <c r="I19" i="189"/>
  <c r="K19" i="189"/>
  <c r="L24" i="75"/>
  <c r="L23" i="75"/>
  <c r="O25" i="75"/>
  <c r="P25" i="75" s="1"/>
  <c r="L21" i="75"/>
  <c r="L20" i="75"/>
  <c r="L19" i="189" l="1"/>
  <c r="K50" i="96" l="1"/>
  <c r="I50" i="96"/>
  <c r="H50" i="96"/>
  <c r="D50" i="96"/>
  <c r="K51" i="96"/>
  <c r="I51" i="96"/>
  <c r="H51" i="96"/>
  <c r="D51" i="96"/>
  <c r="C20" i="99" l="1"/>
  <c r="D20" i="99" s="1"/>
  <c r="H20" i="99" l="1"/>
  <c r="I20" i="99"/>
  <c r="K20" i="99"/>
  <c r="L20" i="99" l="1"/>
  <c r="D24" i="136" l="1"/>
  <c r="F11" i="81" l="1"/>
  <c r="K19" i="81" l="1"/>
  <c r="L19" i="81" s="1"/>
  <c r="I19" i="81"/>
  <c r="H19" i="81"/>
  <c r="D19" i="81"/>
  <c r="D22" i="136" l="1"/>
  <c r="D21" i="136"/>
  <c r="K23" i="215" l="1"/>
  <c r="L23" i="215" s="1"/>
  <c r="I23" i="215"/>
  <c r="H23" i="215"/>
  <c r="D23" i="215"/>
  <c r="C20" i="40" l="1"/>
  <c r="D20" i="40" s="1"/>
  <c r="C19" i="40"/>
  <c r="D19" i="40" s="1"/>
  <c r="H20" i="40" l="1"/>
  <c r="K20" i="40"/>
  <c r="I20" i="40"/>
  <c r="K19" i="40"/>
  <c r="H19" i="40"/>
  <c r="I19" i="40"/>
  <c r="L20" i="40" l="1"/>
  <c r="L19" i="40"/>
  <c r="N18" i="36" l="1"/>
  <c r="I19" i="136" l="1"/>
  <c r="H19" i="136"/>
  <c r="D19" i="136"/>
  <c r="N18" i="249" l="1"/>
  <c r="K18" i="249"/>
  <c r="I18" i="249"/>
  <c r="H18" i="249"/>
  <c r="D18" i="249"/>
  <c r="F11" i="249"/>
  <c r="O18" i="249" l="1"/>
  <c r="P18" i="249" s="1"/>
  <c r="M33" i="249" s="1"/>
  <c r="L18" i="249"/>
  <c r="L33" i="249" s="1"/>
  <c r="N33" i="249" l="1"/>
  <c r="L34" i="249"/>
  <c r="L35" i="249" s="1"/>
  <c r="K27" i="72"/>
  <c r="I27" i="72"/>
  <c r="H27" i="72"/>
  <c r="D27" i="72"/>
  <c r="K22" i="215"/>
  <c r="I22" i="215"/>
  <c r="H22" i="215"/>
  <c r="D22" i="215"/>
  <c r="L36" i="249" l="1"/>
  <c r="L37" i="249" s="1"/>
  <c r="L27" i="72"/>
  <c r="L22" i="215"/>
  <c r="N18" i="248"/>
  <c r="K18" i="248"/>
  <c r="I18" i="248"/>
  <c r="H18" i="248"/>
  <c r="D18" i="248"/>
  <c r="F11" i="248"/>
  <c r="N18" i="247"/>
  <c r="K18" i="247"/>
  <c r="I18" i="247"/>
  <c r="H18" i="247"/>
  <c r="D18" i="247"/>
  <c r="F11" i="247"/>
  <c r="N23" i="54"/>
  <c r="K23" i="54"/>
  <c r="I23" i="54"/>
  <c r="H23" i="54"/>
  <c r="N22" i="54"/>
  <c r="K22" i="54"/>
  <c r="I22" i="54"/>
  <c r="H22" i="54"/>
  <c r="D23" i="54"/>
  <c r="D22" i="54"/>
  <c r="O22" i="54" l="1"/>
  <c r="P22" i="54" s="1"/>
  <c r="O18" i="248"/>
  <c r="P18" i="248" s="1"/>
  <c r="M32" i="248" s="1"/>
  <c r="O23" i="54"/>
  <c r="P23" i="54" s="1"/>
  <c r="O18" i="247"/>
  <c r="P18" i="247" s="1"/>
  <c r="M32" i="247" s="1"/>
  <c r="L18" i="248"/>
  <c r="L32" i="248" s="1"/>
  <c r="L18" i="247"/>
  <c r="L32" i="247" s="1"/>
  <c r="L23" i="54"/>
  <c r="L22" i="54"/>
  <c r="N32" i="247" l="1"/>
  <c r="N32" i="248"/>
  <c r="L33" i="248"/>
  <c r="L34" i="248" s="1"/>
  <c r="L33" i="247"/>
  <c r="L34" i="247" s="1"/>
  <c r="N18" i="246"/>
  <c r="K18" i="246"/>
  <c r="I18" i="246"/>
  <c r="H18" i="246"/>
  <c r="D18" i="246"/>
  <c r="F11" i="246"/>
  <c r="K20" i="64"/>
  <c r="L20" i="64" s="1"/>
  <c r="I20" i="64"/>
  <c r="H20" i="64"/>
  <c r="D20" i="64"/>
  <c r="C20" i="61"/>
  <c r="D20" i="61" s="1"/>
  <c r="C19" i="61"/>
  <c r="D19" i="61" s="1"/>
  <c r="K19" i="54"/>
  <c r="I19" i="93"/>
  <c r="H19" i="93"/>
  <c r="I18" i="93"/>
  <c r="H18" i="93"/>
  <c r="K19" i="93"/>
  <c r="L19" i="93" s="1"/>
  <c r="H18" i="245"/>
  <c r="L35" i="248" l="1"/>
  <c r="L36" i="248" s="1"/>
  <c r="L35" i="247"/>
  <c r="L36" i="247" s="1"/>
  <c r="O18" i="246"/>
  <c r="P18" i="246" s="1"/>
  <c r="M32" i="246" s="1"/>
  <c r="L18" i="246"/>
  <c r="I20" i="61"/>
  <c r="K20" i="61"/>
  <c r="L20" i="61" s="1"/>
  <c r="H20" i="61"/>
  <c r="H19" i="61"/>
  <c r="I19" i="61"/>
  <c r="K19" i="61"/>
  <c r="L19" i="61" s="1"/>
  <c r="L32" i="246" l="1"/>
  <c r="L33" i="246" l="1"/>
  <c r="L34" i="246" s="1"/>
  <c r="N32" i="246"/>
  <c r="L35" i="246" l="1"/>
  <c r="L36" i="246" s="1"/>
  <c r="N18" i="121" l="1"/>
  <c r="I22" i="136" l="1"/>
  <c r="H22" i="136"/>
  <c r="I21" i="136"/>
  <c r="H21" i="136"/>
  <c r="K23" i="139"/>
  <c r="I23" i="139"/>
  <c r="H23" i="139"/>
  <c r="D23" i="139"/>
  <c r="I22" i="139"/>
  <c r="H22" i="139"/>
  <c r="D22" i="139"/>
  <c r="I21" i="139"/>
  <c r="H21" i="139"/>
  <c r="D21" i="139"/>
  <c r="L23" i="139" l="1"/>
  <c r="L22" i="139"/>
  <c r="C19" i="99"/>
  <c r="I19" i="99" s="1"/>
  <c r="H19" i="99" l="1"/>
  <c r="D19" i="99"/>
  <c r="K19" i="99"/>
  <c r="L19" i="99" l="1"/>
  <c r="N18" i="245" l="1"/>
  <c r="G18" i="245"/>
  <c r="L18" i="245" s="1"/>
  <c r="L27" i="245" s="1"/>
  <c r="D18" i="245"/>
  <c r="F11" i="245"/>
  <c r="O18" i="245" l="1"/>
  <c r="P18" i="245" s="1"/>
  <c r="M27" i="245" s="1"/>
  <c r="N27" i="245" s="1"/>
  <c r="L28" i="245"/>
  <c r="L29" i="245" s="1"/>
  <c r="L30" i="245" l="1"/>
  <c r="L31" i="245" s="1"/>
  <c r="N18" i="244" l="1"/>
  <c r="K18" i="244"/>
  <c r="I18" i="244"/>
  <c r="H18" i="244"/>
  <c r="D18" i="244"/>
  <c r="O18" i="244" l="1"/>
  <c r="P18" i="244" s="1"/>
  <c r="L18" i="244"/>
  <c r="N21" i="54" l="1"/>
  <c r="K21" i="54"/>
  <c r="I21" i="54"/>
  <c r="H21" i="54"/>
  <c r="D21" i="54"/>
  <c r="O21" i="54" l="1"/>
  <c r="P21" i="54" s="1"/>
  <c r="L21" i="54"/>
  <c r="I24" i="136" l="1"/>
  <c r="K18" i="169" l="1"/>
  <c r="I18" i="169"/>
  <c r="H18" i="169"/>
  <c r="H24" i="136"/>
  <c r="I18" i="136"/>
  <c r="H18" i="136"/>
  <c r="L18" i="169" l="1"/>
  <c r="K19" i="69" l="1"/>
  <c r="I19" i="69"/>
  <c r="H19" i="69"/>
  <c r="D19" i="69"/>
  <c r="K19" i="72"/>
  <c r="I19" i="72"/>
  <c r="H19" i="72"/>
  <c r="D19" i="72"/>
  <c r="N18" i="72"/>
  <c r="K18" i="72"/>
  <c r="I18" i="72"/>
  <c r="H18" i="72"/>
  <c r="D18" i="72"/>
  <c r="L19" i="69" l="1"/>
  <c r="O18" i="72"/>
  <c r="P18" i="72" s="1"/>
  <c r="L19" i="72"/>
  <c r="L18" i="72"/>
  <c r="N18" i="119" l="1"/>
  <c r="N18" i="106"/>
  <c r="N18" i="176"/>
  <c r="DA75" i="7" l="1"/>
  <c r="H75" i="7"/>
  <c r="DA294" i="7"/>
  <c r="DA295" i="7"/>
  <c r="N18" i="181" l="1"/>
  <c r="O18" i="181" s="1"/>
  <c r="P18" i="181" s="1"/>
  <c r="M31" i="181" s="1"/>
  <c r="I22" i="72" l="1"/>
  <c r="H22" i="72"/>
  <c r="D22" i="72"/>
  <c r="D18" i="238"/>
  <c r="N18" i="75" l="1"/>
  <c r="N22" i="208"/>
  <c r="N18" i="208"/>
  <c r="K18" i="52" l="1"/>
  <c r="C18" i="40"/>
  <c r="H18" i="40" s="1"/>
  <c r="K19" i="120"/>
  <c r="I19" i="120"/>
  <c r="H19" i="120"/>
  <c r="D19" i="120"/>
  <c r="K20" i="54"/>
  <c r="I20" i="54"/>
  <c r="H20" i="54"/>
  <c r="D20" i="54"/>
  <c r="I19" i="54"/>
  <c r="H19" i="54"/>
  <c r="D19" i="54"/>
  <c r="I18" i="40" l="1"/>
  <c r="K18" i="40"/>
  <c r="L18" i="40" s="1"/>
  <c r="D18" i="40"/>
  <c r="L19" i="120"/>
  <c r="L20" i="54"/>
  <c r="L19" i="54"/>
  <c r="N18" i="97" l="1"/>
  <c r="DA267" i="7" l="1"/>
  <c r="N27" i="42" s="1"/>
  <c r="O27" i="42" s="1"/>
  <c r="P27" i="42" s="1"/>
  <c r="I20" i="139"/>
  <c r="H20" i="139"/>
  <c r="D20" i="139"/>
  <c r="N27" i="44" l="1"/>
  <c r="O27" i="44" s="1"/>
  <c r="P27" i="44" s="1"/>
  <c r="N30" i="94"/>
  <c r="O30" i="94" s="1"/>
  <c r="P30" i="94" s="1"/>
  <c r="N29" i="60"/>
  <c r="O29" i="60" s="1"/>
  <c r="P29" i="60" s="1"/>
  <c r="N26" i="87"/>
  <c r="O26" i="87" s="1"/>
  <c r="P26" i="87" s="1"/>
  <c r="N26" i="99"/>
  <c r="O26" i="99" s="1"/>
  <c r="P26" i="99" s="1"/>
  <c r="N24" i="83"/>
  <c r="N27" i="94"/>
  <c r="O27" i="94" s="1"/>
  <c r="P27" i="94" s="1"/>
  <c r="N29" i="87"/>
  <c r="O29" i="87" s="1"/>
  <c r="P29" i="87" s="1"/>
  <c r="N26" i="94"/>
  <c r="O26" i="94" s="1"/>
  <c r="P26" i="94" s="1"/>
  <c r="N30" i="71"/>
  <c r="O30" i="71" s="1"/>
  <c r="P30" i="71" s="1"/>
  <c r="N22" i="51"/>
  <c r="O22" i="51" s="1"/>
  <c r="P22" i="51" s="1"/>
  <c r="N25" i="60"/>
  <c r="O25" i="60" s="1"/>
  <c r="P25" i="60" s="1"/>
  <c r="N23" i="78"/>
  <c r="O23" i="78" s="1"/>
  <c r="P23" i="78" s="1"/>
  <c r="N30" i="44"/>
  <c r="O30" i="44" s="1"/>
  <c r="P30" i="44" s="1"/>
  <c r="N24" i="75"/>
  <c r="O24" i="75" s="1"/>
  <c r="P24" i="75" s="1"/>
  <c r="N28" i="44"/>
  <c r="O28" i="44" s="1"/>
  <c r="P28" i="44" s="1"/>
  <c r="N25" i="259"/>
  <c r="O25" i="259" s="1"/>
  <c r="P25" i="259" s="1"/>
  <c r="N22" i="142"/>
  <c r="O22" i="142" s="1"/>
  <c r="P22" i="142" s="1"/>
  <c r="N18" i="169"/>
  <c r="O18" i="169" s="1"/>
  <c r="P18" i="169" s="1"/>
  <c r="M35" i="169" s="1"/>
  <c r="N19" i="150"/>
  <c r="N18" i="150"/>
  <c r="F11" i="244"/>
  <c r="N18" i="77"/>
  <c r="DA319" i="7"/>
  <c r="L27" i="244" l="1"/>
  <c r="M27" i="244" l="1"/>
  <c r="N27" i="244" s="1"/>
  <c r="L28" i="244"/>
  <c r="L29" i="244" s="1"/>
  <c r="N18" i="101"/>
  <c r="I26" i="72"/>
  <c r="H26" i="72"/>
  <c r="D26" i="72"/>
  <c r="L30" i="244" l="1"/>
  <c r="L31" i="244" s="1"/>
  <c r="N18" i="70" l="1"/>
  <c r="S12" i="117"/>
  <c r="T12" i="117" s="1"/>
  <c r="S13" i="117"/>
  <c r="T13" i="117" s="1"/>
  <c r="N18" i="116"/>
  <c r="N18" i="42"/>
  <c r="T15" i="117" l="1"/>
  <c r="U15" i="117" s="1"/>
  <c r="V15" i="117" s="1"/>
  <c r="W15" i="117" s="1"/>
  <c r="DA225" i="7" l="1"/>
  <c r="N25" i="219" s="1"/>
  <c r="O25" i="219" s="1"/>
  <c r="P25" i="219" s="1"/>
  <c r="DA224" i="7"/>
  <c r="DA9" i="7"/>
  <c r="DA92" i="7"/>
  <c r="N19" i="41"/>
  <c r="N18" i="41"/>
  <c r="N20" i="259" l="1"/>
  <c r="O20" i="259" s="1"/>
  <c r="P20" i="259" s="1"/>
  <c r="N18" i="64"/>
  <c r="N20" i="131"/>
  <c r="N21" i="98"/>
  <c r="N18" i="98"/>
  <c r="N18" i="187"/>
  <c r="N26" i="46"/>
  <c r="N25" i="46"/>
  <c r="N24" i="46"/>
  <c r="N23" i="46"/>
  <c r="N20" i="46"/>
  <c r="N19" i="45"/>
  <c r="N18" i="45"/>
  <c r="N21" i="222"/>
  <c r="N18" i="222"/>
  <c r="N18" i="104"/>
  <c r="N18" i="219"/>
  <c r="N20" i="166"/>
  <c r="N18" i="230"/>
  <c r="O18" i="227"/>
  <c r="P18" i="227" s="1"/>
  <c r="N18" i="83"/>
  <c r="N18" i="94"/>
  <c r="N18" i="228"/>
  <c r="N18" i="139"/>
  <c r="N18" i="234"/>
  <c r="O18" i="234" s="1"/>
  <c r="P18" i="234" s="1"/>
  <c r="DA283" i="7"/>
  <c r="DA281" i="7"/>
  <c r="N37" i="124" s="1"/>
  <c r="O37" i="124" s="1"/>
  <c r="P37" i="124" s="1"/>
  <c r="N18" i="240"/>
  <c r="DA367" i="7"/>
  <c r="DA380" i="7" l="1"/>
  <c r="DA379" i="7"/>
  <c r="N45" i="124" s="1"/>
  <c r="O45" i="124" s="1"/>
  <c r="P45" i="124" s="1"/>
  <c r="DA376" i="7"/>
  <c r="DA360" i="7"/>
  <c r="N33" i="52" s="1"/>
  <c r="O33" i="52" s="1"/>
  <c r="P33" i="52" s="1"/>
  <c r="DA352" i="7"/>
  <c r="DA347" i="7"/>
  <c r="DA343" i="7"/>
  <c r="DA344" i="7" s="1"/>
  <c r="DA342" i="7"/>
  <c r="DA336" i="7"/>
  <c r="DA333" i="7"/>
  <c r="DA332" i="7"/>
  <c r="N23" i="43" s="1"/>
  <c r="O23" i="43" s="1"/>
  <c r="P23" i="43" s="1"/>
  <c r="DA279" i="7"/>
  <c r="DA277" i="7"/>
  <c r="DA271" i="7"/>
  <c r="DA270" i="7"/>
  <c r="DA116" i="7"/>
  <c r="DA109" i="7"/>
  <c r="DA103" i="7"/>
  <c r="DA104" i="7" s="1"/>
  <c r="DA102" i="7"/>
  <c r="DA101" i="7"/>
  <c r="N24" i="124" s="1"/>
  <c r="O24" i="124" s="1"/>
  <c r="P24" i="124" s="1"/>
  <c r="DA91" i="7"/>
  <c r="DA90" i="7"/>
  <c r="DA82" i="7"/>
  <c r="DA79" i="7"/>
  <c r="DA78" i="7"/>
  <c r="DA62" i="7"/>
  <c r="DA285" i="7"/>
  <c r="DA289" i="7"/>
  <c r="DA287" i="7"/>
  <c r="DA356" i="7"/>
  <c r="DA256" i="7"/>
  <c r="N25" i="99" s="1"/>
  <c r="O25" i="99" s="1"/>
  <c r="P25" i="99" s="1"/>
  <c r="DA266" i="7"/>
  <c r="N26" i="44" s="1"/>
  <c r="O26" i="44" s="1"/>
  <c r="P26" i="44" s="1"/>
  <c r="DA264" i="7"/>
  <c r="DA262" i="7"/>
  <c r="N18" i="277" s="1"/>
  <c r="O18" i="277" s="1"/>
  <c r="P18" i="277" s="1"/>
  <c r="M37" i="277" s="1"/>
  <c r="N37" i="277" s="1"/>
  <c r="DA260" i="7"/>
  <c r="DA258" i="7"/>
  <c r="DA302" i="7"/>
  <c r="DA230" i="7"/>
  <c r="N28" i="96" s="1"/>
  <c r="O28" i="96" s="1"/>
  <c r="P28" i="96" s="1"/>
  <c r="DA229" i="7"/>
  <c r="DA112" i="7"/>
  <c r="M37" i="275" s="1"/>
  <c r="N37" i="275" s="1"/>
  <c r="DA220" i="7"/>
  <c r="N20" i="69" s="1"/>
  <c r="O20" i="69" s="1"/>
  <c r="P20" i="69" s="1"/>
  <c r="DA217" i="7"/>
  <c r="DA215" i="7"/>
  <c r="N33" i="124" s="1"/>
  <c r="O33" i="124" s="1"/>
  <c r="P33" i="124" s="1"/>
  <c r="DA212" i="7"/>
  <c r="DA204" i="7"/>
  <c r="N18" i="259" s="1"/>
  <c r="O18" i="259" s="1"/>
  <c r="P18" i="259" s="1"/>
  <c r="DA202" i="7"/>
  <c r="N22" i="75"/>
  <c r="O22" i="75" s="1"/>
  <c r="P22" i="75" s="1"/>
  <c r="N20" i="208"/>
  <c r="DA139" i="7"/>
  <c r="N23" i="83" s="1"/>
  <c r="O23" i="83" s="1"/>
  <c r="P23" i="83" s="1"/>
  <c r="DA138" i="7"/>
  <c r="DA7" i="7"/>
  <c r="DA8" i="7" s="1"/>
  <c r="N18" i="215" s="1"/>
  <c r="N25" i="124" l="1"/>
  <c r="O25" i="124" s="1"/>
  <c r="P25" i="124" s="1"/>
  <c r="N27" i="270"/>
  <c r="O27" i="270" s="1"/>
  <c r="P27" i="270" s="1"/>
  <c r="N22" i="83"/>
  <c r="O22" i="83" s="1"/>
  <c r="P22" i="83" s="1"/>
  <c r="N22" i="52"/>
  <c r="O22" i="52" s="1"/>
  <c r="P22" i="52" s="1"/>
  <c r="N26" i="124"/>
  <c r="O26" i="124" s="1"/>
  <c r="P26" i="124" s="1"/>
  <c r="N23" i="52"/>
  <c r="O23" i="52" s="1"/>
  <c r="P23" i="52" s="1"/>
  <c r="N34" i="124"/>
  <c r="O34" i="124" s="1"/>
  <c r="P34" i="124" s="1"/>
  <c r="N34" i="42"/>
  <c r="O34" i="42" s="1"/>
  <c r="P34" i="42" s="1"/>
  <c r="N43" i="124"/>
  <c r="O43" i="124" s="1"/>
  <c r="P43" i="124" s="1"/>
  <c r="N26" i="42"/>
  <c r="O26" i="42" s="1"/>
  <c r="P26" i="42" s="1"/>
  <c r="N35" i="124"/>
  <c r="O35" i="124" s="1"/>
  <c r="P35" i="124" s="1"/>
  <c r="N30" i="60"/>
  <c r="O30" i="60" s="1"/>
  <c r="P30" i="60" s="1"/>
  <c r="N21" i="40"/>
  <c r="O21" i="40" s="1"/>
  <c r="P21" i="40" s="1"/>
  <c r="N26" i="96"/>
  <c r="O26" i="96" s="1"/>
  <c r="P26" i="96" s="1"/>
  <c r="N39" i="71"/>
  <c r="O39" i="71" s="1"/>
  <c r="P39" i="71" s="1"/>
  <c r="N27" i="52"/>
  <c r="O27" i="52" s="1"/>
  <c r="P27" i="52" s="1"/>
  <c r="N21" i="77"/>
  <c r="O21" i="77" s="1"/>
  <c r="P21" i="77" s="1"/>
  <c r="N42" i="71"/>
  <c r="O42" i="71" s="1"/>
  <c r="P42" i="71" s="1"/>
  <c r="N38" i="94"/>
  <c r="O38" i="94" s="1"/>
  <c r="P38" i="94" s="1"/>
  <c r="N20" i="78"/>
  <c r="O20" i="78" s="1"/>
  <c r="P20" i="78" s="1"/>
  <c r="N21" i="52"/>
  <c r="O21" i="52" s="1"/>
  <c r="P21" i="52" s="1"/>
  <c r="M37" i="273"/>
  <c r="N37" i="273" s="1"/>
  <c r="N19" i="274"/>
  <c r="O19" i="274" s="1"/>
  <c r="P19" i="274" s="1"/>
  <c r="M37" i="274" s="1"/>
  <c r="N37" i="274" s="1"/>
  <c r="N27" i="96"/>
  <c r="O27" i="96" s="1"/>
  <c r="P27" i="96" s="1"/>
  <c r="N32" i="71"/>
  <c r="O32" i="71" s="1"/>
  <c r="P32" i="71" s="1"/>
  <c r="N30" i="72"/>
  <c r="O30" i="72" s="1"/>
  <c r="P30" i="72" s="1"/>
  <c r="N29" i="96"/>
  <c r="O29" i="96" s="1"/>
  <c r="P29" i="96" s="1"/>
  <c r="N33" i="71"/>
  <c r="O33" i="71" s="1"/>
  <c r="P33" i="71" s="1"/>
  <c r="N21" i="270"/>
  <c r="O21" i="270" s="1"/>
  <c r="P21" i="270" s="1"/>
  <c r="N20" i="83"/>
  <c r="O20" i="83" s="1"/>
  <c r="P20" i="83" s="1"/>
  <c r="N27" i="233"/>
  <c r="O27" i="233" s="1"/>
  <c r="P27" i="233" s="1"/>
  <c r="N31" i="44"/>
  <c r="O31" i="44" s="1"/>
  <c r="P31" i="44" s="1"/>
  <c r="N20" i="94"/>
  <c r="O20" i="94" s="1"/>
  <c r="P20" i="94" s="1"/>
  <c r="N22" i="40"/>
  <c r="O22" i="40" s="1"/>
  <c r="P22" i="40" s="1"/>
  <c r="N27" i="61"/>
  <c r="O27" i="61" s="1"/>
  <c r="P27" i="61" s="1"/>
  <c r="N26" i="52"/>
  <c r="O26" i="52" s="1"/>
  <c r="P26" i="52" s="1"/>
  <c r="N28" i="219"/>
  <c r="O28" i="219" s="1"/>
  <c r="P28" i="219" s="1"/>
  <c r="N33" i="72"/>
  <c r="O33" i="72" s="1"/>
  <c r="P33" i="72" s="1"/>
  <c r="N24" i="96"/>
  <c r="O24" i="96" s="1"/>
  <c r="P24" i="96" s="1"/>
  <c r="N19" i="88"/>
  <c r="O19" i="88" s="1"/>
  <c r="P19" i="88" s="1"/>
  <c r="N21" i="99"/>
  <c r="O21" i="99" s="1"/>
  <c r="P21" i="99" s="1"/>
  <c r="N25" i="44"/>
  <c r="O25" i="44" s="1"/>
  <c r="P25" i="44" s="1"/>
  <c r="N25" i="83"/>
  <c r="O25" i="83" s="1"/>
  <c r="P25" i="83" s="1"/>
  <c r="N18" i="78"/>
  <c r="N19" i="44"/>
  <c r="O19" i="44" s="1"/>
  <c r="P19" i="44" s="1"/>
  <c r="N26" i="139"/>
  <c r="M37" i="268"/>
  <c r="N37" i="268" s="1"/>
  <c r="N19" i="269"/>
  <c r="O19" i="269" s="1"/>
  <c r="P19" i="269" s="1"/>
  <c r="M37" i="269" s="1"/>
  <c r="N37" i="269" s="1"/>
  <c r="N23" i="136"/>
  <c r="N23" i="61"/>
  <c r="O23" i="61" s="1"/>
  <c r="P23" i="61" s="1"/>
  <c r="N24" i="94"/>
  <c r="O24" i="94" s="1"/>
  <c r="P24" i="94" s="1"/>
  <c r="N21" i="96"/>
  <c r="O21" i="96" s="1"/>
  <c r="P21" i="96" s="1"/>
  <c r="N23" i="219"/>
  <c r="O23" i="219" s="1"/>
  <c r="P23" i="219" s="1"/>
  <c r="N22" i="96"/>
  <c r="O22" i="96" s="1"/>
  <c r="P22" i="96" s="1"/>
  <c r="N31" i="71"/>
  <c r="O31" i="71" s="1"/>
  <c r="P31" i="71" s="1"/>
  <c r="N31" i="72"/>
  <c r="O31" i="72" s="1"/>
  <c r="P31" i="72" s="1"/>
  <c r="N32" i="72"/>
  <c r="O32" i="72" s="1"/>
  <c r="P32" i="72" s="1"/>
  <c r="N19" i="96"/>
  <c r="O19" i="96" s="1"/>
  <c r="P19" i="96" s="1"/>
  <c r="N22" i="219"/>
  <c r="O22" i="219" s="1"/>
  <c r="P22" i="219" s="1"/>
  <c r="N28" i="71"/>
  <c r="O28" i="71" s="1"/>
  <c r="P28" i="71" s="1"/>
  <c r="N29" i="71"/>
  <c r="O29" i="71" s="1"/>
  <c r="P29" i="71" s="1"/>
  <c r="N20" i="67"/>
  <c r="O20" i="67" s="1"/>
  <c r="P20" i="67" s="1"/>
  <c r="N19" i="42"/>
  <c r="N20" i="77"/>
  <c r="O20" i="77" s="1"/>
  <c r="P20" i="77" s="1"/>
  <c r="N29" i="75"/>
  <c r="O29" i="75" s="1"/>
  <c r="P29" i="75" s="1"/>
  <c r="N24" i="219"/>
  <c r="O24" i="219" s="1"/>
  <c r="P24" i="219" s="1"/>
  <c r="N21" i="83"/>
  <c r="O21" i="83" s="1"/>
  <c r="P21" i="83" s="1"/>
  <c r="N20" i="87"/>
  <c r="O20" i="87" s="1"/>
  <c r="P20" i="87" s="1"/>
  <c r="N21" i="44"/>
  <c r="O21" i="44" s="1"/>
  <c r="P21" i="44" s="1"/>
  <c r="N25" i="61"/>
  <c r="O25" i="61" s="1"/>
  <c r="P25" i="61" s="1"/>
  <c r="N19" i="78"/>
  <c r="O19" i="78" s="1"/>
  <c r="P19" i="78" s="1"/>
  <c r="N22" i="94"/>
  <c r="O22" i="94" s="1"/>
  <c r="P22" i="94" s="1"/>
  <c r="N18" i="88"/>
  <c r="O18" i="88" s="1"/>
  <c r="P18" i="88" s="1"/>
  <c r="N19" i="87"/>
  <c r="O19" i="87" s="1"/>
  <c r="P19" i="87" s="1"/>
  <c r="N19" i="89"/>
  <c r="O19" i="89" s="1"/>
  <c r="P19" i="89" s="1"/>
  <c r="N21" i="71"/>
  <c r="O21" i="71" s="1"/>
  <c r="P21" i="71" s="1"/>
  <c r="N23" i="94"/>
  <c r="O23" i="94" s="1"/>
  <c r="P23" i="94" s="1"/>
  <c r="N21" i="94"/>
  <c r="O21" i="94" s="1"/>
  <c r="P21" i="94" s="1"/>
  <c r="N20" i="44"/>
  <c r="N24" i="61"/>
  <c r="O24" i="61" s="1"/>
  <c r="P24" i="61" s="1"/>
  <c r="N25" i="42"/>
  <c r="O25" i="42" s="1"/>
  <c r="P25" i="42" s="1"/>
  <c r="N18" i="87"/>
  <c r="O18" i="87" s="1"/>
  <c r="P18" i="87" s="1"/>
  <c r="N18" i="90"/>
  <c r="N19" i="90"/>
  <c r="O19" i="90" s="1"/>
  <c r="P19" i="90" s="1"/>
  <c r="N24" i="259"/>
  <c r="O24" i="259" s="1"/>
  <c r="P24" i="259" s="1"/>
  <c r="N23" i="42"/>
  <c r="O23" i="42" s="1"/>
  <c r="P23" i="42" s="1"/>
  <c r="N26" i="71"/>
  <c r="O26" i="71" s="1"/>
  <c r="P26" i="71" s="1"/>
  <c r="N35" i="259"/>
  <c r="O35" i="259" s="1"/>
  <c r="P35" i="259" s="1"/>
  <c r="N21" i="97"/>
  <c r="O21" i="97" s="1"/>
  <c r="P21" i="97" s="1"/>
  <c r="N22" i="259"/>
  <c r="O22" i="259" s="1"/>
  <c r="P22" i="259" s="1"/>
  <c r="N29" i="72"/>
  <c r="O29" i="72" s="1"/>
  <c r="P29" i="72" s="1"/>
  <c r="N20" i="42"/>
  <c r="O20" i="42" s="1"/>
  <c r="P20" i="42" s="1"/>
  <c r="N18" i="185"/>
  <c r="N26" i="75"/>
  <c r="O26" i="75" s="1"/>
  <c r="P26" i="75" s="1"/>
  <c r="N23" i="259"/>
  <c r="O23" i="259" s="1"/>
  <c r="P23" i="259" s="1"/>
  <c r="N23" i="71"/>
  <c r="O23" i="71" s="1"/>
  <c r="P23" i="71" s="1"/>
  <c r="N22" i="97"/>
  <c r="O22" i="97" s="1"/>
  <c r="P22" i="97" s="1"/>
  <c r="N25" i="71"/>
  <c r="O25" i="71" s="1"/>
  <c r="P25" i="71" s="1"/>
  <c r="N20" i="136"/>
  <c r="N19" i="60"/>
  <c r="O19" i="60" s="1"/>
  <c r="P19" i="60" s="1"/>
  <c r="N21" i="120"/>
  <c r="O21" i="120" s="1"/>
  <c r="P21" i="120" s="1"/>
  <c r="N21" i="43"/>
  <c r="O21" i="43" s="1"/>
  <c r="P21" i="43" s="1"/>
  <c r="N24" i="71"/>
  <c r="O24" i="71" s="1"/>
  <c r="P24" i="71" s="1"/>
  <c r="N18" i="96"/>
  <c r="N28" i="72"/>
  <c r="O28" i="72" s="1"/>
  <c r="P28" i="72" s="1"/>
  <c r="N20" i="93"/>
  <c r="O20" i="93" s="1"/>
  <c r="P20" i="93" s="1"/>
  <c r="N20" i="142"/>
  <c r="N23" i="139"/>
  <c r="O23" i="139" s="1"/>
  <c r="P23" i="139" s="1"/>
  <c r="N19" i="67"/>
  <c r="O19" i="67" s="1"/>
  <c r="P19" i="67" s="1"/>
  <c r="N27" i="75"/>
  <c r="O27" i="75" s="1"/>
  <c r="P27" i="75" s="1"/>
  <c r="N24" i="142"/>
  <c r="O24" i="142" s="1"/>
  <c r="P24" i="142" s="1"/>
  <c r="N22" i="71"/>
  <c r="O22" i="71" s="1"/>
  <c r="P22" i="71" s="1"/>
  <c r="N19" i="139"/>
  <c r="N19" i="209"/>
  <c r="N22" i="61"/>
  <c r="O22" i="61" s="1"/>
  <c r="P22" i="61" s="1"/>
  <c r="N23" i="75"/>
  <c r="O23" i="75" s="1"/>
  <c r="P23" i="75" s="1"/>
  <c r="N27" i="71"/>
  <c r="O27" i="71" s="1"/>
  <c r="P27" i="71" s="1"/>
  <c r="N22" i="99"/>
  <c r="O22" i="99" s="1"/>
  <c r="P22" i="99" s="1"/>
  <c r="N19" i="189"/>
  <c r="O19" i="189" s="1"/>
  <c r="P19" i="189" s="1"/>
  <c r="N23" i="99"/>
  <c r="O23" i="99" s="1"/>
  <c r="P23" i="99" s="1"/>
  <c r="N19" i="83"/>
  <c r="O19" i="83" s="1"/>
  <c r="P19" i="83" s="1"/>
  <c r="N19" i="75"/>
  <c r="O19" i="75" s="1"/>
  <c r="P19" i="75" s="1"/>
  <c r="N21" i="75"/>
  <c r="O21" i="75" s="1"/>
  <c r="P21" i="75" s="1"/>
  <c r="N21" i="61"/>
  <c r="O21" i="61" s="1"/>
  <c r="P21" i="61" s="1"/>
  <c r="N18" i="184"/>
  <c r="N28" i="75"/>
  <c r="O28" i="75" s="1"/>
  <c r="P28" i="75" s="1"/>
  <c r="N26" i="233"/>
  <c r="O26" i="233" s="1"/>
  <c r="P26" i="233" s="1"/>
  <c r="N18" i="81"/>
  <c r="N18" i="53"/>
  <c r="N18" i="71"/>
  <c r="N18" i="84"/>
  <c r="N19" i="40"/>
  <c r="O19" i="40" s="1"/>
  <c r="P19" i="40" s="1"/>
  <c r="N18" i="51"/>
  <c r="N18" i="67"/>
  <c r="O18" i="67" s="1"/>
  <c r="P18" i="67" s="1"/>
  <c r="N18" i="135"/>
  <c r="O18" i="135" s="1"/>
  <c r="P18" i="135" s="1"/>
  <c r="M32" i="135" s="1"/>
  <c r="N20" i="75"/>
  <c r="O20" i="75" s="1"/>
  <c r="P20" i="75" s="1"/>
  <c r="N21" i="139"/>
  <c r="N19" i="81"/>
  <c r="O19" i="81" s="1"/>
  <c r="P19" i="81" s="1"/>
  <c r="N19" i="51"/>
  <c r="N19" i="142"/>
  <c r="N24" i="139"/>
  <c r="O24" i="139" s="1"/>
  <c r="P24" i="139" s="1"/>
  <c r="N18" i="142"/>
  <c r="N25" i="139"/>
  <c r="N23" i="215"/>
  <c r="O23" i="215" s="1"/>
  <c r="P23" i="215" s="1"/>
  <c r="N20" i="99"/>
  <c r="O20" i="99" s="1"/>
  <c r="P20" i="99" s="1"/>
  <c r="N22" i="139"/>
  <c r="O22" i="139" s="1"/>
  <c r="P22" i="139" s="1"/>
  <c r="N19" i="72"/>
  <c r="O19" i="72" s="1"/>
  <c r="P19" i="72" s="1"/>
  <c r="N18" i="52"/>
  <c r="N19" i="131"/>
  <c r="N19" i="99"/>
  <c r="O19" i="99" s="1"/>
  <c r="P19" i="99" s="1"/>
  <c r="N18" i="43"/>
  <c r="DA221" i="7"/>
  <c r="N19" i="69"/>
  <c r="O19" i="69" s="1"/>
  <c r="P19" i="69" s="1"/>
  <c r="N18" i="93"/>
  <c r="N21" i="136"/>
  <c r="N20" i="64"/>
  <c r="O20" i="64" s="1"/>
  <c r="P20" i="64" s="1"/>
  <c r="N20" i="51"/>
  <c r="N22" i="101"/>
  <c r="N20" i="40"/>
  <c r="O20" i="40" s="1"/>
  <c r="P20" i="40" s="1"/>
  <c r="N27" i="72"/>
  <c r="O27" i="72" s="1"/>
  <c r="P27" i="72" s="1"/>
  <c r="N19" i="93"/>
  <c r="O19" i="93" s="1"/>
  <c r="P19" i="93" s="1"/>
  <c r="N19" i="215"/>
  <c r="N22" i="215"/>
  <c r="O22" i="215" s="1"/>
  <c r="P22" i="215" s="1"/>
  <c r="N18" i="113"/>
  <c r="N18" i="145"/>
  <c r="N18" i="136"/>
  <c r="N18" i="65"/>
  <c r="N19" i="136"/>
  <c r="N20" i="41"/>
  <c r="N20" i="61"/>
  <c r="O20" i="61" s="1"/>
  <c r="P20" i="61" s="1"/>
  <c r="N21" i="101"/>
  <c r="N19" i="61"/>
  <c r="O19" i="61" s="1"/>
  <c r="P19" i="61" s="1"/>
  <c r="N19" i="54"/>
  <c r="O19" i="54" s="1"/>
  <c r="P19" i="54" s="1"/>
  <c r="N25" i="72"/>
  <c r="N20" i="97"/>
  <c r="N22" i="136"/>
  <c r="N22" i="72"/>
  <c r="N20" i="54"/>
  <c r="O20" i="54" s="1"/>
  <c r="P20" i="54" s="1"/>
  <c r="N20" i="43"/>
  <c r="N24" i="136"/>
  <c r="N19" i="43"/>
  <c r="N19" i="208"/>
  <c r="N20" i="184"/>
  <c r="N18" i="40"/>
  <c r="O18" i="40" s="1"/>
  <c r="P18" i="40" s="1"/>
  <c r="N19" i="184"/>
  <c r="N20" i="139"/>
  <c r="N21" i="208"/>
  <c r="N21" i="215"/>
  <c r="N19" i="97"/>
  <c r="N19" i="120"/>
  <c r="O19" i="120" s="1"/>
  <c r="P19" i="120" s="1"/>
  <c r="N18" i="54"/>
  <c r="N18" i="69"/>
  <c r="N18" i="76"/>
  <c r="N18" i="117"/>
  <c r="N26" i="72"/>
  <c r="N18" i="120"/>
  <c r="N19" i="77"/>
  <c r="N18" i="166"/>
  <c r="N18" i="44"/>
  <c r="N20" i="72"/>
  <c r="N23" i="72"/>
  <c r="N19" i="101"/>
  <c r="N24" i="72"/>
  <c r="N20" i="101"/>
  <c r="DA118" i="7"/>
  <c r="DA117" i="7"/>
  <c r="N18" i="236"/>
  <c r="N18" i="238"/>
  <c r="N18" i="239"/>
  <c r="N18" i="242"/>
  <c r="N22" i="46"/>
  <c r="N20" i="98"/>
  <c r="N18" i="46"/>
  <c r="N18" i="226"/>
  <c r="O18" i="226" s="1"/>
  <c r="P18" i="226" s="1"/>
  <c r="M33" i="226" s="1"/>
  <c r="N18" i="86"/>
  <c r="N18" i="111"/>
  <c r="N18" i="50"/>
  <c r="N20" i="222"/>
  <c r="N18" i="85"/>
  <c r="N18" i="131"/>
  <c r="N18" i="217"/>
  <c r="N18" i="214"/>
  <c r="N18" i="209"/>
  <c r="N19" i="234"/>
  <c r="O19" i="234" s="1"/>
  <c r="P19" i="234" s="1"/>
  <c r="M27" i="234" s="1"/>
  <c r="N21" i="46"/>
  <c r="N19" i="222"/>
  <c r="N19" i="98"/>
  <c r="N21" i="72"/>
  <c r="N18" i="49"/>
  <c r="N18" i="224"/>
  <c r="N20" i="120"/>
  <c r="N18" i="204"/>
  <c r="N18" i="66"/>
  <c r="N19" i="64"/>
  <c r="N18" i="216"/>
  <c r="N19" i="46"/>
  <c r="N19" i="166"/>
  <c r="Q42" i="41"/>
  <c r="Q41" i="87"/>
  <c r="Q41" i="88"/>
  <c r="D24" i="72"/>
  <c r="H24" i="72"/>
  <c r="I24" i="72"/>
  <c r="M37" i="270" l="1"/>
  <c r="N37" i="270" s="1"/>
  <c r="M44" i="259"/>
  <c r="N44" i="259" s="1"/>
  <c r="M29" i="40"/>
  <c r="K18" i="242"/>
  <c r="O18" i="242" s="1"/>
  <c r="P18" i="242" s="1"/>
  <c r="A52" i="224"/>
  <c r="B52" i="224"/>
  <c r="L55" i="224"/>
  <c r="L54" i="224"/>
  <c r="L53" i="224"/>
  <c r="O52" i="224" a="1"/>
  <c r="O52" i="224" s="1"/>
  <c r="Q52" i="224" s="1"/>
  <c r="Q50" i="224" s="1"/>
  <c r="K52" i="224"/>
  <c r="L52" i="224" s="1"/>
  <c r="I52" i="224"/>
  <c r="H52" i="224"/>
  <c r="D52" i="224"/>
  <c r="L50" i="224" l="1"/>
  <c r="R50" i="224" s="1"/>
  <c r="O20" i="43"/>
  <c r="P20" i="43" s="1"/>
  <c r="O19" i="43"/>
  <c r="P19" i="43" s="1"/>
  <c r="O18" i="43"/>
  <c r="P18" i="43" s="1"/>
  <c r="D20" i="43"/>
  <c r="D19" i="43"/>
  <c r="D18" i="43"/>
  <c r="L32" i="243" l="1"/>
  <c r="L33" i="243" l="1"/>
  <c r="L34" i="243" s="1"/>
  <c r="L35" i="243" l="1"/>
  <c r="L36" i="243" s="1"/>
  <c r="M32" i="242" l="1"/>
  <c r="L18" i="242"/>
  <c r="I18" i="242"/>
  <c r="H18" i="242"/>
  <c r="D18" i="242"/>
  <c r="F11" i="242"/>
  <c r="L32" i="242" l="1"/>
  <c r="N32" i="242" l="1"/>
  <c r="L33" i="242"/>
  <c r="L34" i="242" s="1"/>
  <c r="L35" i="242" l="1"/>
  <c r="L36" i="242" s="1"/>
  <c r="K18" i="240" l="1"/>
  <c r="O18" i="240" s="1"/>
  <c r="P18" i="240" s="1"/>
  <c r="M27" i="240" s="1"/>
  <c r="H18" i="240"/>
  <c r="F11" i="240"/>
  <c r="I18" i="240" l="1"/>
  <c r="L18" i="240"/>
  <c r="L27" i="240" s="1"/>
  <c r="N27" i="240" s="1"/>
  <c r="D18" i="240"/>
  <c r="L28" i="240" l="1"/>
  <c r="L29" i="240" s="1"/>
  <c r="K21" i="98"/>
  <c r="I21" i="98"/>
  <c r="H21" i="98"/>
  <c r="K20" i="98"/>
  <c r="I20" i="98"/>
  <c r="H20" i="98"/>
  <c r="D21" i="98"/>
  <c r="D20" i="98"/>
  <c r="L21" i="98" l="1"/>
  <c r="O21" i="98"/>
  <c r="P21" i="98" s="1"/>
  <c r="L20" i="98"/>
  <c r="O20" i="98"/>
  <c r="P20" i="98" s="1"/>
  <c r="L30" i="240"/>
  <c r="L31" i="240" s="1"/>
  <c r="I25" i="72" l="1"/>
  <c r="H25" i="72"/>
  <c r="D25" i="72"/>
  <c r="I21" i="72"/>
  <c r="H21" i="72"/>
  <c r="D21" i="72"/>
  <c r="K21" i="215" l="1"/>
  <c r="O21" i="215" s="1"/>
  <c r="P21" i="215" s="1"/>
  <c r="K19" i="215"/>
  <c r="O19" i="215" s="1"/>
  <c r="P19" i="215" s="1"/>
  <c r="K18" i="215"/>
  <c r="O18" i="215" s="1"/>
  <c r="P18" i="215" s="1"/>
  <c r="M36" i="215" l="1"/>
  <c r="K18" i="239"/>
  <c r="O18" i="239" s="1"/>
  <c r="P18" i="239" s="1"/>
  <c r="M32" i="239" s="1"/>
  <c r="I18" i="239"/>
  <c r="H18" i="239"/>
  <c r="F11" i="239"/>
  <c r="L18" i="239" l="1"/>
  <c r="L32" i="239" s="1"/>
  <c r="L33" i="239" s="1"/>
  <c r="L34" i="239" s="1"/>
  <c r="N32" i="239" l="1"/>
  <c r="L35" i="239"/>
  <c r="L36" i="239" s="1"/>
  <c r="C25" i="233"/>
  <c r="D25" i="233" s="1"/>
  <c r="H25" i="233" l="1"/>
  <c r="N25" i="233"/>
  <c r="K25" i="233"/>
  <c r="I25" i="233"/>
  <c r="L25" i="233" l="1"/>
  <c r="O25" i="233"/>
  <c r="P25" i="233" s="1"/>
  <c r="O18" i="52"/>
  <c r="P18" i="52" s="1"/>
  <c r="M43" i="52" s="1"/>
  <c r="H270" i="7"/>
  <c r="M37" i="233" l="1"/>
  <c r="H289" i="7"/>
  <c r="H287" i="7"/>
  <c r="L21" i="215"/>
  <c r="I21" i="215"/>
  <c r="H21" i="215"/>
  <c r="D21" i="215"/>
  <c r="K18" i="238" l="1"/>
  <c r="O18" i="238" s="1"/>
  <c r="P18" i="238" s="1"/>
  <c r="I18" i="238"/>
  <c r="H18" i="238"/>
  <c r="F11" i="238"/>
  <c r="I19" i="41"/>
  <c r="H19" i="41"/>
  <c r="D19" i="41"/>
  <c r="M32" i="238" l="1"/>
  <c r="L18" i="238"/>
  <c r="L32" i="238" l="1"/>
  <c r="L33" i="238" s="1"/>
  <c r="L34" i="238" s="1"/>
  <c r="L35" i="238" s="1"/>
  <c r="L36" i="238" s="1"/>
  <c r="L18" i="52"/>
  <c r="I18" i="52"/>
  <c r="H18" i="52"/>
  <c r="D18" i="52"/>
  <c r="C18" i="237"/>
  <c r="F11" i="237"/>
  <c r="N32" i="238" l="1"/>
  <c r="K18" i="237"/>
  <c r="N18" i="237"/>
  <c r="D18" i="237"/>
  <c r="H18" i="237"/>
  <c r="I18" i="237"/>
  <c r="O18" i="237" l="1"/>
  <c r="P18" i="237" s="1"/>
  <c r="M27" i="237" s="1"/>
  <c r="L18" i="237"/>
  <c r="L27" i="237" s="1"/>
  <c r="N27" i="237" l="1"/>
  <c r="L28" i="237"/>
  <c r="L29" i="237" s="1"/>
  <c r="L30" i="237" s="1"/>
  <c r="L31" i="237" s="1"/>
  <c r="D18" i="49" l="1"/>
  <c r="K18" i="71" l="1"/>
  <c r="I18" i="71"/>
  <c r="H18" i="71"/>
  <c r="D18" i="71"/>
  <c r="L18" i="71" l="1"/>
  <c r="O18" i="71"/>
  <c r="P18" i="71" s="1"/>
  <c r="M47" i="71" s="1"/>
  <c r="L19" i="215"/>
  <c r="I19" i="215"/>
  <c r="M36" i="87" l="1"/>
  <c r="D19" i="77"/>
  <c r="D18" i="77"/>
  <c r="L19" i="234" l="1"/>
  <c r="I19" i="234"/>
  <c r="H19" i="234"/>
  <c r="D19" i="234"/>
  <c r="K18" i="236" l="1"/>
  <c r="O18" i="236" s="1"/>
  <c r="P18" i="236" s="1"/>
  <c r="I18" i="236"/>
  <c r="H18" i="236"/>
  <c r="D18" i="236"/>
  <c r="F11" i="236"/>
  <c r="F11" i="235"/>
  <c r="M30" i="232"/>
  <c r="M32" i="235" l="1"/>
  <c r="M30" i="236"/>
  <c r="L18" i="236"/>
  <c r="D18" i="235"/>
  <c r="L32" i="235" l="1"/>
  <c r="L33" i="235" s="1"/>
  <c r="L34" i="235" s="1"/>
  <c r="L35" i="235" s="1"/>
  <c r="L36" i="235" s="1"/>
  <c r="L30" i="236"/>
  <c r="N30" i="236" s="1"/>
  <c r="L18" i="234"/>
  <c r="F11" i="234"/>
  <c r="I23" i="233"/>
  <c r="H23" i="233"/>
  <c r="D23" i="233"/>
  <c r="N32" i="235" l="1"/>
  <c r="L31" i="236"/>
  <c r="L32" i="236" s="1"/>
  <c r="L33" i="236" s="1"/>
  <c r="L34" i="236" s="1"/>
  <c r="D18" i="234"/>
  <c r="H18" i="234"/>
  <c r="L27" i="234"/>
  <c r="N27" i="234" s="1"/>
  <c r="I18" i="234"/>
  <c r="L29" i="234" l="1"/>
  <c r="L30" i="234" l="1"/>
  <c r="L31" i="234" s="1"/>
  <c r="C21" i="233"/>
  <c r="K21" i="233" s="1"/>
  <c r="C20" i="233"/>
  <c r="H20" i="233" s="1"/>
  <c r="C19" i="233"/>
  <c r="C18" i="233"/>
  <c r="F11" i="233"/>
  <c r="K19" i="64"/>
  <c r="I19" i="64"/>
  <c r="H19" i="64"/>
  <c r="D19" i="64"/>
  <c r="K18" i="233" l="1"/>
  <c r="N18" i="233"/>
  <c r="I19" i="233"/>
  <c r="N19" i="233"/>
  <c r="L19" i="64"/>
  <c r="O19" i="64"/>
  <c r="P19" i="64" s="1"/>
  <c r="K19" i="233"/>
  <c r="K20" i="233"/>
  <c r="L20" i="233" s="1"/>
  <c r="L21" i="233"/>
  <c r="D19" i="233"/>
  <c r="I20" i="233"/>
  <c r="H19" i="233"/>
  <c r="D21" i="233"/>
  <c r="H21" i="233"/>
  <c r="D20" i="233"/>
  <c r="I21" i="233"/>
  <c r="D18" i="233"/>
  <c r="H18" i="233"/>
  <c r="I18" i="233"/>
  <c r="O18" i="233" l="1"/>
  <c r="P18" i="233" s="1"/>
  <c r="L18" i="233"/>
  <c r="L19" i="233"/>
  <c r="O19" i="233"/>
  <c r="P19" i="233" s="1"/>
  <c r="X16" i="213"/>
  <c r="Y16" i="213" s="1"/>
  <c r="AA16" i="213" s="1"/>
  <c r="X15" i="213"/>
  <c r="X12" i="213"/>
  <c r="X11" i="213"/>
  <c r="Y11" i="213" s="1"/>
  <c r="AA11" i="213" s="1"/>
  <c r="X7" i="213"/>
  <c r="Y7" i="213" s="1"/>
  <c r="AA7" i="213" s="1"/>
  <c r="X6" i="213"/>
  <c r="Y6" i="213" s="1"/>
  <c r="AA6" i="213" s="1"/>
  <c r="H356" i="7"/>
  <c r="K19" i="139"/>
  <c r="I19" i="139"/>
  <c r="H19" i="139"/>
  <c r="D19" i="139"/>
  <c r="K25" i="139"/>
  <c r="K19" i="142"/>
  <c r="I19" i="142"/>
  <c r="H19" i="142"/>
  <c r="D19" i="142"/>
  <c r="L25" i="139" l="1"/>
  <c r="O25" i="139"/>
  <c r="P25" i="139" s="1"/>
  <c r="X13" i="213"/>
  <c r="L37" i="233"/>
  <c r="N37" i="233" s="1"/>
  <c r="L19" i="139"/>
  <c r="O19" i="139"/>
  <c r="P19" i="139" s="1"/>
  <c r="L19" i="142"/>
  <c r="O19" i="142"/>
  <c r="P19" i="142" s="1"/>
  <c r="X8" i="213"/>
  <c r="AA8" i="213" s="1"/>
  <c r="X17" i="213"/>
  <c r="Y15" i="213"/>
  <c r="AA15" i="213" s="1"/>
  <c r="Y12" i="213"/>
  <c r="AA12" i="213" s="1"/>
  <c r="K20" i="97"/>
  <c r="I20" i="97"/>
  <c r="H20" i="97"/>
  <c r="D20" i="97"/>
  <c r="K19" i="97"/>
  <c r="I19" i="97"/>
  <c r="H19" i="97"/>
  <c r="D19" i="97"/>
  <c r="AA13" i="213" l="1"/>
  <c r="L20" i="97"/>
  <c r="O20" i="97"/>
  <c r="P20" i="97" s="1"/>
  <c r="L19" i="97"/>
  <c r="O19" i="97"/>
  <c r="P19" i="97" s="1"/>
  <c r="L39" i="233"/>
  <c r="L40" i="233" s="1"/>
  <c r="L41" i="233" s="1"/>
  <c r="AA17" i="213"/>
  <c r="F11" i="232"/>
  <c r="K18" i="113"/>
  <c r="I18" i="113"/>
  <c r="H18" i="113"/>
  <c r="D18" i="113"/>
  <c r="L18" i="113" l="1"/>
  <c r="O18" i="113"/>
  <c r="P18" i="113" s="1"/>
  <c r="L30" i="232"/>
  <c r="I18" i="44"/>
  <c r="H18" i="44"/>
  <c r="L31" i="232" l="1"/>
  <c r="L32" i="232" s="1"/>
  <c r="L33" i="232" s="1"/>
  <c r="L34" i="232" s="1"/>
  <c r="N30" i="232"/>
  <c r="L19" i="164" l="1"/>
  <c r="I19" i="164"/>
  <c r="H19" i="164"/>
  <c r="D19" i="164"/>
  <c r="K18" i="94" l="1"/>
  <c r="I18" i="94"/>
  <c r="D18" i="94"/>
  <c r="K19" i="157"/>
  <c r="L19" i="157" s="1"/>
  <c r="I19" i="157"/>
  <c r="H19" i="157"/>
  <c r="D19" i="157"/>
  <c r="K19" i="180"/>
  <c r="L19" i="180" s="1"/>
  <c r="I19" i="180"/>
  <c r="H19" i="180"/>
  <c r="D19" i="180"/>
  <c r="L18" i="94" l="1"/>
  <c r="O18" i="94"/>
  <c r="P18" i="94" s="1"/>
  <c r="I20" i="41" l="1"/>
  <c r="H20" i="41"/>
  <c r="K18" i="41"/>
  <c r="I18" i="41"/>
  <c r="H18" i="41"/>
  <c r="D20" i="41"/>
  <c r="D18" i="41"/>
  <c r="L18" i="41" l="1"/>
  <c r="O18" i="41"/>
  <c r="P18" i="41" s="1"/>
  <c r="K22" i="101"/>
  <c r="I22" i="101"/>
  <c r="H22" i="101"/>
  <c r="I21" i="101"/>
  <c r="I20" i="101"/>
  <c r="H20" i="101"/>
  <c r="I19" i="101"/>
  <c r="H19" i="101"/>
  <c r="D22" i="101"/>
  <c r="D21" i="101"/>
  <c r="D20" i="101"/>
  <c r="D19" i="101"/>
  <c r="K18" i="228"/>
  <c r="O18" i="228" s="1"/>
  <c r="P18" i="228" s="1"/>
  <c r="L22" i="101" l="1"/>
  <c r="O22" i="101"/>
  <c r="P22" i="101" s="1"/>
  <c r="L21" i="101"/>
  <c r="O21" i="101"/>
  <c r="P21" i="101" s="1"/>
  <c r="L20" i="101"/>
  <c r="O20" i="101"/>
  <c r="P20" i="101" s="1"/>
  <c r="L19" i="101"/>
  <c r="O19" i="101"/>
  <c r="P19" i="101" s="1"/>
  <c r="D19" i="83"/>
  <c r="I23" i="72" l="1"/>
  <c r="H23" i="72"/>
  <c r="I20" i="72"/>
  <c r="H20" i="72"/>
  <c r="D23" i="72"/>
  <c r="D20" i="72"/>
  <c r="H245" i="7" l="1"/>
  <c r="H250" i="7"/>
  <c r="K19" i="217"/>
  <c r="O19" i="217" s="1"/>
  <c r="P19" i="217" s="1"/>
  <c r="I19" i="217"/>
  <c r="H19" i="217"/>
  <c r="K18" i="217"/>
  <c r="I18" i="217"/>
  <c r="H18" i="217"/>
  <c r="D19" i="217"/>
  <c r="D18" i="217"/>
  <c r="H147" i="7"/>
  <c r="H146" i="7"/>
  <c r="H150" i="7" s="1"/>
  <c r="C18" i="99"/>
  <c r="K18" i="204"/>
  <c r="I18" i="204"/>
  <c r="H18" i="204"/>
  <c r="D18" i="204"/>
  <c r="K18" i="99" l="1"/>
  <c r="L18" i="99" s="1"/>
  <c r="L38" i="99" s="1"/>
  <c r="N18" i="99"/>
  <c r="L18" i="217"/>
  <c r="O18" i="217"/>
  <c r="P18" i="217" s="1"/>
  <c r="L18" i="204"/>
  <c r="O18" i="204"/>
  <c r="P18" i="204" s="1"/>
  <c r="L19" i="217"/>
  <c r="H148" i="7"/>
  <c r="H149" i="7"/>
  <c r="D18" i="99"/>
  <c r="H18" i="99"/>
  <c r="I18" i="99"/>
  <c r="L39" i="99" l="1"/>
  <c r="L40" i="99" s="1"/>
  <c r="L34" i="204"/>
  <c r="O18" i="99"/>
  <c r="P18" i="99" s="1"/>
  <c r="L32" i="43"/>
  <c r="M34" i="204"/>
  <c r="M38" i="99" l="1"/>
  <c r="N38" i="99" s="1"/>
  <c r="R32" i="43"/>
  <c r="M32" i="43"/>
  <c r="N32" i="43" s="1"/>
  <c r="L41" i="99"/>
  <c r="L42" i="99" s="1"/>
  <c r="N34" i="204"/>
  <c r="K20" i="184"/>
  <c r="I20" i="184"/>
  <c r="H20" i="184"/>
  <c r="I19" i="184"/>
  <c r="H19" i="184"/>
  <c r="D20" i="184"/>
  <c r="D19" i="184"/>
  <c r="L20" i="184" l="1"/>
  <c r="O20" i="184"/>
  <c r="P20" i="184" s="1"/>
  <c r="K19" i="77"/>
  <c r="I19" i="77"/>
  <c r="H19" i="77"/>
  <c r="L19" i="77" l="1"/>
  <c r="O19" i="77"/>
  <c r="P19" i="77" s="1"/>
  <c r="K18" i="219" l="1"/>
  <c r="I18" i="219"/>
  <c r="H18" i="219"/>
  <c r="L18" i="219" l="1"/>
  <c r="O18" i="219"/>
  <c r="P18" i="219" s="1"/>
  <c r="M36" i="219" l="1"/>
  <c r="K19" i="209"/>
  <c r="I19" i="209"/>
  <c r="H19" i="209"/>
  <c r="D19" i="209"/>
  <c r="L19" i="209" l="1"/>
  <c r="O19" i="209"/>
  <c r="P19" i="209" s="1"/>
  <c r="K18" i="96"/>
  <c r="O18" i="96" s="1"/>
  <c r="P18" i="96" s="1"/>
  <c r="M36" i="96" s="1"/>
  <c r="I18" i="96"/>
  <c r="H18" i="96"/>
  <c r="D18" i="96"/>
  <c r="L18" i="96" l="1"/>
  <c r="K18" i="176"/>
  <c r="O18" i="176" s="1"/>
  <c r="P18" i="176" s="1"/>
  <c r="M31" i="176" s="1"/>
  <c r="H319" i="7"/>
  <c r="K18" i="49" l="1"/>
  <c r="I18" i="49"/>
  <c r="H18" i="49"/>
  <c r="L18" i="49" l="1"/>
  <c r="O18" i="49"/>
  <c r="P18" i="49" s="1"/>
  <c r="C18" i="68"/>
  <c r="N18" i="68" s="1"/>
  <c r="K18" i="230"/>
  <c r="I18" i="230"/>
  <c r="H18" i="230"/>
  <c r="D18" i="230"/>
  <c r="F11" i="230"/>
  <c r="L18" i="230" l="1"/>
  <c r="L29" i="230" s="1"/>
  <c r="L30" i="230" s="1"/>
  <c r="L31" i="230" s="1"/>
  <c r="O18" i="230"/>
  <c r="P18" i="230" s="1"/>
  <c r="M29" i="230" s="1"/>
  <c r="D18" i="68"/>
  <c r="I18" i="68"/>
  <c r="K18" i="68"/>
  <c r="O18" i="68" s="1"/>
  <c r="P18" i="68" s="1"/>
  <c r="N29" i="230" l="1"/>
  <c r="L18" i="68"/>
  <c r="M30" i="68" s="1"/>
  <c r="L32" i="230"/>
  <c r="L33" i="230" s="1"/>
  <c r="C18" i="61" l="1"/>
  <c r="H18" i="61" l="1"/>
  <c r="N18" i="61"/>
  <c r="I18" i="61"/>
  <c r="K18" i="61"/>
  <c r="L18" i="61" s="1"/>
  <c r="D18" i="61"/>
  <c r="O18" i="61" l="1"/>
  <c r="P18" i="61" s="1"/>
  <c r="M34" i="61" s="1"/>
  <c r="L18" i="228" l="1"/>
  <c r="I18" i="228"/>
  <c r="H18" i="228"/>
  <c r="D18" i="228"/>
  <c r="F11" i="228"/>
  <c r="L18" i="227"/>
  <c r="F11" i="227"/>
  <c r="L30" i="228" l="1"/>
  <c r="L26" i="227"/>
  <c r="M30" i="228" l="1"/>
  <c r="N30" i="228" s="1"/>
  <c r="L31" i="228"/>
  <c r="L32" i="228" s="1"/>
  <c r="L27" i="227"/>
  <c r="L28" i="227" s="1"/>
  <c r="L33" i="228" l="1"/>
  <c r="L34" i="228" s="1"/>
  <c r="L29" i="227"/>
  <c r="L30" i="227" s="1"/>
  <c r="L19" i="226" l="1"/>
  <c r="I19" i="226"/>
  <c r="H19" i="226"/>
  <c r="D19" i="226"/>
  <c r="L18" i="226"/>
  <c r="I18" i="226"/>
  <c r="H18" i="226"/>
  <c r="D18" i="226"/>
  <c r="F11" i="226"/>
  <c r="L33" i="226" l="1"/>
  <c r="L34" i="226" l="1"/>
  <c r="L35" i="226" s="1"/>
  <c r="L36" i="226" s="1"/>
  <c r="L37" i="226" s="1"/>
  <c r="N33" i="226"/>
  <c r="C25" i="147" l="1"/>
  <c r="D25" i="147" s="1"/>
  <c r="C24" i="147"/>
  <c r="D24" i="147" s="1"/>
  <c r="C23" i="147"/>
  <c r="D23" i="147" s="1"/>
  <c r="C22" i="147"/>
  <c r="D22" i="147" s="1"/>
  <c r="C21" i="147"/>
  <c r="D21" i="147" s="1"/>
  <c r="C20" i="147"/>
  <c r="D20" i="147" s="1"/>
  <c r="C19" i="147"/>
  <c r="D19" i="147" s="1"/>
  <c r="H25" i="147" l="1"/>
  <c r="I25" i="147"/>
  <c r="K25" i="147"/>
  <c r="L25" i="147" s="1"/>
  <c r="H24" i="147"/>
  <c r="I24" i="147"/>
  <c r="K24" i="147"/>
  <c r="L24" i="147" s="1"/>
  <c r="K23" i="147"/>
  <c r="L23" i="147" s="1"/>
  <c r="H23" i="147"/>
  <c r="I23" i="147"/>
  <c r="I22" i="147"/>
  <c r="K22" i="147"/>
  <c r="L22" i="147" s="1"/>
  <c r="H22" i="147"/>
  <c r="H21" i="147"/>
  <c r="I21" i="147"/>
  <c r="K21" i="147"/>
  <c r="L21" i="147" s="1"/>
  <c r="H20" i="147"/>
  <c r="K20" i="147"/>
  <c r="L20" i="147" s="1"/>
  <c r="I20" i="147"/>
  <c r="K19" i="147"/>
  <c r="L19" i="147" s="1"/>
  <c r="H19" i="147"/>
  <c r="I19" i="147"/>
  <c r="K18" i="224"/>
  <c r="I18" i="224"/>
  <c r="H18" i="224"/>
  <c r="D18" i="224"/>
  <c r="F11" i="224"/>
  <c r="K23" i="194"/>
  <c r="L23" i="194" s="1"/>
  <c r="I23" i="194"/>
  <c r="H23" i="194"/>
  <c r="K22" i="194"/>
  <c r="L22" i="194" s="1"/>
  <c r="I22" i="194"/>
  <c r="H22" i="194"/>
  <c r="K21" i="194"/>
  <c r="L21" i="194" s="1"/>
  <c r="I21" i="194"/>
  <c r="H21" i="194"/>
  <c r="K20" i="194"/>
  <c r="L20" i="194" s="1"/>
  <c r="I20" i="194"/>
  <c r="H20" i="194"/>
  <c r="D23" i="194"/>
  <c r="D22" i="194"/>
  <c r="D21" i="194"/>
  <c r="D20" i="194"/>
  <c r="L18" i="224" l="1"/>
  <c r="L33" i="224" s="1"/>
  <c r="O18" i="224"/>
  <c r="P18" i="224" s="1"/>
  <c r="M33" i="224" s="1"/>
  <c r="N33" i="224" l="1"/>
  <c r="L34" i="224"/>
  <c r="L35" i="224" s="1"/>
  <c r="L36" i="224" l="1"/>
  <c r="L37" i="224" s="1"/>
  <c r="K20" i="131" l="1"/>
  <c r="I20" i="131"/>
  <c r="H20" i="131"/>
  <c r="D20" i="131"/>
  <c r="K20" i="223"/>
  <c r="K19" i="223"/>
  <c r="K18" i="223"/>
  <c r="L20" i="131" l="1"/>
  <c r="O20" i="131"/>
  <c r="P20" i="131" s="1"/>
  <c r="M34" i="88" l="1"/>
  <c r="L20" i="223" l="1"/>
  <c r="I20" i="223"/>
  <c r="H20" i="223"/>
  <c r="D20" i="223"/>
  <c r="L19" i="223"/>
  <c r="I19" i="223"/>
  <c r="H19" i="223"/>
  <c r="D19" i="223"/>
  <c r="L18" i="223"/>
  <c r="I18" i="223"/>
  <c r="H18" i="223"/>
  <c r="D18" i="223"/>
  <c r="F11" i="223"/>
  <c r="K22" i="179"/>
  <c r="L22" i="179" s="1"/>
  <c r="I22" i="179"/>
  <c r="H22" i="179"/>
  <c r="D22" i="179"/>
  <c r="K21" i="179"/>
  <c r="L21" i="179" s="1"/>
  <c r="I21" i="179"/>
  <c r="H21" i="179"/>
  <c r="D21" i="179"/>
  <c r="K18" i="85"/>
  <c r="I18" i="85"/>
  <c r="H18" i="85"/>
  <c r="D18" i="85"/>
  <c r="L18" i="85" l="1"/>
  <c r="O18" i="85"/>
  <c r="P18" i="85" s="1"/>
  <c r="L33" i="223"/>
  <c r="L34" i="223" s="1"/>
  <c r="L35" i="223" s="1"/>
  <c r="C24" i="92"/>
  <c r="C23" i="92"/>
  <c r="D23" i="92" l="1"/>
  <c r="N23" i="92"/>
  <c r="D24" i="92"/>
  <c r="N24" i="92"/>
  <c r="L36" i="223"/>
  <c r="L37" i="223" s="1"/>
  <c r="I24" i="92"/>
  <c r="K24" i="92"/>
  <c r="L24" i="92" s="1"/>
  <c r="I23" i="92"/>
  <c r="H23" i="92"/>
  <c r="K23" i="92"/>
  <c r="L23" i="92" s="1"/>
  <c r="H24" i="92"/>
  <c r="O24" i="92" l="1"/>
  <c r="P24" i="92" s="1"/>
  <c r="O23" i="92"/>
  <c r="P23" i="92" s="1"/>
  <c r="C23" i="91"/>
  <c r="D23" i="91" s="1"/>
  <c r="C22" i="91"/>
  <c r="D22" i="91" s="1"/>
  <c r="C21" i="91"/>
  <c r="D21" i="91" s="1"/>
  <c r="C20" i="91"/>
  <c r="D20" i="91" s="1"/>
  <c r="C19" i="91"/>
  <c r="D19" i="91" s="1"/>
  <c r="H19" i="91" l="1"/>
  <c r="I19" i="91"/>
  <c r="K19" i="91"/>
  <c r="L19" i="91" s="1"/>
  <c r="I23" i="91"/>
  <c r="K23" i="91"/>
  <c r="L23" i="91" s="1"/>
  <c r="H23" i="91"/>
  <c r="H22" i="91"/>
  <c r="K22" i="91"/>
  <c r="L22" i="91" s="1"/>
  <c r="I22" i="91"/>
  <c r="H21" i="91"/>
  <c r="I21" i="91"/>
  <c r="K21" i="91"/>
  <c r="L21" i="91" s="1"/>
  <c r="K20" i="91"/>
  <c r="L20" i="91" s="1"/>
  <c r="I20" i="91"/>
  <c r="H20" i="91"/>
  <c r="K21" i="222" l="1"/>
  <c r="I21" i="222"/>
  <c r="H21" i="222"/>
  <c r="D21" i="222"/>
  <c r="K20" i="222"/>
  <c r="I20" i="222"/>
  <c r="H20" i="222"/>
  <c r="D20" i="222"/>
  <c r="K19" i="222"/>
  <c r="I19" i="222"/>
  <c r="H19" i="222"/>
  <c r="D19" i="222"/>
  <c r="K18" i="222"/>
  <c r="I18" i="222"/>
  <c r="H18" i="222"/>
  <c r="D18" i="222"/>
  <c r="F11" i="222"/>
  <c r="K19" i="205"/>
  <c r="L19" i="205" s="1"/>
  <c r="I19" i="205"/>
  <c r="H19" i="205"/>
  <c r="D19" i="205"/>
  <c r="L18" i="222" l="1"/>
  <c r="O18" i="222"/>
  <c r="P18" i="222" s="1"/>
  <c r="L20" i="222"/>
  <c r="O20" i="222"/>
  <c r="P20" i="222" s="1"/>
  <c r="L19" i="222"/>
  <c r="O19" i="222"/>
  <c r="P19" i="222" s="1"/>
  <c r="L21" i="222"/>
  <c r="O21" i="222"/>
  <c r="P21" i="222" s="1"/>
  <c r="L27" i="222" l="1"/>
  <c r="L28" i="222" s="1"/>
  <c r="L29" i="222" s="1"/>
  <c r="L30" i="222" s="1"/>
  <c r="L31" i="222" s="1"/>
  <c r="M27" i="222"/>
  <c r="N27" i="222" l="1"/>
  <c r="K25" i="221"/>
  <c r="L25" i="221" s="1"/>
  <c r="I25" i="221"/>
  <c r="H25" i="221"/>
  <c r="D25" i="221"/>
  <c r="K24" i="221"/>
  <c r="L24" i="221" s="1"/>
  <c r="K23" i="221"/>
  <c r="L23" i="221" s="1"/>
  <c r="K22" i="221"/>
  <c r="L22" i="221" s="1"/>
  <c r="K21" i="221"/>
  <c r="L21" i="221" s="1"/>
  <c r="K20" i="221"/>
  <c r="L20" i="221" s="1"/>
  <c r="K19" i="221"/>
  <c r="L19" i="221" s="1"/>
  <c r="K18" i="221"/>
  <c r="L18" i="221" s="1"/>
  <c r="I24" i="221"/>
  <c r="H24" i="221"/>
  <c r="D24" i="221"/>
  <c r="I23" i="221"/>
  <c r="H23" i="221"/>
  <c r="D23" i="221"/>
  <c r="I22" i="221"/>
  <c r="H22" i="221"/>
  <c r="D22" i="221"/>
  <c r="I21" i="221"/>
  <c r="H21" i="221"/>
  <c r="D21" i="221"/>
  <c r="I20" i="221"/>
  <c r="H20" i="221"/>
  <c r="D20" i="221"/>
  <c r="I19" i="221"/>
  <c r="H19" i="221"/>
  <c r="D19" i="221"/>
  <c r="I18" i="221"/>
  <c r="H18" i="221"/>
  <c r="D18" i="221"/>
  <c r="F11" i="221"/>
  <c r="K18" i="83"/>
  <c r="I18" i="83"/>
  <c r="H18" i="83"/>
  <c r="D18" i="83"/>
  <c r="L18" i="83" l="1"/>
  <c r="O18" i="83"/>
  <c r="P18" i="83" s="1"/>
  <c r="L33" i="221"/>
  <c r="L34" i="221" l="1"/>
  <c r="L35" i="221" s="1"/>
  <c r="M33" i="221"/>
  <c r="K18" i="162"/>
  <c r="K18" i="105"/>
  <c r="L36" i="221" l="1"/>
  <c r="L37" i="221" s="1"/>
  <c r="K26" i="46" l="1"/>
  <c r="I26" i="46"/>
  <c r="H26" i="46"/>
  <c r="K25" i="46"/>
  <c r="I25" i="46"/>
  <c r="H25" i="46"/>
  <c r="D26" i="46"/>
  <c r="D25" i="46"/>
  <c r="D20" i="166"/>
  <c r="D19" i="166"/>
  <c r="K20" i="166"/>
  <c r="I20" i="166"/>
  <c r="H20" i="166"/>
  <c r="K19" i="166"/>
  <c r="I19" i="166"/>
  <c r="H19" i="166"/>
  <c r="K18" i="166"/>
  <c r="I18" i="166"/>
  <c r="H18" i="166"/>
  <c r="L18" i="166" l="1"/>
  <c r="O18" i="166"/>
  <c r="P18" i="166" s="1"/>
  <c r="L19" i="166"/>
  <c r="O19" i="166"/>
  <c r="P19" i="166" s="1"/>
  <c r="L25" i="46"/>
  <c r="O25" i="46"/>
  <c r="P25" i="46" s="1"/>
  <c r="L20" i="166"/>
  <c r="O20" i="166"/>
  <c r="P20" i="166" s="1"/>
  <c r="L26" i="46"/>
  <c r="O26" i="46"/>
  <c r="P26" i="46" s="1"/>
  <c r="M28" i="166" l="1"/>
  <c r="I26" i="103"/>
  <c r="H26" i="103"/>
  <c r="D26" i="103"/>
  <c r="I25" i="103"/>
  <c r="H25" i="103"/>
  <c r="D25" i="103"/>
  <c r="K18" i="78"/>
  <c r="O18" i="78" s="1"/>
  <c r="P18" i="78" s="1"/>
  <c r="M32" i="78" s="1"/>
  <c r="C21" i="92" l="1"/>
  <c r="C20" i="92"/>
  <c r="D20" i="92" l="1"/>
  <c r="N20" i="92"/>
  <c r="D21" i="92"/>
  <c r="N21" i="92"/>
  <c r="H20" i="92"/>
  <c r="I20" i="92"/>
  <c r="K20" i="92"/>
  <c r="L20" i="92" s="1"/>
  <c r="H21" i="92"/>
  <c r="I21" i="92"/>
  <c r="K21" i="92"/>
  <c r="L21" i="92" s="1"/>
  <c r="O21" i="92" l="1"/>
  <c r="P21" i="92" s="1"/>
  <c r="O20" i="92"/>
  <c r="P20" i="92" s="1"/>
  <c r="D18" i="185"/>
  <c r="H440" i="7" l="1"/>
  <c r="H208" i="7" l="1"/>
  <c r="H207" i="7"/>
  <c r="H352" i="7"/>
  <c r="H353" i="7"/>
  <c r="H76" i="7"/>
  <c r="H212" i="7"/>
  <c r="H162" i="7"/>
  <c r="H163" i="7" s="1"/>
  <c r="H165" i="7" s="1"/>
  <c r="H285" i="7"/>
  <c r="H202" i="7"/>
  <c r="H196" i="7"/>
  <c r="H194" i="7"/>
  <c r="H192" i="7"/>
  <c r="H193" i="7" s="1"/>
  <c r="H188" i="7"/>
  <c r="H189" i="7" s="1"/>
  <c r="H190" i="7" s="1"/>
  <c r="H159" i="7"/>
  <c r="H160" i="7" s="1"/>
  <c r="H161" i="7" s="1"/>
  <c r="H185" i="7"/>
  <c r="H186" i="7" s="1"/>
  <c r="H180" i="7"/>
  <c r="H181" i="7" s="1"/>
  <c r="H182" i="7" s="1"/>
  <c r="H176" i="7"/>
  <c r="H177" i="7" s="1"/>
  <c r="H178" i="7" s="1"/>
  <c r="H170" i="7"/>
  <c r="H173" i="7" s="1"/>
  <c r="H174" i="7" s="1"/>
  <c r="H157" i="7"/>
  <c r="H152" i="7"/>
  <c r="H153" i="7" s="1"/>
  <c r="H155" i="7" s="1"/>
  <c r="H145" i="7"/>
  <c r="H171" i="7" l="1"/>
  <c r="H172" i="7"/>
  <c r="H154" i="7"/>
  <c r="H164" i="7"/>
  <c r="H97" i="7"/>
  <c r="H281" i="7"/>
  <c r="H279" i="7"/>
  <c r="H277" i="7"/>
  <c r="H271" i="7" l="1"/>
  <c r="L36" i="219" l="1"/>
  <c r="N36" i="219" s="1"/>
  <c r="H354" i="7"/>
  <c r="K20" i="51" l="1"/>
  <c r="I20" i="51"/>
  <c r="H20" i="51"/>
  <c r="K19" i="51"/>
  <c r="I19" i="51"/>
  <c r="H19" i="51"/>
  <c r="D20" i="51"/>
  <c r="D19" i="51"/>
  <c r="BZ285" i="7"/>
  <c r="F11" i="219"/>
  <c r="L19" i="51" l="1"/>
  <c r="O19" i="51"/>
  <c r="P19" i="51" s="1"/>
  <c r="L20" i="51"/>
  <c r="O20" i="51"/>
  <c r="P20" i="51" s="1"/>
  <c r="D18" i="111"/>
  <c r="L37" i="219" l="1"/>
  <c r="L38" i="219" s="1"/>
  <c r="L39" i="219" l="1"/>
  <c r="L40" i="219" s="1"/>
  <c r="C22" i="92"/>
  <c r="N22" i="92" s="1"/>
  <c r="K22" i="92" l="1"/>
  <c r="L22" i="92" s="1"/>
  <c r="I22" i="92"/>
  <c r="H22" i="92"/>
  <c r="D22" i="92"/>
  <c r="O22" i="92" l="1"/>
  <c r="P22" i="92" s="1"/>
  <c r="I18" i="157"/>
  <c r="H18" i="157"/>
  <c r="D18" i="157"/>
  <c r="I18" i="176"/>
  <c r="H18" i="176"/>
  <c r="M29" i="218" l="1"/>
  <c r="K18" i="218"/>
  <c r="L18" i="218" s="1"/>
  <c r="L29" i="218" s="1"/>
  <c r="I18" i="218"/>
  <c r="H18" i="218"/>
  <c r="D18" i="218"/>
  <c r="F11" i="218"/>
  <c r="F11" i="217"/>
  <c r="L32" i="217" l="1"/>
  <c r="L33" i="217" s="1"/>
  <c r="L34" i="217" s="1"/>
  <c r="M32" i="217"/>
  <c r="L30" i="218"/>
  <c r="L31" i="218" s="1"/>
  <c r="N32" i="217" l="1"/>
  <c r="L32" i="218"/>
  <c r="L33" i="218" s="1"/>
  <c r="L35" i="217"/>
  <c r="L36" i="217" s="1"/>
  <c r="K18" i="216" l="1"/>
  <c r="I18" i="216"/>
  <c r="H18" i="216"/>
  <c r="D18" i="216"/>
  <c r="K28" i="208"/>
  <c r="I28" i="208"/>
  <c r="H28" i="208"/>
  <c r="D28" i="208"/>
  <c r="I27" i="208"/>
  <c r="H27" i="208"/>
  <c r="D27" i="208"/>
  <c r="K26" i="208"/>
  <c r="I26" i="208"/>
  <c r="H26" i="208"/>
  <c r="D26" i="208"/>
  <c r="L18" i="216" l="1"/>
  <c r="O18" i="216"/>
  <c r="P18" i="216" s="1"/>
  <c r="K22" i="208"/>
  <c r="I22" i="208"/>
  <c r="H22" i="208"/>
  <c r="K21" i="208"/>
  <c r="I21" i="208"/>
  <c r="H21" i="208"/>
  <c r="K20" i="208"/>
  <c r="I20" i="208"/>
  <c r="H20" i="208"/>
  <c r="D22" i="208"/>
  <c r="D21" i="208"/>
  <c r="D20" i="208"/>
  <c r="C22" i="63"/>
  <c r="C21" i="63"/>
  <c r="F11" i="216"/>
  <c r="K18" i="50"/>
  <c r="H18" i="50"/>
  <c r="D18" i="50"/>
  <c r="L29" i="216" l="1"/>
  <c r="L30" i="216" s="1"/>
  <c r="L31" i="216" s="1"/>
  <c r="L21" i="208"/>
  <c r="O21" i="208"/>
  <c r="P21" i="208" s="1"/>
  <c r="L22" i="208"/>
  <c r="O22" i="208"/>
  <c r="P22" i="208" s="1"/>
  <c r="L20" i="208"/>
  <c r="O20" i="208"/>
  <c r="P20" i="208" s="1"/>
  <c r="M29" i="216"/>
  <c r="L18" i="50"/>
  <c r="L29" i="50" s="1"/>
  <c r="O18" i="50"/>
  <c r="P18" i="50" s="1"/>
  <c r="I21" i="63"/>
  <c r="N21" i="63"/>
  <c r="D22" i="63"/>
  <c r="N22" i="63"/>
  <c r="K21" i="63"/>
  <c r="L21" i="63" s="1"/>
  <c r="H22" i="63"/>
  <c r="D21" i="63"/>
  <c r="I22" i="63"/>
  <c r="H21" i="63"/>
  <c r="K22" i="63"/>
  <c r="L22" i="63" s="1"/>
  <c r="K24" i="46"/>
  <c r="I24" i="46"/>
  <c r="H24" i="46"/>
  <c r="D24" i="46"/>
  <c r="M29" i="50" l="1"/>
  <c r="N29" i="50" s="1"/>
  <c r="N29" i="216"/>
  <c r="O22" i="63"/>
  <c r="P22" i="63" s="1"/>
  <c r="L24" i="46"/>
  <c r="O24" i="46"/>
  <c r="P24" i="46" s="1"/>
  <c r="O21" i="63"/>
  <c r="P21" i="63" s="1"/>
  <c r="L32" i="216"/>
  <c r="L33" i="216" s="1"/>
  <c r="H19" i="215"/>
  <c r="D19" i="215"/>
  <c r="I18" i="215"/>
  <c r="H18" i="215"/>
  <c r="D18" i="215"/>
  <c r="F11" i="215"/>
  <c r="L18" i="215" l="1"/>
  <c r="L36" i="215" s="1"/>
  <c r="N36" i="215" s="1"/>
  <c r="K18" i="97"/>
  <c r="O18" i="97" s="1"/>
  <c r="P18" i="97" s="1"/>
  <c r="M34" i="97" s="1"/>
  <c r="D18" i="97"/>
  <c r="L37" i="215" l="1"/>
  <c r="L38" i="215" s="1"/>
  <c r="H18" i="81"/>
  <c r="L39" i="215" l="1"/>
  <c r="H116" i="7"/>
  <c r="L40" i="215" l="1"/>
  <c r="I27" i="104"/>
  <c r="H27" i="104"/>
  <c r="D27" i="104"/>
  <c r="I26" i="104"/>
  <c r="H26" i="104"/>
  <c r="D26" i="104"/>
  <c r="D18" i="101" l="1"/>
  <c r="K18" i="214"/>
  <c r="I18" i="214"/>
  <c r="H18" i="214"/>
  <c r="D18" i="214"/>
  <c r="F11" i="214"/>
  <c r="L18" i="214" l="1"/>
  <c r="L30" i="214" s="1"/>
  <c r="L31" i="214" s="1"/>
  <c r="L32" i="214" s="1"/>
  <c r="O18" i="214"/>
  <c r="P18" i="214" s="1"/>
  <c r="M30" i="214" l="1"/>
  <c r="N30" i="214" s="1"/>
  <c r="L33" i="214"/>
  <c r="L34" i="214" s="1"/>
  <c r="BX267" i="7" l="1"/>
  <c r="BX4" i="7"/>
  <c r="BX22" i="7"/>
  <c r="BX276" i="7"/>
  <c r="BX334" i="7"/>
  <c r="BX192" i="7"/>
  <c r="BX203" i="7"/>
  <c r="K23" i="136"/>
  <c r="BX10" i="7"/>
  <c r="BX197" i="7"/>
  <c r="BX212" i="7"/>
  <c r="BX274" i="7"/>
  <c r="BX21" i="7"/>
  <c r="BX62" i="7"/>
  <c r="BX116" i="7"/>
  <c r="BX101" i="7"/>
  <c r="BX299" i="7"/>
  <c r="K26" i="136" s="1"/>
  <c r="BX198" i="7"/>
  <c r="BX364" i="7"/>
  <c r="BX293" i="7"/>
  <c r="K25" i="136" s="1"/>
  <c r="BX12" i="7"/>
  <c r="BX363" i="7"/>
  <c r="BX139" i="7"/>
  <c r="BX357" i="7"/>
  <c r="K27" i="136" s="1"/>
  <c r="BX176" i="7"/>
  <c r="BX473" i="7"/>
  <c r="K28" i="136" l="1"/>
  <c r="O28" i="136" s="1"/>
  <c r="P28" i="136" s="1"/>
  <c r="K29" i="136"/>
  <c r="K22" i="136"/>
  <c r="O25" i="136"/>
  <c r="P25" i="136" s="1"/>
  <c r="L25" i="136"/>
  <c r="L26" i="136"/>
  <c r="O26" i="136"/>
  <c r="P26" i="136" s="1"/>
  <c r="L27" i="136"/>
  <c r="O27" i="136"/>
  <c r="P27" i="136" s="1"/>
  <c r="O23" i="136"/>
  <c r="P23" i="136" s="1"/>
  <c r="L23" i="136"/>
  <c r="K24" i="136"/>
  <c r="L24" i="136" s="1"/>
  <c r="K18" i="136"/>
  <c r="L18" i="136" s="1"/>
  <c r="K19" i="136"/>
  <c r="L19" i="136" s="1"/>
  <c r="K21" i="136"/>
  <c r="D18" i="75"/>
  <c r="K18" i="70"/>
  <c r="I18" i="70"/>
  <c r="H18" i="70"/>
  <c r="D18" i="70"/>
  <c r="L28" i="136" l="1"/>
  <c r="L29" i="136"/>
  <c r="O29" i="136"/>
  <c r="P29" i="136" s="1"/>
  <c r="O19" i="136"/>
  <c r="P19" i="136" s="1"/>
  <c r="O24" i="136"/>
  <c r="P24" i="136" s="1"/>
  <c r="O21" i="136"/>
  <c r="P21" i="136" s="1"/>
  <c r="L21" i="136"/>
  <c r="O18" i="136"/>
  <c r="P18" i="136" s="1"/>
  <c r="L18" i="70"/>
  <c r="O18" i="70"/>
  <c r="P18" i="70" s="1"/>
  <c r="M31" i="70" s="1"/>
  <c r="K20" i="179"/>
  <c r="L20" i="179" s="1"/>
  <c r="I20" i="179"/>
  <c r="H20" i="179"/>
  <c r="D20" i="179"/>
  <c r="K18" i="211"/>
  <c r="M30" i="211"/>
  <c r="F11" i="211"/>
  <c r="N18" i="211" l="1"/>
  <c r="L18" i="211"/>
  <c r="N20" i="211"/>
  <c r="N19" i="211"/>
  <c r="D18" i="211"/>
  <c r="H18" i="211"/>
  <c r="I18" i="211"/>
  <c r="L30" i="211" l="1"/>
  <c r="N30" i="211"/>
  <c r="N33" i="211" s="1"/>
  <c r="L31" i="211" l="1"/>
  <c r="L32" i="211" s="1"/>
  <c r="L33" i="211" l="1"/>
  <c r="O33" i="211" s="1"/>
  <c r="L34" i="211" l="1"/>
  <c r="O34" i="211" s="1"/>
  <c r="P34" i="211" s="1"/>
  <c r="C18" i="89" l="1"/>
  <c r="N18" i="89" s="1"/>
  <c r="K18" i="209"/>
  <c r="I18" i="209"/>
  <c r="H18" i="209"/>
  <c r="D18" i="209"/>
  <c r="F11" i="209"/>
  <c r="K18" i="81"/>
  <c r="O18" i="81" s="1"/>
  <c r="P18" i="81" s="1"/>
  <c r="M36" i="81" s="1"/>
  <c r="L18" i="209" l="1"/>
  <c r="L29" i="209" s="1"/>
  <c r="L30" i="209" s="1"/>
  <c r="L31" i="209" s="1"/>
  <c r="O18" i="209"/>
  <c r="P18" i="209" s="1"/>
  <c r="M29" i="209" s="1"/>
  <c r="N29" i="209" l="1"/>
  <c r="L32" i="209"/>
  <c r="L33" i="209" s="1"/>
  <c r="K24" i="174" l="1"/>
  <c r="L24" i="174" s="1"/>
  <c r="K23" i="174"/>
  <c r="L23" i="174" s="1"/>
  <c r="K22" i="174"/>
  <c r="L22" i="174" s="1"/>
  <c r="K21" i="174"/>
  <c r="L21" i="174" s="1"/>
  <c r="K20" i="174"/>
  <c r="L20" i="174" s="1"/>
  <c r="K19" i="174"/>
  <c r="L19" i="174" s="1"/>
  <c r="K18" i="174"/>
  <c r="L18" i="174" s="1"/>
  <c r="I24" i="174"/>
  <c r="H24" i="174"/>
  <c r="I23" i="174"/>
  <c r="H23" i="174"/>
  <c r="I22" i="174"/>
  <c r="H22" i="174"/>
  <c r="I21" i="174"/>
  <c r="H21" i="174"/>
  <c r="I20" i="174"/>
  <c r="H20" i="174"/>
  <c r="I19" i="174"/>
  <c r="H19" i="174"/>
  <c r="I18" i="174"/>
  <c r="H18" i="174"/>
  <c r="D24" i="174"/>
  <c r="D23" i="174"/>
  <c r="D22" i="174"/>
  <c r="D21" i="174"/>
  <c r="C19" i="92" l="1"/>
  <c r="I19" i="92" l="1"/>
  <c r="N19" i="92"/>
  <c r="K19" i="92"/>
  <c r="L19" i="92" s="1"/>
  <c r="D19" i="92"/>
  <c r="H19" i="92"/>
  <c r="L18" i="81"/>
  <c r="I18" i="81"/>
  <c r="D18" i="81"/>
  <c r="K20" i="202"/>
  <c r="L20" i="202" s="1"/>
  <c r="I20" i="202"/>
  <c r="H20" i="202"/>
  <c r="D20" i="202"/>
  <c r="K19" i="202"/>
  <c r="L19" i="202" s="1"/>
  <c r="O19" i="92" l="1"/>
  <c r="P19" i="92" s="1"/>
  <c r="I19" i="202"/>
  <c r="H19" i="202"/>
  <c r="D19" i="202"/>
  <c r="K19" i="208" l="1"/>
  <c r="I19" i="208"/>
  <c r="H19" i="208"/>
  <c r="D19" i="208"/>
  <c r="K18" i="208"/>
  <c r="I18" i="208"/>
  <c r="H18" i="208"/>
  <c r="D18" i="208"/>
  <c r="F11" i="208"/>
  <c r="L18" i="208" l="1"/>
  <c r="O18" i="208"/>
  <c r="P18" i="208" s="1"/>
  <c r="L19" i="208"/>
  <c r="O19" i="208"/>
  <c r="P19" i="208" s="1"/>
  <c r="L32" i="208" l="1"/>
  <c r="L33" i="208" s="1"/>
  <c r="L34" i="208" s="1"/>
  <c r="M32" i="208" l="1"/>
  <c r="L35" i="208"/>
  <c r="L36" i="208" s="1"/>
  <c r="O18" i="69" l="1"/>
  <c r="P18" i="69" s="1"/>
  <c r="M30" i="69" s="1"/>
  <c r="K18" i="207" l="1"/>
  <c r="L18" i="207" s="1"/>
  <c r="L38" i="207" s="1"/>
  <c r="I18" i="207"/>
  <c r="H18" i="207"/>
  <c r="D18" i="207"/>
  <c r="F11" i="207"/>
  <c r="L39" i="207" l="1"/>
  <c r="L40" i="207" s="1"/>
  <c r="M38" i="207"/>
  <c r="L41" i="207" l="1"/>
  <c r="L42" i="207" s="1"/>
  <c r="I18" i="65" l="1"/>
  <c r="H18" i="65"/>
  <c r="D18" i="65"/>
  <c r="K26" i="56" l="1"/>
  <c r="L26" i="56" s="1"/>
  <c r="I26" i="56"/>
  <c r="H26" i="56"/>
  <c r="K25" i="56"/>
  <c r="L25" i="56" s="1"/>
  <c r="I25" i="56"/>
  <c r="H25" i="56"/>
  <c r="K24" i="56"/>
  <c r="L24" i="56" s="1"/>
  <c r="I24" i="56"/>
  <c r="H24" i="56"/>
  <c r="D26" i="56"/>
  <c r="D25" i="56"/>
  <c r="D24" i="56"/>
  <c r="K18" i="206" l="1"/>
  <c r="I18" i="206"/>
  <c r="H18" i="206"/>
  <c r="D18" i="206"/>
  <c r="F11" i="206"/>
  <c r="L18" i="206" l="1"/>
  <c r="L38" i="206" s="1"/>
  <c r="E22" i="152"/>
  <c r="D22" i="152"/>
  <c r="C22" i="152"/>
  <c r="L39" i="206" l="1"/>
  <c r="L40" i="206" s="1"/>
  <c r="L41" i="206" s="1"/>
  <c r="L42" i="206" s="1"/>
  <c r="M38" i="206"/>
  <c r="H258" i="7" l="1"/>
  <c r="M29" i="205" l="1"/>
  <c r="K18" i="205"/>
  <c r="L18" i="205" s="1"/>
  <c r="L29" i="205" s="1"/>
  <c r="I18" i="205"/>
  <c r="H18" i="205"/>
  <c r="D18" i="205"/>
  <c r="F11" i="205"/>
  <c r="L30" i="205" l="1"/>
  <c r="L31" i="205" s="1"/>
  <c r="F11" i="204"/>
  <c r="L32" i="205" l="1"/>
  <c r="L33" i="205" s="1"/>
  <c r="L35" i="204"/>
  <c r="L36" i="204" s="1"/>
  <c r="L37" i="204" l="1"/>
  <c r="L38" i="204" s="1"/>
  <c r="K19" i="194" l="1"/>
  <c r="L19" i="194" s="1"/>
  <c r="I19" i="194"/>
  <c r="H19" i="194"/>
  <c r="D19" i="194"/>
  <c r="H342" i="7" l="1"/>
  <c r="K27" i="112" l="1"/>
  <c r="L27" i="112" s="1"/>
  <c r="I27" i="112"/>
  <c r="H27" i="112"/>
  <c r="D27" i="112"/>
  <c r="K19" i="179" l="1"/>
  <c r="L19" i="179" s="1"/>
  <c r="I19" i="179"/>
  <c r="H19" i="179"/>
  <c r="D19" i="179"/>
  <c r="K18" i="179"/>
  <c r="I18" i="179" l="1"/>
  <c r="H18" i="179"/>
  <c r="K19" i="131" l="1"/>
  <c r="I19" i="131"/>
  <c r="H19" i="131"/>
  <c r="D19" i="131"/>
  <c r="L19" i="131" l="1"/>
  <c r="O19" i="131"/>
  <c r="P19" i="131" s="1"/>
  <c r="G41" i="191"/>
  <c r="K41" i="191"/>
  <c r="I41" i="191"/>
  <c r="H41" i="191"/>
  <c r="D41" i="191"/>
  <c r="G20" i="191"/>
  <c r="L41" i="191" l="1"/>
  <c r="I19" i="150" l="1"/>
  <c r="H19" i="150"/>
  <c r="D19" i="150"/>
  <c r="I18" i="53" l="1"/>
  <c r="H18" i="53"/>
  <c r="I18" i="95"/>
  <c r="H18" i="95"/>
  <c r="I18" i="97"/>
  <c r="H18" i="97"/>
  <c r="I18" i="84"/>
  <c r="H18" i="84"/>
  <c r="I18" i="86"/>
  <c r="H18" i="86"/>
  <c r="I18" i="188"/>
  <c r="H18" i="188"/>
  <c r="I18" i="47"/>
  <c r="H18" i="47"/>
  <c r="I18" i="90"/>
  <c r="H18" i="90"/>
  <c r="I18" i="116"/>
  <c r="H18" i="116"/>
  <c r="I18" i="108"/>
  <c r="H18" i="108"/>
  <c r="I18" i="186"/>
  <c r="H18" i="186"/>
  <c r="I19" i="108"/>
  <c r="H19" i="108"/>
  <c r="I18" i="185"/>
  <c r="H18" i="185"/>
  <c r="I18" i="184"/>
  <c r="H18" i="184"/>
  <c r="I18" i="104"/>
  <c r="H18" i="104"/>
  <c r="I18" i="78"/>
  <c r="H18" i="78"/>
  <c r="I18" i="130"/>
  <c r="H18" i="130"/>
  <c r="I18" i="110" l="1"/>
  <c r="H18" i="110"/>
  <c r="I18" i="82"/>
  <c r="H18" i="82"/>
  <c r="I18" i="77"/>
  <c r="H18" i="77"/>
  <c r="I18" i="76"/>
  <c r="H18" i="76"/>
  <c r="I18" i="106"/>
  <c r="H18" i="106"/>
  <c r="I24" i="182"/>
  <c r="H24" i="182"/>
  <c r="I23" i="182"/>
  <c r="H23" i="182"/>
  <c r="I22" i="182"/>
  <c r="H22" i="182"/>
  <c r="I21" i="182"/>
  <c r="H21" i="182"/>
  <c r="I20" i="182"/>
  <c r="H20" i="182"/>
  <c r="I19" i="182"/>
  <c r="H19" i="182"/>
  <c r="I18" i="182"/>
  <c r="H18" i="182"/>
  <c r="I18" i="101"/>
  <c r="H18" i="101"/>
  <c r="I18" i="75"/>
  <c r="H18" i="75"/>
  <c r="I18" i="51"/>
  <c r="H18" i="51"/>
  <c r="I18" i="36"/>
  <c r="H18" i="36"/>
  <c r="I18" i="146"/>
  <c r="H18" i="146"/>
  <c r="D20" i="120"/>
  <c r="D18" i="120"/>
  <c r="K38" i="191" l="1"/>
  <c r="L38" i="191" s="1"/>
  <c r="I38" i="191"/>
  <c r="H38" i="191"/>
  <c r="D38" i="191"/>
  <c r="K37" i="191"/>
  <c r="L37" i="191" s="1"/>
  <c r="I37" i="191"/>
  <c r="H37" i="191"/>
  <c r="D37" i="191"/>
  <c r="K36" i="191"/>
  <c r="L36" i="191" s="1"/>
  <c r="I36" i="191"/>
  <c r="H36" i="191"/>
  <c r="D36" i="191"/>
  <c r="K35" i="191"/>
  <c r="L35" i="191" s="1"/>
  <c r="I35" i="191"/>
  <c r="H35" i="191"/>
  <c r="D35" i="191"/>
  <c r="K34" i="191"/>
  <c r="L34" i="191" s="1"/>
  <c r="I34" i="191"/>
  <c r="H34" i="191"/>
  <c r="D34" i="191"/>
  <c r="K33" i="191"/>
  <c r="L33" i="191" s="1"/>
  <c r="I33" i="191"/>
  <c r="H33" i="191"/>
  <c r="D33" i="191"/>
  <c r="K32" i="191"/>
  <c r="L32" i="191" s="1"/>
  <c r="I32" i="191"/>
  <c r="H32" i="191"/>
  <c r="D32" i="191"/>
  <c r="K31" i="191"/>
  <c r="L31" i="191" s="1"/>
  <c r="I31" i="191"/>
  <c r="H31" i="191"/>
  <c r="D31" i="191"/>
  <c r="K30" i="191"/>
  <c r="L30" i="191" s="1"/>
  <c r="I30" i="191"/>
  <c r="H30" i="191"/>
  <c r="D30" i="191"/>
  <c r="K29" i="191"/>
  <c r="L29" i="191" s="1"/>
  <c r="I29" i="191"/>
  <c r="H29" i="191"/>
  <c r="D29" i="191"/>
  <c r="K28" i="191"/>
  <c r="L28" i="191" s="1"/>
  <c r="I28" i="191"/>
  <c r="H28" i="191"/>
  <c r="D28" i="191"/>
  <c r="K40" i="191"/>
  <c r="L40" i="191" s="1"/>
  <c r="I40" i="191"/>
  <c r="H40" i="191"/>
  <c r="K39" i="191"/>
  <c r="L39" i="191" s="1"/>
  <c r="I39" i="191"/>
  <c r="H39" i="191"/>
  <c r="K27" i="191"/>
  <c r="L27" i="191" s="1"/>
  <c r="I27" i="191"/>
  <c r="H27" i="191"/>
  <c r="K26" i="191"/>
  <c r="L26" i="191" s="1"/>
  <c r="I26" i="191"/>
  <c r="H26" i="191"/>
  <c r="K25" i="191"/>
  <c r="L25" i="191" s="1"/>
  <c r="I25" i="191"/>
  <c r="H25" i="191"/>
  <c r="K24" i="191"/>
  <c r="L24" i="191" s="1"/>
  <c r="I24" i="191"/>
  <c r="H24" i="191"/>
  <c r="K23" i="191"/>
  <c r="L23" i="191" s="1"/>
  <c r="I23" i="191"/>
  <c r="H23" i="191"/>
  <c r="K22" i="191"/>
  <c r="L22" i="191" s="1"/>
  <c r="I22" i="191"/>
  <c r="H22" i="191"/>
  <c r="K21" i="191"/>
  <c r="L21" i="191" s="1"/>
  <c r="I21" i="191"/>
  <c r="H21" i="191"/>
  <c r="K20" i="191"/>
  <c r="L20" i="191" s="1"/>
  <c r="I20" i="191"/>
  <c r="H20" i="191"/>
  <c r="D40" i="191"/>
  <c r="D39" i="191"/>
  <c r="D27" i="191"/>
  <c r="D26" i="191"/>
  <c r="D25" i="191"/>
  <c r="D24" i="191"/>
  <c r="D23" i="191"/>
  <c r="D22" i="191"/>
  <c r="D21" i="191"/>
  <c r="D20" i="191"/>
  <c r="K18" i="191"/>
  <c r="K18" i="202" l="1"/>
  <c r="L18" i="202" s="1"/>
  <c r="L38" i="202" s="1"/>
  <c r="I18" i="202"/>
  <c r="H18" i="202"/>
  <c r="D18" i="202"/>
  <c r="F11" i="202"/>
  <c r="L39" i="202" l="1"/>
  <c r="L40" i="202" s="1"/>
  <c r="M38" i="202"/>
  <c r="L41" i="202" l="1"/>
  <c r="L42" i="202" s="1"/>
  <c r="I18" i="172" l="1"/>
  <c r="H18" i="172"/>
  <c r="I14" i="160"/>
  <c r="H14" i="160"/>
  <c r="I26" i="112"/>
  <c r="H26" i="112"/>
  <c r="I25" i="112"/>
  <c r="H25" i="112"/>
  <c r="I24" i="112"/>
  <c r="H24" i="112"/>
  <c r="I23" i="112"/>
  <c r="H23" i="112"/>
  <c r="I22" i="112"/>
  <c r="H22" i="112"/>
  <c r="I21" i="112"/>
  <c r="H21" i="112"/>
  <c r="I20" i="112"/>
  <c r="H20" i="112"/>
  <c r="I19" i="112"/>
  <c r="H19" i="112"/>
  <c r="I18" i="112"/>
  <c r="H18" i="112"/>
  <c r="I18" i="145"/>
  <c r="H18" i="145"/>
  <c r="I18" i="117"/>
  <c r="H18" i="117"/>
  <c r="I18" i="129"/>
  <c r="H18" i="129"/>
  <c r="I23" i="56"/>
  <c r="H23" i="56"/>
  <c r="I22" i="56"/>
  <c r="H22" i="56"/>
  <c r="I21" i="56"/>
  <c r="H21" i="56"/>
  <c r="I20" i="56"/>
  <c r="H20" i="56"/>
  <c r="I19" i="56"/>
  <c r="H19" i="56"/>
  <c r="I18" i="56"/>
  <c r="H18" i="56"/>
  <c r="I18" i="64"/>
  <c r="H18" i="64"/>
  <c r="I18" i="66"/>
  <c r="H18" i="66"/>
  <c r="I18" i="164"/>
  <c r="H18" i="164"/>
  <c r="I18" i="131"/>
  <c r="H18" i="131"/>
  <c r="I18" i="165"/>
  <c r="H18" i="165"/>
  <c r="I18" i="123"/>
  <c r="H18" i="123"/>
  <c r="I18" i="170"/>
  <c r="H18" i="170"/>
  <c r="I18" i="200"/>
  <c r="H18" i="200"/>
  <c r="I19" i="161"/>
  <c r="H19" i="161"/>
  <c r="I18" i="161"/>
  <c r="H18" i="161"/>
  <c r="I18" i="111"/>
  <c r="H18" i="111"/>
  <c r="I18" i="54"/>
  <c r="H18" i="54"/>
  <c r="I23" i="46"/>
  <c r="H23" i="46"/>
  <c r="I22" i="46"/>
  <c r="H22" i="46"/>
  <c r="I21" i="46"/>
  <c r="H21" i="46"/>
  <c r="I20" i="46"/>
  <c r="H20" i="46"/>
  <c r="I19" i="46"/>
  <c r="H19" i="46"/>
  <c r="I18" i="46"/>
  <c r="H18" i="46"/>
  <c r="I18" i="187"/>
  <c r="H18" i="187"/>
  <c r="L19" i="125" l="1"/>
  <c r="D19" i="125"/>
  <c r="K23" i="46" l="1"/>
  <c r="K22" i="46"/>
  <c r="K21" i="46"/>
  <c r="K20" i="46"/>
  <c r="K19" i="46"/>
  <c r="D23" i="46"/>
  <c r="D22" i="46"/>
  <c r="D21" i="46"/>
  <c r="D20" i="46"/>
  <c r="D19" i="46"/>
  <c r="L19" i="46" l="1"/>
  <c r="O19" i="46"/>
  <c r="P19" i="46" s="1"/>
  <c r="L20" i="46"/>
  <c r="O20" i="46"/>
  <c r="P20" i="46" s="1"/>
  <c r="L21" i="46"/>
  <c r="O21" i="46"/>
  <c r="P21" i="46" s="1"/>
  <c r="L22" i="46"/>
  <c r="O22" i="46"/>
  <c r="P22" i="46" s="1"/>
  <c r="L23" i="46"/>
  <c r="O23" i="46"/>
  <c r="P23" i="46" s="1"/>
  <c r="K26" i="112"/>
  <c r="L26" i="112" s="1"/>
  <c r="K25" i="112"/>
  <c r="L25" i="112" s="1"/>
  <c r="K24" i="112"/>
  <c r="L24" i="112" s="1"/>
  <c r="K23" i="112"/>
  <c r="L23" i="112" s="1"/>
  <c r="K22" i="112"/>
  <c r="L22" i="112" s="1"/>
  <c r="K21" i="112"/>
  <c r="L21" i="112" s="1"/>
  <c r="K20" i="112"/>
  <c r="L20" i="112" s="1"/>
  <c r="K19" i="112"/>
  <c r="L19" i="112" s="1"/>
  <c r="D26" i="112"/>
  <c r="D25" i="112"/>
  <c r="D24" i="112"/>
  <c r="D23" i="112"/>
  <c r="D22" i="112"/>
  <c r="D21" i="112"/>
  <c r="D20" i="112"/>
  <c r="D19" i="112"/>
  <c r="L18" i="200" l="1"/>
  <c r="L32" i="200" s="1"/>
  <c r="F11" i="200"/>
  <c r="D18" i="200" l="1"/>
  <c r="M32" i="200"/>
  <c r="L33" i="200"/>
  <c r="L34" i="200" s="1"/>
  <c r="L35" i="200" l="1"/>
  <c r="L36" i="200" s="1"/>
  <c r="M36" i="200" s="1"/>
  <c r="F11" i="199" l="1"/>
  <c r="BS226" i="7"/>
  <c r="BS266" i="7"/>
  <c r="L18" i="199" l="1"/>
  <c r="D18" i="199"/>
  <c r="L32" i="199" l="1"/>
  <c r="M32" i="199" s="1"/>
  <c r="L33" i="199" l="1"/>
  <c r="L34" i="199" s="1"/>
  <c r="L35" i="199" s="1"/>
  <c r="L36" i="199" s="1"/>
  <c r="M36" i="199" s="1"/>
  <c r="K19" i="45" l="1"/>
  <c r="I19" i="45"/>
  <c r="H19" i="45"/>
  <c r="D19" i="45"/>
  <c r="L19" i="45" l="1"/>
  <c r="O19" i="45"/>
  <c r="P19" i="45" s="1"/>
  <c r="M39" i="197" l="1"/>
  <c r="K27" i="197"/>
  <c r="L27" i="197" s="1"/>
  <c r="I27" i="197"/>
  <c r="H27" i="197"/>
  <c r="D27" i="197"/>
  <c r="K26" i="197"/>
  <c r="L26" i="197" s="1"/>
  <c r="I26" i="197"/>
  <c r="H26" i="197"/>
  <c r="D26" i="197"/>
  <c r="K25" i="197"/>
  <c r="L25" i="197" s="1"/>
  <c r="I25" i="197"/>
  <c r="H25" i="197"/>
  <c r="D25" i="197"/>
  <c r="K24" i="197"/>
  <c r="L24" i="197" s="1"/>
  <c r="I24" i="197"/>
  <c r="H24" i="197"/>
  <c r="D24" i="197"/>
  <c r="K23" i="197"/>
  <c r="L23" i="197" s="1"/>
  <c r="I23" i="197"/>
  <c r="H23" i="197"/>
  <c r="D23" i="197"/>
  <c r="K22" i="197"/>
  <c r="L22" i="197" s="1"/>
  <c r="I22" i="197"/>
  <c r="H22" i="197"/>
  <c r="D22" i="197"/>
  <c r="K21" i="197"/>
  <c r="L21" i="197" s="1"/>
  <c r="I21" i="197"/>
  <c r="H21" i="197"/>
  <c r="D21" i="197"/>
  <c r="K20" i="197"/>
  <c r="L20" i="197" s="1"/>
  <c r="I20" i="197"/>
  <c r="H20" i="197"/>
  <c r="D20" i="197"/>
  <c r="K19" i="197"/>
  <c r="L19" i="197" s="1"/>
  <c r="I19" i="197"/>
  <c r="H19" i="197"/>
  <c r="D19" i="197"/>
  <c r="K18" i="197"/>
  <c r="L18" i="197" s="1"/>
  <c r="I18" i="197"/>
  <c r="H18" i="197"/>
  <c r="D18" i="197"/>
  <c r="F11" i="197"/>
  <c r="L39" i="197" l="1"/>
  <c r="L40" i="197" s="1"/>
  <c r="L41" i="197" s="1"/>
  <c r="L42" i="197" l="1"/>
  <c r="L43" i="197" s="1"/>
  <c r="K27" i="58" l="1"/>
  <c r="L27" i="58" s="1"/>
  <c r="I27" i="58"/>
  <c r="H27" i="58"/>
  <c r="D27" i="58"/>
  <c r="K26" i="58"/>
  <c r="L26" i="58" s="1"/>
  <c r="I26" i="58"/>
  <c r="H26" i="58"/>
  <c r="D26" i="58"/>
  <c r="K25" i="58"/>
  <c r="K24" i="58"/>
  <c r="K23" i="58"/>
  <c r="K22" i="58"/>
  <c r="H256" i="7" l="1"/>
  <c r="C18" i="60"/>
  <c r="D18" i="60" l="1"/>
  <c r="N18" i="60"/>
  <c r="I18" i="60"/>
  <c r="H18" i="60"/>
  <c r="K18" i="60"/>
  <c r="L18" i="60" s="1"/>
  <c r="O18" i="60" l="1"/>
  <c r="P18" i="60" s="1"/>
  <c r="M44" i="60" s="1"/>
  <c r="L44" i="60"/>
  <c r="N44" i="60" l="1"/>
  <c r="K18" i="46"/>
  <c r="D18" i="46"/>
  <c r="L18" i="46" l="1"/>
  <c r="O18" i="46"/>
  <c r="P18" i="46" s="1"/>
  <c r="M31" i="46" s="1"/>
  <c r="K18" i="47"/>
  <c r="L18" i="47" s="1"/>
  <c r="D18" i="47"/>
  <c r="E19" i="152" l="1"/>
  <c r="D19" i="152"/>
  <c r="C19" i="152"/>
  <c r="D18" i="54" l="1"/>
  <c r="BO469" i="7" l="1"/>
  <c r="L25" i="58" l="1"/>
  <c r="I25" i="58"/>
  <c r="H25" i="58"/>
  <c r="D25" i="58"/>
  <c r="K21" i="58"/>
  <c r="L21" i="58" s="1"/>
  <c r="I21" i="58"/>
  <c r="H21" i="58"/>
  <c r="D21" i="58"/>
  <c r="K20" i="58"/>
  <c r="L20" i="58" s="1"/>
  <c r="I20" i="58"/>
  <c r="H20" i="58"/>
  <c r="D20" i="58"/>
  <c r="K18" i="121" l="1"/>
  <c r="O18" i="121" s="1"/>
  <c r="P18" i="121" s="1"/>
  <c r="M28" i="121" s="1"/>
  <c r="K18" i="196" l="1"/>
  <c r="L18" i="196" s="1"/>
  <c r="L37" i="196" s="1"/>
  <c r="I18" i="196"/>
  <c r="H18" i="196"/>
  <c r="D18" i="196"/>
  <c r="F11" i="196"/>
  <c r="L38" i="196" l="1"/>
  <c r="L39" i="196" s="1"/>
  <c r="L40" i="196" l="1"/>
  <c r="L41" i="196" s="1"/>
  <c r="L43" i="94" l="1"/>
  <c r="M43" i="94" s="1"/>
  <c r="L18" i="195"/>
  <c r="L37" i="195" s="1"/>
  <c r="I18" i="195"/>
  <c r="H18" i="195"/>
  <c r="D18" i="195"/>
  <c r="F11" i="195"/>
  <c r="L44" i="94" l="1"/>
  <c r="N43" i="94"/>
  <c r="L38" i="195"/>
  <c r="L39" i="195" s="1"/>
  <c r="L40" i="195" l="1"/>
  <c r="L41" i="195" s="1"/>
  <c r="L24" i="58" l="1"/>
  <c r="I24" i="58"/>
  <c r="H24" i="58"/>
  <c r="L23" i="58"/>
  <c r="I23" i="58"/>
  <c r="H23" i="58"/>
  <c r="D24" i="58"/>
  <c r="D23" i="58"/>
  <c r="K18" i="194" l="1"/>
  <c r="L18" i="194" s="1"/>
  <c r="I18" i="194"/>
  <c r="H18" i="194"/>
  <c r="D18" i="194"/>
  <c r="F11" i="194"/>
  <c r="L37" i="194" l="1"/>
  <c r="L38" i="194" s="1"/>
  <c r="L39" i="194" s="1"/>
  <c r="L40" i="194" l="1"/>
  <c r="L41" i="194" s="1"/>
  <c r="H436" i="7" l="1"/>
  <c r="C30" i="107" l="1"/>
  <c r="K30" i="107" s="1"/>
  <c r="L30" i="107" s="1"/>
  <c r="C29" i="107"/>
  <c r="I29" i="107" s="1"/>
  <c r="C28" i="107"/>
  <c r="D28" i="107" s="1"/>
  <c r="C27" i="107"/>
  <c r="K27" i="107" s="1"/>
  <c r="L27" i="107" s="1"/>
  <c r="C26" i="107"/>
  <c r="I26" i="107" s="1"/>
  <c r="K26" i="107" l="1"/>
  <c r="L26" i="107" s="1"/>
  <c r="H28" i="107"/>
  <c r="D27" i="107"/>
  <c r="I28" i="107"/>
  <c r="H27" i="107"/>
  <c r="K29" i="107"/>
  <c r="L29" i="107" s="1"/>
  <c r="K28" i="107"/>
  <c r="L28" i="107" s="1"/>
  <c r="H30" i="107"/>
  <c r="D26" i="107"/>
  <c r="I27" i="107"/>
  <c r="D30" i="107"/>
  <c r="H26" i="107"/>
  <c r="D29" i="107"/>
  <c r="I30" i="107"/>
  <c r="H29" i="107"/>
  <c r="M29" i="102" l="1"/>
  <c r="K19" i="191" l="1"/>
  <c r="L19" i="191" s="1"/>
  <c r="I19" i="191"/>
  <c r="H19" i="191"/>
  <c r="D19" i="191"/>
  <c r="BO460" i="7" l="1"/>
  <c r="BO128" i="7"/>
  <c r="BO126" i="7"/>
  <c r="H22" i="58" l="1"/>
  <c r="H19" i="58"/>
  <c r="H18" i="58"/>
  <c r="L34" i="88" l="1"/>
  <c r="N34" i="88" l="1"/>
  <c r="C25" i="107"/>
  <c r="D25" i="107" s="1"/>
  <c r="C24" i="107"/>
  <c r="K24" i="107" s="1"/>
  <c r="L24" i="107" s="1"/>
  <c r="C23" i="107"/>
  <c r="K23" i="107" s="1"/>
  <c r="L23" i="107" s="1"/>
  <c r="C22" i="107"/>
  <c r="I22" i="107" s="1"/>
  <c r="C21" i="107"/>
  <c r="D21" i="107" s="1"/>
  <c r="K22" i="107" l="1"/>
  <c r="L22" i="107" s="1"/>
  <c r="H21" i="107"/>
  <c r="K21" i="107"/>
  <c r="L21" i="107" s="1"/>
  <c r="H25" i="107"/>
  <c r="I21" i="107"/>
  <c r="D24" i="107"/>
  <c r="I25" i="107"/>
  <c r="H24" i="107"/>
  <c r="K25" i="107"/>
  <c r="L25" i="107" s="1"/>
  <c r="D23" i="107"/>
  <c r="I24" i="107"/>
  <c r="H23" i="107"/>
  <c r="D22" i="107"/>
  <c r="I23" i="107"/>
  <c r="H22" i="107"/>
  <c r="D18" i="42" l="1"/>
  <c r="H18" i="42"/>
  <c r="I18" i="42"/>
  <c r="K18" i="42"/>
  <c r="L18" i="42" l="1"/>
  <c r="O18" i="42"/>
  <c r="P18" i="42" s="1"/>
  <c r="K18" i="193"/>
  <c r="L18" i="193" s="1"/>
  <c r="L40" i="193" s="1"/>
  <c r="I18" i="193"/>
  <c r="H18" i="193"/>
  <c r="D18" i="193"/>
  <c r="F11" i="193"/>
  <c r="L41" i="193" l="1"/>
  <c r="L42" i="193" s="1"/>
  <c r="L43" i="193" l="1"/>
  <c r="L44" i="193" s="1"/>
  <c r="L18" i="191" l="1"/>
  <c r="D18" i="191"/>
  <c r="F11" i="191"/>
  <c r="L44" i="191" l="1"/>
  <c r="L45" i="191" l="1"/>
  <c r="L46" i="191" s="1"/>
  <c r="L47" i="191" l="1"/>
  <c r="L48" i="191" s="1"/>
  <c r="L22" i="58" l="1"/>
  <c r="I22" i="58"/>
  <c r="D22" i="58"/>
  <c r="H20" i="190" l="1"/>
  <c r="I20" i="190"/>
  <c r="D20" i="190"/>
  <c r="K19" i="190"/>
  <c r="L19" i="190" s="1"/>
  <c r="I19" i="190"/>
  <c r="H19" i="190"/>
  <c r="D19" i="190"/>
  <c r="F12" i="190"/>
  <c r="D18" i="145"/>
  <c r="K15" i="159" l="1"/>
  <c r="L15" i="159" s="1"/>
  <c r="I15" i="159"/>
  <c r="H15" i="159"/>
  <c r="D15" i="159"/>
  <c r="C18" i="189" l="1"/>
  <c r="F11" i="189"/>
  <c r="C18" i="92"/>
  <c r="N18" i="92" s="1"/>
  <c r="D18" i="189" l="1"/>
  <c r="N18" i="189"/>
  <c r="I18" i="92"/>
  <c r="H18" i="92"/>
  <c r="D18" i="92"/>
  <c r="K18" i="92"/>
  <c r="L18" i="92" s="1"/>
  <c r="H18" i="189"/>
  <c r="I18" i="189"/>
  <c r="K18" i="189"/>
  <c r="L18" i="189" s="1"/>
  <c r="O18" i="189" l="1"/>
  <c r="P18" i="189" s="1"/>
  <c r="M31" i="189" s="1"/>
  <c r="O18" i="92"/>
  <c r="P18" i="92" s="1"/>
  <c r="M36" i="92" s="1"/>
  <c r="L31" i="189"/>
  <c r="L32" i="189" s="1"/>
  <c r="L33" i="189" s="1"/>
  <c r="K19" i="58"/>
  <c r="L19" i="58" s="1"/>
  <c r="N31" i="189" l="1"/>
  <c r="L34" i="189"/>
  <c r="L35" i="189" s="1"/>
  <c r="K19" i="188" l="1"/>
  <c r="L19" i="188" s="1"/>
  <c r="I19" i="188"/>
  <c r="H19" i="188"/>
  <c r="D19" i="188"/>
  <c r="K18" i="188"/>
  <c r="L18" i="188" s="1"/>
  <c r="D18" i="188"/>
  <c r="F11" i="188"/>
  <c r="L39" i="188" l="1"/>
  <c r="L40" i="188" s="1"/>
  <c r="L41" i="188" s="1"/>
  <c r="L42" i="188" l="1"/>
  <c r="L43" i="188" s="1"/>
  <c r="M39" i="187" l="1"/>
  <c r="K18" i="187"/>
  <c r="D18" i="187"/>
  <c r="F11" i="187"/>
  <c r="L18" i="187" l="1"/>
  <c r="L39" i="187" s="1"/>
  <c r="O18" i="187"/>
  <c r="P18" i="187" s="1"/>
  <c r="L40" i="187" l="1"/>
  <c r="L41" i="187" s="1"/>
  <c r="L42" i="187" l="1"/>
  <c r="L43" i="187" s="1"/>
  <c r="K24" i="182" l="1"/>
  <c r="L24" i="182" s="1"/>
  <c r="K23" i="182"/>
  <c r="L23" i="182" s="1"/>
  <c r="K22" i="182"/>
  <c r="L22" i="182" s="1"/>
  <c r="K21" i="182"/>
  <c r="L21" i="182" s="1"/>
  <c r="K20" i="182"/>
  <c r="L20" i="182" s="1"/>
  <c r="K19" i="182"/>
  <c r="L19" i="182" s="1"/>
  <c r="D24" i="182"/>
  <c r="D23" i="182"/>
  <c r="D22" i="182"/>
  <c r="D21" i="182"/>
  <c r="D20" i="182"/>
  <c r="D19" i="182"/>
  <c r="K20" i="120"/>
  <c r="I20" i="120"/>
  <c r="H20" i="120"/>
  <c r="L20" i="120" l="1"/>
  <c r="O20" i="120"/>
  <c r="P20" i="120" s="1"/>
  <c r="K18" i="186"/>
  <c r="L18" i="186" s="1"/>
  <c r="L39" i="186" s="1"/>
  <c r="D18" i="186"/>
  <c r="F11" i="186"/>
  <c r="L40" i="186" l="1"/>
  <c r="L41" i="186" s="1"/>
  <c r="D18" i="184"/>
  <c r="L42" i="186" l="1"/>
  <c r="L43" i="186" s="1"/>
  <c r="F11" i="185" l="1"/>
  <c r="F11" i="184"/>
  <c r="K14" i="160" l="1"/>
  <c r="L14" i="160" s="1"/>
  <c r="D14" i="160"/>
  <c r="M39" i="182" l="1"/>
  <c r="K18" i="182"/>
  <c r="L18" i="182" s="1"/>
  <c r="D18" i="182"/>
  <c r="F11" i="182"/>
  <c r="L39" i="182" l="1"/>
  <c r="L40" i="182" l="1"/>
  <c r="L41" i="182" s="1"/>
  <c r="L42" i="182" l="1"/>
  <c r="L43" i="182" s="1"/>
  <c r="E30" i="155" l="1"/>
  <c r="D30" i="155"/>
  <c r="C30" i="155"/>
  <c r="E25" i="155"/>
  <c r="D25" i="155"/>
  <c r="C25" i="155"/>
  <c r="E26" i="155"/>
  <c r="D26" i="155"/>
  <c r="C26" i="155"/>
  <c r="M32" i="113" l="1"/>
  <c r="D19" i="93"/>
  <c r="K18" i="165" l="1"/>
  <c r="L18" i="165" s="1"/>
  <c r="L18" i="181" l="1"/>
  <c r="L31" i="181" s="1"/>
  <c r="I18" i="181"/>
  <c r="H18" i="181"/>
  <c r="D18" i="181"/>
  <c r="L32" i="181" l="1"/>
  <c r="L33" i="181" s="1"/>
  <c r="K18" i="112"/>
  <c r="L34" i="181" l="1"/>
  <c r="L35" i="181" s="1"/>
  <c r="K18" i="180" l="1"/>
  <c r="L18" i="180" s="1"/>
  <c r="I18" i="180"/>
  <c r="H18" i="180"/>
  <c r="D18" i="180"/>
  <c r="M29" i="180"/>
  <c r="F11" i="180"/>
  <c r="L29" i="180" l="1"/>
  <c r="L30" i="180" s="1"/>
  <c r="L31" i="180" s="1"/>
  <c r="L32" i="180" l="1"/>
  <c r="L33" i="180" s="1"/>
  <c r="M39" i="179" l="1"/>
  <c r="L18" i="179"/>
  <c r="D18" i="179"/>
  <c r="F11" i="179"/>
  <c r="L39" i="179" l="1"/>
  <c r="F11" i="51"/>
  <c r="L40" i="179" l="1"/>
  <c r="L41" i="179" s="1"/>
  <c r="L42" i="179" l="1"/>
  <c r="L43" i="179" s="1"/>
  <c r="L15" i="178" l="1"/>
  <c r="L14" i="178"/>
  <c r="M35" i="178"/>
  <c r="L35" i="178" l="1"/>
  <c r="L36" i="178" s="1"/>
  <c r="L37" i="178" s="1"/>
  <c r="L39" i="178" l="1"/>
  <c r="K15" i="168" l="1"/>
  <c r="L15" i="168" s="1"/>
  <c r="I15" i="168"/>
  <c r="H15" i="168"/>
  <c r="D15" i="168"/>
  <c r="K14" i="177" l="1"/>
  <c r="L14" i="177" s="1"/>
  <c r="L39" i="177" s="1"/>
  <c r="M39" i="177"/>
  <c r="I14" i="177"/>
  <c r="H14" i="177"/>
  <c r="D14" i="177"/>
  <c r="F7" i="177"/>
  <c r="L40" i="177" l="1"/>
  <c r="L41" i="177" s="1"/>
  <c r="L42" i="177" l="1"/>
  <c r="L43" i="177" s="1"/>
  <c r="K21" i="57" l="1"/>
  <c r="L21" i="57" s="1"/>
  <c r="I21" i="57"/>
  <c r="H21" i="57"/>
  <c r="K20" i="57"/>
  <c r="L20" i="57" s="1"/>
  <c r="I20" i="57"/>
  <c r="H20" i="57"/>
  <c r="D21" i="57"/>
  <c r="D20" i="57"/>
  <c r="K19" i="57"/>
  <c r="L19" i="57" s="1"/>
  <c r="I19" i="57"/>
  <c r="H19" i="57"/>
  <c r="D19" i="57"/>
  <c r="K23" i="56" l="1"/>
  <c r="L23" i="56" s="1"/>
  <c r="K22" i="56"/>
  <c r="L22" i="56" s="1"/>
  <c r="K21" i="56"/>
  <c r="L21" i="56" s="1"/>
  <c r="L18" i="176" l="1"/>
  <c r="D18" i="176"/>
  <c r="F11" i="176"/>
  <c r="L31" i="176" l="1"/>
  <c r="L32" i="176" l="1"/>
  <c r="L33" i="176" s="1"/>
  <c r="L34" i="176" l="1"/>
  <c r="L35" i="176" s="1"/>
  <c r="D20" i="174" l="1"/>
  <c r="D19" i="174"/>
  <c r="M38" i="174"/>
  <c r="D18" i="174"/>
  <c r="F11" i="174"/>
  <c r="L38" i="174" l="1"/>
  <c r="L39" i="174" l="1"/>
  <c r="L40" i="174"/>
  <c r="L41" i="174" s="1"/>
  <c r="L42" i="174" s="1"/>
  <c r="E21" i="173" l="1"/>
  <c r="E23" i="173" s="1"/>
  <c r="D21" i="173"/>
  <c r="D23" i="173" s="1"/>
  <c r="C20" i="173"/>
  <c r="C19" i="173"/>
  <c r="C18" i="173"/>
  <c r="C17" i="173"/>
  <c r="C16" i="173"/>
  <c r="C15" i="173"/>
  <c r="C14" i="173"/>
  <c r="C13" i="173"/>
  <c r="C12" i="173"/>
  <c r="C11" i="173"/>
  <c r="C10" i="173"/>
  <c r="C9" i="173"/>
  <c r="C8" i="173"/>
  <c r="C7" i="173"/>
  <c r="C6" i="173"/>
  <c r="C5" i="173"/>
  <c r="C4" i="173"/>
  <c r="C3" i="173"/>
  <c r="F23" i="173" l="1"/>
  <c r="K19" i="74" l="1"/>
  <c r="L19" i="74" s="1"/>
  <c r="I19" i="74"/>
  <c r="H19" i="74"/>
  <c r="D19" i="74"/>
  <c r="M31" i="172" l="1"/>
  <c r="L18" i="172"/>
  <c r="L31" i="172" s="1"/>
  <c r="D18" i="172"/>
  <c r="F11" i="172"/>
  <c r="L32" i="172" l="1"/>
  <c r="L33" i="172" s="1"/>
  <c r="L34" i="172" l="1"/>
  <c r="L35" i="172" s="1"/>
  <c r="M39" i="171" l="1"/>
  <c r="K18" i="171"/>
  <c r="L18" i="171" s="1"/>
  <c r="L39" i="171" s="1"/>
  <c r="I18" i="171"/>
  <c r="H18" i="171"/>
  <c r="D18" i="171"/>
  <c r="F11" i="171"/>
  <c r="L40" i="171" l="1"/>
  <c r="L41" i="171" s="1"/>
  <c r="K18" i="170"/>
  <c r="L18" i="170" s="1"/>
  <c r="L43" i="170" s="1"/>
  <c r="M43" i="170"/>
  <c r="D18" i="170"/>
  <c r="F11" i="170"/>
  <c r="L42" i="171" l="1"/>
  <c r="L43" i="171" s="1"/>
  <c r="L44" i="170"/>
  <c r="L45" i="170" s="1"/>
  <c r="L46" i="170" l="1"/>
  <c r="L47" i="170" s="1"/>
  <c r="D18" i="169" l="1"/>
  <c r="F11" i="169"/>
  <c r="D17" i="57"/>
  <c r="L35" i="169" l="1"/>
  <c r="L36" i="169" l="1"/>
  <c r="L37" i="169" s="1"/>
  <c r="L38" i="169" l="1"/>
  <c r="L39" i="169" s="1"/>
  <c r="I18" i="120"/>
  <c r="H18" i="120"/>
  <c r="K14" i="168" l="1"/>
  <c r="L14" i="168" s="1"/>
  <c r="L35" i="168" s="1"/>
  <c r="M35" i="168"/>
  <c r="I14" i="168"/>
  <c r="H14" i="168"/>
  <c r="D14" i="168"/>
  <c r="F7" i="168"/>
  <c r="L36" i="168" l="1"/>
  <c r="L37" i="168" s="1"/>
  <c r="L38" i="168" l="1"/>
  <c r="L39" i="168" s="1"/>
  <c r="L16" i="167" l="1"/>
  <c r="L15" i="167"/>
  <c r="K14" i="167"/>
  <c r="L14" i="167" s="1"/>
  <c r="M35" i="167"/>
  <c r="I16" i="167"/>
  <c r="H16" i="167"/>
  <c r="D16" i="167"/>
  <c r="I15" i="167"/>
  <c r="H15" i="167"/>
  <c r="D15" i="167"/>
  <c r="I14" i="167"/>
  <c r="H14" i="167"/>
  <c r="D14" i="167"/>
  <c r="F7" i="167"/>
  <c r="L35" i="167" l="1"/>
  <c r="L36" i="167" s="1"/>
  <c r="L37" i="167" s="1"/>
  <c r="L38" i="167" l="1"/>
  <c r="L39" i="167" s="1"/>
  <c r="D18" i="166" l="1"/>
  <c r="F11" i="166"/>
  <c r="L28" i="166" l="1"/>
  <c r="L29" i="166" l="1"/>
  <c r="L30" i="166" s="1"/>
  <c r="L31" i="166" s="1"/>
  <c r="L32" i="166" s="1"/>
  <c r="N28" i="166"/>
  <c r="I18" i="109" l="1"/>
  <c r="H18" i="109"/>
  <c r="I17" i="109"/>
  <c r="H17" i="109"/>
  <c r="L18" i="109" l="1"/>
  <c r="D18" i="109"/>
  <c r="D18" i="165" l="1"/>
  <c r="F11" i="165"/>
  <c r="L42" i="165" l="1"/>
  <c r="L43" i="165" l="1"/>
  <c r="L44" i="165" s="1"/>
  <c r="M42" i="165"/>
  <c r="L45" i="165" l="1"/>
  <c r="L46" i="165" s="1"/>
  <c r="K15" i="115" l="1"/>
  <c r="K17" i="144" l="1"/>
  <c r="L17" i="144" s="1"/>
  <c r="I17" i="144"/>
  <c r="H17" i="144"/>
  <c r="D17" i="144"/>
  <c r="K16" i="144"/>
  <c r="L16" i="144" s="1"/>
  <c r="I16" i="144"/>
  <c r="H16" i="144"/>
  <c r="D16" i="144"/>
  <c r="E12" i="152" l="1"/>
  <c r="D12" i="152"/>
  <c r="C12" i="152"/>
  <c r="E15" i="152"/>
  <c r="D15" i="152"/>
  <c r="C15" i="152"/>
  <c r="E14" i="155"/>
  <c r="D14" i="155"/>
  <c r="C14" i="155"/>
  <c r="E13" i="155"/>
  <c r="D13" i="155"/>
  <c r="C13" i="155"/>
  <c r="E21" i="155"/>
  <c r="D21" i="155"/>
  <c r="C21" i="155"/>
  <c r="D18" i="56" l="1"/>
  <c r="K14" i="57" l="1"/>
  <c r="I14" i="57"/>
  <c r="H14" i="57"/>
  <c r="D14" i="57"/>
  <c r="I18" i="121" l="1"/>
  <c r="H18" i="121"/>
  <c r="K22" i="73" l="1"/>
  <c r="L22" i="73" s="1"/>
  <c r="H22" i="73"/>
  <c r="I22" i="73"/>
  <c r="D22" i="73"/>
  <c r="L21" i="73"/>
  <c r="I21" i="73"/>
  <c r="H21" i="73"/>
  <c r="D21" i="73"/>
  <c r="L34" i="43" l="1"/>
  <c r="L18" i="164"/>
  <c r="L39" i="164" s="1"/>
  <c r="M39" i="164"/>
  <c r="D18" i="164"/>
  <c r="F11" i="164"/>
  <c r="L41" i="164" l="1"/>
  <c r="L42" i="164" s="1"/>
  <c r="L43" i="164" l="1"/>
  <c r="L40" i="164"/>
  <c r="I19" i="58"/>
  <c r="I18" i="58"/>
  <c r="M35" i="163" l="1"/>
  <c r="K14" i="163"/>
  <c r="L14" i="163" s="1"/>
  <c r="L35" i="163" s="1"/>
  <c r="L36" i="163" s="1"/>
  <c r="L37" i="163" s="1"/>
  <c r="L38" i="163" s="1"/>
  <c r="L39" i="163" s="1"/>
  <c r="I14" i="163"/>
  <c r="H14" i="163"/>
  <c r="D14" i="163"/>
  <c r="F7" i="163"/>
  <c r="L18" i="162"/>
  <c r="L31" i="162" s="1"/>
  <c r="M31" i="162"/>
  <c r="I18" i="162"/>
  <c r="H18" i="162"/>
  <c r="D18" i="162"/>
  <c r="F11" i="162"/>
  <c r="L32" i="162" l="1"/>
  <c r="L33" i="162" s="1"/>
  <c r="I18" i="57"/>
  <c r="H18" i="57"/>
  <c r="I16" i="57"/>
  <c r="H16" i="57"/>
  <c r="I17" i="57"/>
  <c r="H17" i="57"/>
  <c r="I15" i="57"/>
  <c r="H15" i="57"/>
  <c r="C20" i="107"/>
  <c r="K20" i="107" s="1"/>
  <c r="L20" i="107" s="1"/>
  <c r="L34" i="162" l="1"/>
  <c r="L35" i="162" s="1"/>
  <c r="H20" i="107"/>
  <c r="I20" i="107"/>
  <c r="D20" i="107"/>
  <c r="L19" i="161"/>
  <c r="D19" i="161"/>
  <c r="M39" i="161"/>
  <c r="L18" i="161"/>
  <c r="D18" i="161"/>
  <c r="F11" i="161"/>
  <c r="L39" i="161" l="1"/>
  <c r="L40" i="161" s="1"/>
  <c r="L41" i="161" s="1"/>
  <c r="L42" i="161" l="1"/>
  <c r="L43" i="161" s="1"/>
  <c r="I15" i="115"/>
  <c r="H15" i="115"/>
  <c r="I14" i="115"/>
  <c r="H14" i="115"/>
  <c r="I20" i="73"/>
  <c r="H20" i="73"/>
  <c r="I19" i="73"/>
  <c r="H19" i="73"/>
  <c r="I18" i="73"/>
  <c r="H18" i="73"/>
  <c r="I18" i="74"/>
  <c r="H18" i="74"/>
  <c r="I20" i="108"/>
  <c r="H20" i="108"/>
  <c r="I16" i="133"/>
  <c r="H16" i="133"/>
  <c r="I15" i="133"/>
  <c r="H15" i="133"/>
  <c r="I14" i="133"/>
  <c r="H14" i="133"/>
  <c r="I16" i="128"/>
  <c r="H16" i="128"/>
  <c r="I15" i="128"/>
  <c r="H15" i="128"/>
  <c r="I14" i="128"/>
  <c r="H14" i="128"/>
  <c r="I16" i="127"/>
  <c r="H16" i="127"/>
  <c r="I15" i="127"/>
  <c r="H15" i="127"/>
  <c r="I14" i="127"/>
  <c r="H14" i="127"/>
  <c r="I16" i="126"/>
  <c r="H16" i="126"/>
  <c r="I15" i="126"/>
  <c r="H15" i="126"/>
  <c r="I14" i="126"/>
  <c r="H14" i="126"/>
  <c r="I15" i="144"/>
  <c r="H15" i="144"/>
  <c r="I14" i="144"/>
  <c r="H14" i="144"/>
  <c r="H19" i="125"/>
  <c r="I18" i="125"/>
  <c r="H18" i="125"/>
  <c r="L34" i="160" l="1"/>
  <c r="L35" i="160" s="1"/>
  <c r="L36" i="160" s="1"/>
  <c r="M34" i="160"/>
  <c r="F7" i="160"/>
  <c r="L37" i="160" l="1"/>
  <c r="L38" i="160" s="1"/>
  <c r="H217" i="7" l="1"/>
  <c r="H357" i="7" l="1"/>
  <c r="H230" i="7"/>
  <c r="H105" i="7"/>
  <c r="H450" i="7"/>
  <c r="H305" i="7"/>
  <c r="H449" i="7"/>
  <c r="H85" i="7" l="1"/>
  <c r="K14" i="159" l="1"/>
  <c r="M35" i="159" l="1"/>
  <c r="L14" i="159"/>
  <c r="L35" i="159" s="1"/>
  <c r="L36" i="159" s="1"/>
  <c r="L37" i="159" s="1"/>
  <c r="L38" i="159" s="1"/>
  <c r="L39" i="159" s="1"/>
  <c r="I14" i="159"/>
  <c r="H14" i="159"/>
  <c r="D14" i="159"/>
  <c r="F7" i="159"/>
  <c r="L36" i="87" l="1"/>
  <c r="N36" i="87" l="1"/>
  <c r="M30" i="157"/>
  <c r="K18" i="157"/>
  <c r="L18" i="157" s="1"/>
  <c r="F11" i="157"/>
  <c r="L30" i="157" l="1"/>
  <c r="L31" i="157" s="1"/>
  <c r="L32" i="157" s="1"/>
  <c r="L33" i="157" s="1"/>
  <c r="L34" i="157" s="1"/>
  <c r="C20" i="63"/>
  <c r="N20" i="63" s="1"/>
  <c r="I20" i="63" l="1"/>
  <c r="H20" i="63"/>
  <c r="D20" i="63"/>
  <c r="K20" i="63"/>
  <c r="L20" i="63" s="1"/>
  <c r="O20" i="63" l="1"/>
  <c r="P20" i="63" s="1"/>
  <c r="D18" i="57"/>
  <c r="D16" i="57"/>
  <c r="D15" i="57"/>
  <c r="H371" i="7" l="1"/>
  <c r="H367" i="7"/>
  <c r="H223" i="7"/>
  <c r="H260" i="7"/>
  <c r="H430" i="7"/>
  <c r="H429" i="7"/>
  <c r="H428" i="7"/>
  <c r="H142" i="7"/>
  <c r="H89" i="7"/>
  <c r="H79" i="7"/>
  <c r="H399" i="7"/>
  <c r="H26" i="7"/>
  <c r="H68" i="7"/>
  <c r="H66" i="7"/>
  <c r="H19" i="7"/>
  <c r="H15" i="7"/>
  <c r="H13" i="7"/>
  <c r="C14" i="122" l="1"/>
  <c r="H14" i="122" l="1"/>
  <c r="I14" i="122"/>
  <c r="K14" i="122"/>
  <c r="L14" i="122" s="1"/>
  <c r="D14" i="122"/>
  <c r="K18" i="146"/>
  <c r="O18" i="146" s="1"/>
  <c r="P18" i="146" s="1"/>
  <c r="K18" i="145"/>
  <c r="O18" i="145" s="1"/>
  <c r="P18" i="145" s="1"/>
  <c r="BC473" i="7"/>
  <c r="BC141" i="7"/>
  <c r="BA473" i="7"/>
  <c r="BA141" i="7"/>
  <c r="AZ473" i="7"/>
  <c r="AZ141" i="7"/>
  <c r="AY473" i="7"/>
  <c r="AY141" i="7"/>
  <c r="K18" i="56"/>
  <c r="AX473" i="7"/>
  <c r="AX141" i="7"/>
  <c r="K18" i="84"/>
  <c r="O18" i="84" s="1"/>
  <c r="P18" i="84" s="1"/>
  <c r="M35" i="84" s="1"/>
  <c r="AW473" i="7"/>
  <c r="AW141" i="7"/>
  <c r="AV473" i="7"/>
  <c r="AV141" i="7"/>
  <c r="AU473" i="7"/>
  <c r="AU141" i="7"/>
  <c r="AT473" i="7"/>
  <c r="K20" i="44"/>
  <c r="AT141" i="7"/>
  <c r="K18" i="64"/>
  <c r="O18" i="64" s="1"/>
  <c r="P18" i="64" s="1"/>
  <c r="M31" i="64" s="1"/>
  <c r="K18" i="86"/>
  <c r="O18" i="86" s="1"/>
  <c r="P18" i="86" s="1"/>
  <c r="AR473" i="7"/>
  <c r="K19" i="42"/>
  <c r="AR141" i="7"/>
  <c r="AQ473" i="7"/>
  <c r="AQ141" i="7"/>
  <c r="AP473" i="7"/>
  <c r="AP141" i="7"/>
  <c r="L19" i="42" l="1"/>
  <c r="O19" i="42"/>
  <c r="P19" i="42" s="1"/>
  <c r="L20" i="44"/>
  <c r="O20" i="44"/>
  <c r="P20" i="44" s="1"/>
  <c r="K19" i="41"/>
  <c r="O19" i="41" s="1"/>
  <c r="P19" i="41" s="1"/>
  <c r="K20" i="41"/>
  <c r="Q37" i="41"/>
  <c r="K18" i="44"/>
  <c r="K18" i="54"/>
  <c r="K20" i="56"/>
  <c r="K19" i="56"/>
  <c r="L19" i="56" s="1"/>
  <c r="L35" i="122"/>
  <c r="L36" i="122" s="1"/>
  <c r="L37" i="122" s="1"/>
  <c r="L19" i="41" l="1"/>
  <c r="O20" i="41"/>
  <c r="P20" i="41" s="1"/>
  <c r="M37" i="41" s="1"/>
  <c r="L20" i="41"/>
  <c r="L18" i="44"/>
  <c r="L38" i="44" s="1"/>
  <c r="O18" i="44"/>
  <c r="P18" i="44" s="1"/>
  <c r="L18" i="54"/>
  <c r="O18" i="54"/>
  <c r="P18" i="54" s="1"/>
  <c r="M36" i="54" s="1"/>
  <c r="L38" i="122"/>
  <c r="L39" i="122" s="1"/>
  <c r="D23" i="56"/>
  <c r="M38" i="44" l="1"/>
  <c r="M35" i="156"/>
  <c r="K14" i="156"/>
  <c r="L14" i="156" s="1"/>
  <c r="L35" i="156" s="1"/>
  <c r="L36" i="156" s="1"/>
  <c r="L37" i="156" s="1"/>
  <c r="L38" i="156" s="1"/>
  <c r="L39" i="156" s="1"/>
  <c r="I14" i="156"/>
  <c r="H14" i="156"/>
  <c r="D14" i="156"/>
  <c r="F7" i="156"/>
  <c r="E24" i="155" l="1"/>
  <c r="D24" i="155"/>
  <c r="C24" i="155"/>
  <c r="E29" i="155"/>
  <c r="D29" i="155"/>
  <c r="C29" i="155"/>
  <c r="E28" i="155"/>
  <c r="D28" i="155"/>
  <c r="C28" i="155"/>
  <c r="D10" i="155"/>
  <c r="C10" i="155"/>
  <c r="E9" i="155"/>
  <c r="D9" i="155"/>
  <c r="C9" i="155"/>
  <c r="E11" i="155"/>
  <c r="D11" i="155"/>
  <c r="C11" i="155"/>
  <c r="E15" i="155"/>
  <c r="D15" i="155"/>
  <c r="C15" i="155"/>
  <c r="E17" i="155"/>
  <c r="D17" i="155"/>
  <c r="C17" i="155"/>
  <c r="E8" i="155"/>
  <c r="D8" i="155"/>
  <c r="C8" i="155"/>
  <c r="E5" i="155"/>
  <c r="D5" i="155"/>
  <c r="C5" i="155"/>
  <c r="E20" i="155"/>
  <c r="D20" i="155"/>
  <c r="C20" i="155"/>
  <c r="E18" i="155"/>
  <c r="D18" i="155"/>
  <c r="C18" i="155"/>
  <c r="E18" i="152"/>
  <c r="D18" i="152"/>
  <c r="E25" i="152"/>
  <c r="D25" i="152"/>
  <c r="E11" i="152"/>
  <c r="D11" i="152"/>
  <c r="E10" i="152"/>
  <c r="D10" i="152"/>
  <c r="E23" i="152"/>
  <c r="D23" i="152"/>
  <c r="E24" i="152"/>
  <c r="D24" i="152"/>
  <c r="E5" i="152"/>
  <c r="D5" i="152"/>
  <c r="E17" i="152"/>
  <c r="D17" i="152"/>
  <c r="D16" i="152"/>
  <c r="E16" i="152"/>
  <c r="C18" i="152"/>
  <c r="C25" i="152"/>
  <c r="C11" i="152"/>
  <c r="C10" i="152"/>
  <c r="C23" i="152"/>
  <c r="C24" i="152"/>
  <c r="C5" i="152"/>
  <c r="C17" i="152"/>
  <c r="C16" i="152"/>
  <c r="M35" i="151" l="1"/>
  <c r="L14" i="151"/>
  <c r="L35" i="151" s="1"/>
  <c r="L36" i="151" s="1"/>
  <c r="L37" i="151" s="1"/>
  <c r="L38" i="151" s="1"/>
  <c r="L39" i="151" s="1"/>
  <c r="I14" i="151"/>
  <c r="H14" i="151"/>
  <c r="D14" i="151"/>
  <c r="F7" i="151"/>
  <c r="L18" i="97" l="1"/>
  <c r="I18" i="150"/>
  <c r="H18" i="150"/>
  <c r="D18" i="150"/>
  <c r="F11" i="150"/>
  <c r="AN21" i="7" l="1"/>
  <c r="K18" i="150" s="1"/>
  <c r="L18" i="150" l="1"/>
  <c r="L27" i="150" s="1"/>
  <c r="L28" i="150" s="1"/>
  <c r="L29" i="150" s="1"/>
  <c r="L30" i="150" s="1"/>
  <c r="L31" i="150" s="1"/>
  <c r="O18" i="150"/>
  <c r="P18" i="150" s="1"/>
  <c r="M27" i="150" s="1"/>
  <c r="C19" i="100"/>
  <c r="N27" i="150" l="1"/>
  <c r="I19" i="100"/>
  <c r="H19" i="100"/>
  <c r="K19" i="100"/>
  <c r="L19" i="100" s="1"/>
  <c r="D19" i="100"/>
  <c r="C18" i="147" l="1"/>
  <c r="F11" i="147"/>
  <c r="I18" i="147" l="1"/>
  <c r="H18" i="147"/>
  <c r="K18" i="147"/>
  <c r="L18" i="147" s="1"/>
  <c r="L39" i="147" s="1"/>
  <c r="L40" i="147" s="1"/>
  <c r="L41" i="147" s="1"/>
  <c r="L42" i="147" s="1"/>
  <c r="L43" i="147" s="1"/>
  <c r="D18" i="147"/>
  <c r="M39" i="147" l="1"/>
  <c r="L18" i="146" l="1"/>
  <c r="L31" i="146" s="1"/>
  <c r="L32" i="146" s="1"/>
  <c r="L33" i="146" s="1"/>
  <c r="L34" i="146" s="1"/>
  <c r="L35" i="146" s="1"/>
  <c r="D18" i="146"/>
  <c r="F11" i="146"/>
  <c r="F11" i="145" l="1"/>
  <c r="K15" i="144" l="1"/>
  <c r="L15" i="144" s="1"/>
  <c r="D15" i="144"/>
  <c r="K14" i="144"/>
  <c r="L14" i="144" s="1"/>
  <c r="M35" i="144"/>
  <c r="D14" i="144"/>
  <c r="F7" i="144"/>
  <c r="L18" i="56"/>
  <c r="D22" i="56"/>
  <c r="D21" i="56"/>
  <c r="L20" i="56"/>
  <c r="D20" i="56"/>
  <c r="F11" i="123"/>
  <c r="L35" i="144" l="1"/>
  <c r="L36" i="144" s="1"/>
  <c r="L37" i="144" s="1"/>
  <c r="L38" i="144" s="1"/>
  <c r="L39" i="144" s="1"/>
  <c r="Y39" i="142"/>
  <c r="I18" i="142"/>
  <c r="H18" i="142"/>
  <c r="D18" i="142"/>
  <c r="F11" i="142"/>
  <c r="Y43" i="139"/>
  <c r="AM302" i="7" l="1"/>
  <c r="K21" i="139" l="1"/>
  <c r="L21" i="139" s="1"/>
  <c r="K26" i="139"/>
  <c r="K20" i="139"/>
  <c r="L20" i="139" s="1"/>
  <c r="K20" i="142"/>
  <c r="K18" i="142"/>
  <c r="K18" i="139"/>
  <c r="I18" i="139"/>
  <c r="H18" i="139"/>
  <c r="D18" i="139"/>
  <c r="F11" i="139"/>
  <c r="O21" i="139" l="1"/>
  <c r="P21" i="139" s="1"/>
  <c r="O26" i="139"/>
  <c r="P26" i="139" s="1"/>
  <c r="L26" i="139"/>
  <c r="O20" i="139"/>
  <c r="P20" i="139" s="1"/>
  <c r="L20" i="142"/>
  <c r="O20" i="142"/>
  <c r="P20" i="142" s="1"/>
  <c r="L18" i="139"/>
  <c r="L38" i="139" s="1"/>
  <c r="L39" i="139" s="1"/>
  <c r="L40" i="139" s="1"/>
  <c r="L41" i="139" s="1"/>
  <c r="L42" i="139" s="1"/>
  <c r="O18" i="139"/>
  <c r="P18" i="139" s="1"/>
  <c r="L18" i="142"/>
  <c r="O18" i="142"/>
  <c r="P18" i="142" s="1"/>
  <c r="M35" i="138"/>
  <c r="K14" i="138"/>
  <c r="L14" i="138" s="1"/>
  <c r="L35" i="138" s="1"/>
  <c r="I14" i="138"/>
  <c r="H14" i="138"/>
  <c r="D14" i="138"/>
  <c r="F7" i="138"/>
  <c r="M38" i="139" l="1"/>
  <c r="N38" i="139" s="1"/>
  <c r="M34" i="142"/>
  <c r="L34" i="142"/>
  <c r="L35" i="142" s="1"/>
  <c r="L36" i="142" s="1"/>
  <c r="L37" i="142" s="1"/>
  <c r="L38" i="142" s="1"/>
  <c r="L36" i="138"/>
  <c r="L37" i="138" s="1"/>
  <c r="L38" i="138" s="1"/>
  <c r="L39" i="138" s="1"/>
  <c r="O39" i="142" l="1"/>
  <c r="N34" i="142"/>
  <c r="F11" i="136"/>
  <c r="L18" i="135"/>
  <c r="L32" i="135" s="1"/>
  <c r="L33" i="135" s="1"/>
  <c r="L34" i="135" s="1"/>
  <c r="I18" i="135"/>
  <c r="H18" i="135"/>
  <c r="D18" i="135"/>
  <c r="F11" i="135"/>
  <c r="L35" i="135" l="1"/>
  <c r="L36" i="135" s="1"/>
  <c r="K14" i="133" l="1"/>
  <c r="L14" i="133" s="1"/>
  <c r="L35" i="133" s="1"/>
  <c r="L36" i="133" s="1"/>
  <c r="L37" i="133" s="1"/>
  <c r="L38" i="133" s="1"/>
  <c r="L39" i="133" s="1"/>
  <c r="M35" i="133"/>
  <c r="D14" i="133"/>
  <c r="F7" i="133"/>
  <c r="K18" i="131"/>
  <c r="O18" i="131" s="1"/>
  <c r="P18" i="131" s="1"/>
  <c r="M31" i="131" s="1"/>
  <c r="F11" i="131"/>
  <c r="L18" i="131" l="1"/>
  <c r="D18" i="131"/>
  <c r="L31" i="131" l="1"/>
  <c r="N31" i="131" s="1"/>
  <c r="M37" i="130"/>
  <c r="K18" i="130"/>
  <c r="L18" i="130" s="1"/>
  <c r="D18" i="130"/>
  <c r="F11" i="130"/>
  <c r="K18" i="129"/>
  <c r="L18" i="129" s="1"/>
  <c r="L38" i="129" s="1"/>
  <c r="D18" i="129"/>
  <c r="F11" i="129"/>
  <c r="K23" i="128"/>
  <c r="L23" i="128" s="1"/>
  <c r="I23" i="128"/>
  <c r="H23" i="128"/>
  <c r="D23" i="128"/>
  <c r="K22" i="128"/>
  <c r="L22" i="128" s="1"/>
  <c r="I22" i="128"/>
  <c r="H22" i="128"/>
  <c r="D22" i="128"/>
  <c r="K21" i="128"/>
  <c r="L21" i="128" s="1"/>
  <c r="I21" i="128"/>
  <c r="H21" i="128"/>
  <c r="D21" i="128"/>
  <c r="K20" i="128"/>
  <c r="L20" i="128" s="1"/>
  <c r="I20" i="128"/>
  <c r="H20" i="128"/>
  <c r="D20" i="128"/>
  <c r="K19" i="128"/>
  <c r="L19" i="128" s="1"/>
  <c r="I19" i="128"/>
  <c r="H19" i="128"/>
  <c r="D19" i="128"/>
  <c r="K18" i="128"/>
  <c r="L18" i="128" s="1"/>
  <c r="I18" i="128"/>
  <c r="H18" i="128"/>
  <c r="D18" i="128"/>
  <c r="K17" i="128"/>
  <c r="L17" i="128" s="1"/>
  <c r="I17" i="128"/>
  <c r="H17" i="128"/>
  <c r="D17" i="128"/>
  <c r="K16" i="128"/>
  <c r="L16" i="128" s="1"/>
  <c r="D16" i="128"/>
  <c r="K15" i="128"/>
  <c r="L15" i="128" s="1"/>
  <c r="D15" i="128"/>
  <c r="K14" i="128"/>
  <c r="L14" i="128" s="1"/>
  <c r="D14" i="128"/>
  <c r="F7" i="128"/>
  <c r="K23" i="127"/>
  <c r="L23" i="127" s="1"/>
  <c r="I23" i="127"/>
  <c r="H23" i="127"/>
  <c r="D23" i="127"/>
  <c r="K22" i="127"/>
  <c r="L22" i="127" s="1"/>
  <c r="I22" i="127"/>
  <c r="H22" i="127"/>
  <c r="D22" i="127"/>
  <c r="K21" i="127"/>
  <c r="L21" i="127" s="1"/>
  <c r="I21" i="127"/>
  <c r="H21" i="127"/>
  <c r="D21" i="127"/>
  <c r="K20" i="127"/>
  <c r="L20" i="127" s="1"/>
  <c r="I20" i="127"/>
  <c r="H20" i="127"/>
  <c r="D20" i="127"/>
  <c r="K19" i="127"/>
  <c r="L19" i="127" s="1"/>
  <c r="I19" i="127"/>
  <c r="H19" i="127"/>
  <c r="D19" i="127"/>
  <c r="K18" i="127"/>
  <c r="L18" i="127" s="1"/>
  <c r="I18" i="127"/>
  <c r="H18" i="127"/>
  <c r="D18" i="127"/>
  <c r="K17" i="127"/>
  <c r="L17" i="127" s="1"/>
  <c r="I17" i="127"/>
  <c r="H17" i="127"/>
  <c r="D17" i="127"/>
  <c r="K16" i="127"/>
  <c r="L16" i="127" s="1"/>
  <c r="D16" i="127"/>
  <c r="K15" i="127"/>
  <c r="L15" i="127" s="1"/>
  <c r="D15" i="127"/>
  <c r="K14" i="127"/>
  <c r="L14" i="127" s="1"/>
  <c r="D14" i="127"/>
  <c r="F7" i="127"/>
  <c r="K14" i="126"/>
  <c r="L14" i="126" s="1"/>
  <c r="L35" i="126" s="1"/>
  <c r="L36" i="126" s="1"/>
  <c r="L37" i="126" s="1"/>
  <c r="L38" i="126" s="1"/>
  <c r="L39" i="126" s="1"/>
  <c r="D14" i="126"/>
  <c r="F7" i="126"/>
  <c r="M39" i="125"/>
  <c r="L18" i="125"/>
  <c r="L39" i="125" s="1"/>
  <c r="L40" i="125" s="1"/>
  <c r="L41" i="125" s="1"/>
  <c r="L42" i="125" s="1"/>
  <c r="L43" i="125" s="1"/>
  <c r="D18" i="125"/>
  <c r="F11" i="125"/>
  <c r="M50" i="124"/>
  <c r="L50" i="124"/>
  <c r="F11" i="124"/>
  <c r="M39" i="123"/>
  <c r="K18" i="123"/>
  <c r="L18" i="123" s="1"/>
  <c r="L39" i="123" s="1"/>
  <c r="L40" i="123" s="1"/>
  <c r="L41" i="123" s="1"/>
  <c r="L42" i="123" s="1"/>
  <c r="L43" i="123" s="1"/>
  <c r="D18" i="123"/>
  <c r="M35" i="122"/>
  <c r="F7" i="122"/>
  <c r="L35" i="128" l="1"/>
  <c r="L36" i="128" s="1"/>
  <c r="L37" i="128" s="1"/>
  <c r="L38" i="128" s="1"/>
  <c r="L39" i="128" s="1"/>
  <c r="L39" i="129"/>
  <c r="L40" i="129" s="1"/>
  <c r="L41" i="129" s="1"/>
  <c r="L42" i="129" s="1"/>
  <c r="L35" i="127"/>
  <c r="L37" i="130"/>
  <c r="L38" i="130" s="1"/>
  <c r="L39" i="130" s="1"/>
  <c r="L40" i="130" s="1"/>
  <c r="L41" i="130" s="1"/>
  <c r="L51" i="124"/>
  <c r="L52" i="124" s="1"/>
  <c r="L32" i="131"/>
  <c r="L33" i="131" s="1"/>
  <c r="L34" i="131" s="1"/>
  <c r="L35" i="131" s="1"/>
  <c r="L36" i="127" l="1"/>
  <c r="L37" i="127" s="1"/>
  <c r="L53" i="124"/>
  <c r="L54" i="124" s="1"/>
  <c r="M38" i="129"/>
  <c r="L38" i="127" l="1"/>
  <c r="L39" i="127" s="1"/>
  <c r="L18" i="121"/>
  <c r="L28" i="121" s="1"/>
  <c r="N28" i="121" s="1"/>
  <c r="D18" i="121"/>
  <c r="F11" i="121"/>
  <c r="K18" i="120"/>
  <c r="F11" i="120"/>
  <c r="L18" i="120" l="1"/>
  <c r="L35" i="120" s="1"/>
  <c r="O18" i="120"/>
  <c r="P18" i="120" s="1"/>
  <c r="M35" i="120" s="1"/>
  <c r="L29" i="121"/>
  <c r="L30" i="121" s="1"/>
  <c r="K18" i="119"/>
  <c r="I18" i="119"/>
  <c r="H18" i="119"/>
  <c r="D18" i="119"/>
  <c r="F11" i="119"/>
  <c r="L18" i="119" l="1"/>
  <c r="L31" i="119" s="1"/>
  <c r="L32" i="119" s="1"/>
  <c r="L33" i="119" s="1"/>
  <c r="L34" i="119" s="1"/>
  <c r="L35" i="119" s="1"/>
  <c r="O18" i="119"/>
  <c r="P18" i="119" s="1"/>
  <c r="M31" i="119" s="1"/>
  <c r="N35" i="120"/>
  <c r="L31" i="121"/>
  <c r="L32" i="121" s="1"/>
  <c r="L36" i="120"/>
  <c r="L37" i="120" s="1"/>
  <c r="L38" i="120" s="1"/>
  <c r="L39" i="120" s="1"/>
  <c r="K15" i="118"/>
  <c r="L15" i="118" s="1"/>
  <c r="M35" i="118"/>
  <c r="I15" i="118"/>
  <c r="H15" i="118"/>
  <c r="D15" i="118"/>
  <c r="I14" i="118"/>
  <c r="H14" i="118"/>
  <c r="D14" i="118"/>
  <c r="F7" i="118"/>
  <c r="K14" i="118"/>
  <c r="L14" i="118" s="1"/>
  <c r="L35" i="118" l="1"/>
  <c r="L36" i="118" s="1"/>
  <c r="L37" i="118" s="1"/>
  <c r="L38" i="118" s="1"/>
  <c r="L39" i="118" s="1"/>
  <c r="K18" i="117" l="1"/>
  <c r="D18" i="117"/>
  <c r="F11" i="117"/>
  <c r="K18" i="116"/>
  <c r="D18" i="116"/>
  <c r="F11" i="116"/>
  <c r="L18" i="116" l="1"/>
  <c r="L29" i="116" s="1"/>
  <c r="L30" i="116" s="1"/>
  <c r="L31" i="116" s="1"/>
  <c r="L32" i="116" s="1"/>
  <c r="L33" i="116" s="1"/>
  <c r="O18" i="116"/>
  <c r="P18" i="116" s="1"/>
  <c r="M29" i="116" s="1"/>
  <c r="L18" i="117"/>
  <c r="L29" i="117" s="1"/>
  <c r="L30" i="117" s="1"/>
  <c r="L31" i="117" s="1"/>
  <c r="L32" i="117" s="1"/>
  <c r="L33" i="117" s="1"/>
  <c r="O18" i="117"/>
  <c r="P18" i="117" s="1"/>
  <c r="M35" i="115"/>
  <c r="L15" i="115"/>
  <c r="D15" i="115"/>
  <c r="K14" i="115"/>
  <c r="L14" i="115" s="1"/>
  <c r="D14" i="115"/>
  <c r="F7" i="115"/>
  <c r="M35" i="114"/>
  <c r="K27" i="114"/>
  <c r="L27" i="114" s="1"/>
  <c r="I27" i="114"/>
  <c r="H27" i="114"/>
  <c r="D27" i="114"/>
  <c r="K26" i="114"/>
  <c r="L26" i="114" s="1"/>
  <c r="I26" i="114"/>
  <c r="H26" i="114"/>
  <c r="D26" i="114"/>
  <c r="K25" i="114"/>
  <c r="L25" i="114" s="1"/>
  <c r="I25" i="114"/>
  <c r="H25" i="114"/>
  <c r="D25" i="114"/>
  <c r="K24" i="114"/>
  <c r="L24" i="114" s="1"/>
  <c r="I24" i="114"/>
  <c r="H24" i="114"/>
  <c r="D24" i="114"/>
  <c r="K23" i="114"/>
  <c r="L23" i="114" s="1"/>
  <c r="I23" i="114"/>
  <c r="H23" i="114"/>
  <c r="D23" i="114"/>
  <c r="K22" i="114"/>
  <c r="L22" i="114" s="1"/>
  <c r="I22" i="114"/>
  <c r="H22" i="114"/>
  <c r="D22" i="114"/>
  <c r="K21" i="114"/>
  <c r="L21" i="114" s="1"/>
  <c r="I21" i="114"/>
  <c r="H21" i="114"/>
  <c r="D21" i="114"/>
  <c r="K20" i="114"/>
  <c r="L20" i="114" s="1"/>
  <c r="I20" i="114"/>
  <c r="H20" i="114"/>
  <c r="D20" i="114"/>
  <c r="K19" i="114"/>
  <c r="L19" i="114" s="1"/>
  <c r="I19" i="114"/>
  <c r="H19" i="114"/>
  <c r="D19" i="114"/>
  <c r="K18" i="114"/>
  <c r="L18" i="114" s="1"/>
  <c r="I18" i="114"/>
  <c r="H18" i="114"/>
  <c r="D18" i="114"/>
  <c r="K17" i="114"/>
  <c r="L17" i="114" s="1"/>
  <c r="I17" i="114"/>
  <c r="H17" i="114"/>
  <c r="D17" i="114"/>
  <c r="K16" i="114"/>
  <c r="L16" i="114" s="1"/>
  <c r="I16" i="114"/>
  <c r="H16" i="114"/>
  <c r="D16" i="114"/>
  <c r="K15" i="114"/>
  <c r="L15" i="114" s="1"/>
  <c r="I15" i="114"/>
  <c r="H15" i="114"/>
  <c r="D15" i="114"/>
  <c r="K14" i="114"/>
  <c r="L14" i="114" s="1"/>
  <c r="I14" i="114"/>
  <c r="H14" i="114"/>
  <c r="D14" i="114"/>
  <c r="F7" i="114"/>
  <c r="M29" i="117" l="1"/>
  <c r="N29" i="117" s="1"/>
  <c r="N29" i="116"/>
  <c r="L35" i="115"/>
  <c r="L36" i="115" s="1"/>
  <c r="L37" i="115" s="1"/>
  <c r="L38" i="115" s="1"/>
  <c r="L39" i="115" s="1"/>
  <c r="L35" i="114"/>
  <c r="L36" i="114" s="1"/>
  <c r="L37" i="114" s="1"/>
  <c r="L43" i="52"/>
  <c r="N43" i="52" s="1"/>
  <c r="F11" i="113"/>
  <c r="L38" i="114" l="1"/>
  <c r="L39" i="114" s="1"/>
  <c r="L44" i="52"/>
  <c r="L45" i="52" l="1"/>
  <c r="L46" i="52" s="1"/>
  <c r="L47" i="52" s="1"/>
  <c r="F10" i="109" l="1"/>
  <c r="M39" i="112"/>
  <c r="L18" i="112"/>
  <c r="L39" i="112" s="1"/>
  <c r="D18" i="112"/>
  <c r="F11" i="112"/>
  <c r="K18" i="111"/>
  <c r="F11" i="111"/>
  <c r="M39" i="110"/>
  <c r="K18" i="110"/>
  <c r="L18" i="110" s="1"/>
  <c r="L39" i="110" s="1"/>
  <c r="L40" i="110" s="1"/>
  <c r="L41" i="110" s="1"/>
  <c r="L42" i="110" s="1"/>
  <c r="L43" i="110" s="1"/>
  <c r="D18" i="110"/>
  <c r="F11" i="110"/>
  <c r="L17" i="109"/>
  <c r="L38" i="109" s="1"/>
  <c r="L39" i="109" s="1"/>
  <c r="L40" i="109" s="1"/>
  <c r="D17" i="109"/>
  <c r="K18" i="108"/>
  <c r="L18" i="108" s="1"/>
  <c r="L39" i="108" s="1"/>
  <c r="L40" i="108" s="1"/>
  <c r="L41" i="108" s="1"/>
  <c r="L42" i="108" s="1"/>
  <c r="L43" i="108" s="1"/>
  <c r="D18" i="108"/>
  <c r="F11" i="108"/>
  <c r="L18" i="111" l="1"/>
  <c r="L25" i="111" s="1"/>
  <c r="L26" i="111" s="1"/>
  <c r="L27" i="111" s="1"/>
  <c r="L28" i="111" s="1"/>
  <c r="L29" i="111" s="1"/>
  <c r="O18" i="111"/>
  <c r="P18" i="111" s="1"/>
  <c r="M25" i="111" s="1"/>
  <c r="L41" i="109"/>
  <c r="L42" i="109" s="1"/>
  <c r="L40" i="112"/>
  <c r="L41" i="112" s="1"/>
  <c r="L42" i="112" s="1"/>
  <c r="L43" i="112" s="1"/>
  <c r="N25" i="111" l="1"/>
  <c r="C19" i="107"/>
  <c r="F12" i="107"/>
  <c r="I19" i="107" l="1"/>
  <c r="H19" i="107"/>
  <c r="K19" i="107"/>
  <c r="L19" i="107" s="1"/>
  <c r="L37" i="107" s="1"/>
  <c r="L38" i="107" s="1"/>
  <c r="L39" i="107" s="1"/>
  <c r="L40" i="107" s="1"/>
  <c r="L41" i="107" s="1"/>
  <c r="D19" i="107"/>
  <c r="K18" i="106" l="1"/>
  <c r="D18" i="106"/>
  <c r="F11" i="106"/>
  <c r="L18" i="105"/>
  <c r="L38" i="105" s="1"/>
  <c r="I18" i="105"/>
  <c r="H18" i="105"/>
  <c r="D18" i="105"/>
  <c r="F11" i="105"/>
  <c r="K18" i="104"/>
  <c r="D18" i="104"/>
  <c r="F11" i="104"/>
  <c r="L18" i="106" l="1"/>
  <c r="L36" i="106" s="1"/>
  <c r="O18" i="106"/>
  <c r="P18" i="106" s="1"/>
  <c r="M36" i="106" s="1"/>
  <c r="L18" i="104"/>
  <c r="L34" i="104" s="1"/>
  <c r="L35" i="104" s="1"/>
  <c r="L36" i="104" s="1"/>
  <c r="O18" i="104"/>
  <c r="P18" i="104" s="1"/>
  <c r="M34" i="104" s="1"/>
  <c r="L39" i="105"/>
  <c r="L40" i="105" s="1"/>
  <c r="L41" i="105" s="1"/>
  <c r="L42" i="105" s="1"/>
  <c r="M38" i="105"/>
  <c r="L18" i="103"/>
  <c r="L31" i="103" s="1"/>
  <c r="I18" i="103"/>
  <c r="H18" i="103"/>
  <c r="D18" i="103"/>
  <c r="F11" i="103"/>
  <c r="L37" i="106" l="1"/>
  <c r="L38" i="106" s="1"/>
  <c r="L39" i="106" s="1"/>
  <c r="L40" i="106" s="1"/>
  <c r="N36" i="106"/>
  <c r="N34" i="104"/>
  <c r="L37" i="104"/>
  <c r="L38" i="104" s="1"/>
  <c r="L32" i="103"/>
  <c r="L33" i="103" s="1"/>
  <c r="L34" i="103" s="1"/>
  <c r="L35" i="103" s="1"/>
  <c r="L29" i="102"/>
  <c r="N29" i="102" s="1"/>
  <c r="F11" i="102"/>
  <c r="L30" i="102" l="1"/>
  <c r="L31" i="102" s="1"/>
  <c r="L32" i="102" s="1"/>
  <c r="L33" i="102" s="1"/>
  <c r="K18" i="101" l="1"/>
  <c r="F11" i="101"/>
  <c r="C18" i="100"/>
  <c r="F11" i="100"/>
  <c r="F11" i="99"/>
  <c r="L18" i="101" l="1"/>
  <c r="L39" i="101" s="1"/>
  <c r="L40" i="101" s="1"/>
  <c r="O18" i="101"/>
  <c r="P18" i="101" s="1"/>
  <c r="I18" i="100"/>
  <c r="H18" i="100"/>
  <c r="D18" i="100"/>
  <c r="K18" i="100"/>
  <c r="L18" i="100" s="1"/>
  <c r="L39" i="100" s="1"/>
  <c r="K19" i="98"/>
  <c r="K18" i="98"/>
  <c r="I19" i="98"/>
  <c r="H19" i="98"/>
  <c r="D19" i="98"/>
  <c r="I18" i="98"/>
  <c r="H18" i="98"/>
  <c r="D18" i="98"/>
  <c r="F11" i="98"/>
  <c r="L34" i="97"/>
  <c r="F11" i="97"/>
  <c r="F11" i="96"/>
  <c r="L35" i="97" l="1"/>
  <c r="L36" i="97" s="1"/>
  <c r="L37" i="97" s="1"/>
  <c r="L38" i="97" s="1"/>
  <c r="N34" i="97"/>
  <c r="L41" i="101"/>
  <c r="L42" i="101" s="1"/>
  <c r="L43" i="101" s="1"/>
  <c r="M39" i="101"/>
  <c r="N39" i="101" s="1"/>
  <c r="L18" i="98"/>
  <c r="O18" i="98"/>
  <c r="P18" i="98" s="1"/>
  <c r="L19" i="98"/>
  <c r="O19" i="98"/>
  <c r="P19" i="98" s="1"/>
  <c r="L40" i="100"/>
  <c r="L41" i="100" s="1"/>
  <c r="L42" i="100" s="1"/>
  <c r="L43" i="100" s="1"/>
  <c r="M39" i="100"/>
  <c r="L36" i="96"/>
  <c r="N36" i="96" s="1"/>
  <c r="L34" i="98" l="1"/>
  <c r="L35" i="98" s="1"/>
  <c r="L36" i="98" s="1"/>
  <c r="L37" i="98" s="1"/>
  <c r="L38" i="98" s="1"/>
  <c r="M34" i="98"/>
  <c r="L38" i="96"/>
  <c r="L39" i="96" s="1"/>
  <c r="L40" i="96" s="1"/>
  <c r="N34" i="98" l="1"/>
  <c r="M38" i="95"/>
  <c r="K18" i="95"/>
  <c r="L18" i="95" s="1"/>
  <c r="D18" i="95"/>
  <c r="F11" i="94"/>
  <c r="K18" i="65" l="1"/>
  <c r="L38" i="95"/>
  <c r="L39" i="95" s="1"/>
  <c r="L40" i="95" s="1"/>
  <c r="L41" i="95" s="1"/>
  <c r="L42" i="95" s="1"/>
  <c r="L18" i="145"/>
  <c r="L28" i="145" s="1"/>
  <c r="J473" i="7"/>
  <c r="K18" i="93"/>
  <c r="D18" i="93"/>
  <c r="F11" i="93"/>
  <c r="L29" i="145" l="1"/>
  <c r="L30" i="145" s="1"/>
  <c r="L31" i="145" s="1"/>
  <c r="L32" i="145" s="1"/>
  <c r="M28" i="145"/>
  <c r="L18" i="93"/>
  <c r="L33" i="93" s="1"/>
  <c r="L35" i="93" s="1"/>
  <c r="O18" i="93"/>
  <c r="P18" i="93" s="1"/>
  <c r="M33" i="93" s="1"/>
  <c r="N33" i="93" s="1"/>
  <c r="L18" i="65"/>
  <c r="O18" i="65"/>
  <c r="P18" i="65" s="1"/>
  <c r="M28" i="65" s="1"/>
  <c r="L45" i="94"/>
  <c r="L36" i="93" l="1"/>
  <c r="L37" i="93" s="1"/>
  <c r="L46" i="94"/>
  <c r="L47" i="94" s="1"/>
  <c r="F11" i="92"/>
  <c r="C18" i="91"/>
  <c r="F11" i="91"/>
  <c r="I18" i="91" l="1"/>
  <c r="H18" i="91"/>
  <c r="K18" i="91"/>
  <c r="L18" i="91" s="1"/>
  <c r="L36" i="92"/>
  <c r="N36" i="92" s="1"/>
  <c r="D18" i="91"/>
  <c r="L37" i="92" l="1"/>
  <c r="L38" i="92" s="1"/>
  <c r="L39" i="92" s="1"/>
  <c r="L40" i="92" s="1"/>
  <c r="L33" i="91"/>
  <c r="L34" i="91" l="1"/>
  <c r="L35" i="91" s="1"/>
  <c r="L36" i="91" s="1"/>
  <c r="L37" i="91" s="1"/>
  <c r="N32" i="91"/>
  <c r="M33" i="91"/>
  <c r="K18" i="90" l="1"/>
  <c r="F11" i="90"/>
  <c r="L18" i="90" l="1"/>
  <c r="O18" i="90"/>
  <c r="P18" i="90" s="1"/>
  <c r="H18" i="89"/>
  <c r="F11" i="89"/>
  <c r="F11" i="88"/>
  <c r="F11" i="87"/>
  <c r="L18" i="86"/>
  <c r="L30" i="86" s="1"/>
  <c r="M30" i="86" s="1"/>
  <c r="D18" i="86"/>
  <c r="F11" i="86"/>
  <c r="L30" i="85"/>
  <c r="M30" i="85" s="1"/>
  <c r="F11" i="85"/>
  <c r="L18" i="84"/>
  <c r="L35" i="84" s="1"/>
  <c r="D18" i="84"/>
  <c r="F11" i="84"/>
  <c r="F11" i="83"/>
  <c r="L36" i="84" l="1"/>
  <c r="L37" i="84" s="1"/>
  <c r="L38" i="84" s="1"/>
  <c r="L39" i="84" s="1"/>
  <c r="N35" i="84"/>
  <c r="L31" i="90"/>
  <c r="L32" i="90" s="1"/>
  <c r="L33" i="90" s="1"/>
  <c r="L34" i="90" s="1"/>
  <c r="L35" i="90" s="1"/>
  <c r="M31" i="90"/>
  <c r="L31" i="86"/>
  <c r="L32" i="86" s="1"/>
  <c r="L33" i="86" s="1"/>
  <c r="L34" i="86" s="1"/>
  <c r="N30" i="86"/>
  <c r="L31" i="85"/>
  <c r="L32" i="85" s="1"/>
  <c r="N30" i="85"/>
  <c r="D18" i="89"/>
  <c r="I18" i="89"/>
  <c r="K18" i="89"/>
  <c r="K18" i="82"/>
  <c r="L18" i="82" s="1"/>
  <c r="L30" i="82" s="1"/>
  <c r="L32" i="82" s="1"/>
  <c r="L33" i="82" s="1"/>
  <c r="L34" i="82" s="1"/>
  <c r="M30" i="82"/>
  <c r="D18" i="82"/>
  <c r="F11" i="82"/>
  <c r="N31" i="90" l="1"/>
  <c r="L33" i="85"/>
  <c r="L34" i="85" s="1"/>
  <c r="L18" i="89"/>
  <c r="L30" i="89" s="1"/>
  <c r="O18" i="89"/>
  <c r="P18" i="89" s="1"/>
  <c r="M30" i="89" s="1"/>
  <c r="L36" i="88"/>
  <c r="L37" i="88" s="1"/>
  <c r="L38" i="88" s="1"/>
  <c r="L18" i="78"/>
  <c r="D18" i="78"/>
  <c r="F11" i="78"/>
  <c r="K18" i="77"/>
  <c r="F11" i="77"/>
  <c r="K18" i="76"/>
  <c r="D18" i="76"/>
  <c r="F11" i="76"/>
  <c r="K18" i="75"/>
  <c r="F11" i="75"/>
  <c r="K18" i="74"/>
  <c r="L18" i="74" s="1"/>
  <c r="L39" i="74" s="1"/>
  <c r="D18" i="74"/>
  <c r="F11" i="74"/>
  <c r="K20" i="73"/>
  <c r="L20" i="73" s="1"/>
  <c r="D20" i="73"/>
  <c r="K19" i="73"/>
  <c r="L19" i="73" s="1"/>
  <c r="D19" i="73"/>
  <c r="K18" i="73"/>
  <c r="L18" i="73" s="1"/>
  <c r="D18" i="73"/>
  <c r="F11" i="73"/>
  <c r="N145" i="7"/>
  <c r="K25" i="72" s="1"/>
  <c r="N1" i="7"/>
  <c r="F11" i="72"/>
  <c r="L25" i="72" l="1"/>
  <c r="O25" i="72"/>
  <c r="P25" i="72" s="1"/>
  <c r="K24" i="72"/>
  <c r="L24" i="72" s="1"/>
  <c r="K26" i="72"/>
  <c r="K21" i="72"/>
  <c r="O21" i="72" s="1"/>
  <c r="P21" i="72" s="1"/>
  <c r="K23" i="72"/>
  <c r="K20" i="72"/>
  <c r="L20" i="72" s="1"/>
  <c r="K22" i="72"/>
  <c r="L18" i="75"/>
  <c r="L36" i="75" s="1"/>
  <c r="L37" i="75" s="1"/>
  <c r="L38" i="75" s="1"/>
  <c r="L39" i="75" s="1"/>
  <c r="L40" i="75" s="1"/>
  <c r="O18" i="75"/>
  <c r="P18" i="75" s="1"/>
  <c r="M36" i="75" s="1"/>
  <c r="L18" i="77"/>
  <c r="O18" i="77"/>
  <c r="P18" i="77" s="1"/>
  <c r="L18" i="76"/>
  <c r="L30" i="76" s="1"/>
  <c r="L31" i="76" s="1"/>
  <c r="L32" i="76" s="1"/>
  <c r="L33" i="76" s="1"/>
  <c r="L34" i="76" s="1"/>
  <c r="O18" i="76"/>
  <c r="P18" i="76" s="1"/>
  <c r="M30" i="76" s="1"/>
  <c r="N30" i="89"/>
  <c r="L31" i="89"/>
  <c r="L32" i="89" s="1"/>
  <c r="L33" i="89" s="1"/>
  <c r="L34" i="89" s="1"/>
  <c r="L37" i="87"/>
  <c r="L38" i="87" s="1"/>
  <c r="L39" i="87" s="1"/>
  <c r="L40" i="87" s="1"/>
  <c r="L40" i="74"/>
  <c r="L41" i="74" s="1"/>
  <c r="L42" i="74" s="1"/>
  <c r="L43" i="74" s="1"/>
  <c r="L38" i="73"/>
  <c r="L39" i="73" s="1"/>
  <c r="L40" i="73" s="1"/>
  <c r="L41" i="73" s="1"/>
  <c r="L42" i="73" s="1"/>
  <c r="L32" i="78"/>
  <c r="O24" i="72" l="1"/>
  <c r="P24" i="72" s="1"/>
  <c r="L26" i="72"/>
  <c r="O26" i="72"/>
  <c r="P26" i="72" s="1"/>
  <c r="L21" i="72"/>
  <c r="L23" i="72"/>
  <c r="O23" i="72"/>
  <c r="P23" i="72" s="1"/>
  <c r="O20" i="72"/>
  <c r="P20" i="72" s="1"/>
  <c r="L22" i="72"/>
  <c r="O22" i="72"/>
  <c r="P22" i="72" s="1"/>
  <c r="N30" i="76"/>
  <c r="L33" i="78"/>
  <c r="L34" i="78" s="1"/>
  <c r="L35" i="78" s="1"/>
  <c r="L36" i="78" s="1"/>
  <c r="N32" i="78"/>
  <c r="F11" i="71"/>
  <c r="M42" i="72" l="1"/>
  <c r="L42" i="72"/>
  <c r="L44" i="72" s="1"/>
  <c r="L45" i="72" s="1"/>
  <c r="L46" i="72" s="1"/>
  <c r="L47" i="71"/>
  <c r="L48" i="71" s="1"/>
  <c r="L49" i="71" s="1"/>
  <c r="L50" i="71" s="1"/>
  <c r="L51" i="71" s="1"/>
  <c r="L31" i="70"/>
  <c r="L18" i="69"/>
  <c r="L30" i="69" s="1"/>
  <c r="I18" i="69"/>
  <c r="H18" i="69"/>
  <c r="D18" i="69"/>
  <c r="F11" i="69"/>
  <c r="L30" i="68"/>
  <c r="N30" i="68" s="1"/>
  <c r="F11" i="68"/>
  <c r="N42" i="72" l="1"/>
  <c r="L31" i="69"/>
  <c r="L32" i="69" s="1"/>
  <c r="L33" i="69" s="1"/>
  <c r="L34" i="69" s="1"/>
  <c r="N30" i="69"/>
  <c r="L32" i="70"/>
  <c r="L33" i="70" s="1"/>
  <c r="L34" i="70" s="1"/>
  <c r="L35" i="70" s="1"/>
  <c r="N31" i="70"/>
  <c r="N47" i="71"/>
  <c r="L31" i="68"/>
  <c r="L32" i="68" s="1"/>
  <c r="L33" i="68" s="1"/>
  <c r="F11" i="67"/>
  <c r="L34" i="68" l="1"/>
  <c r="L33" i="67"/>
  <c r="M33" i="67" s="1"/>
  <c r="K18" i="66"/>
  <c r="D18" i="66"/>
  <c r="F11" i="66"/>
  <c r="L28" i="65"/>
  <c r="N28" i="65" s="1"/>
  <c r="F11" i="65"/>
  <c r="L18" i="66" l="1"/>
  <c r="L30" i="66" s="1"/>
  <c r="L31" i="66" s="1"/>
  <c r="L32" i="66" s="1"/>
  <c r="L33" i="66" s="1"/>
  <c r="L34" i="66" s="1"/>
  <c r="O18" i="66"/>
  <c r="P18" i="66" s="1"/>
  <c r="M30" i="66" s="1"/>
  <c r="L34" i="67"/>
  <c r="L35" i="67" s="1"/>
  <c r="L36" i="67" s="1"/>
  <c r="L37" i="67" s="1"/>
  <c r="N33" i="67"/>
  <c r="L29" i="65"/>
  <c r="L30" i="65" s="1"/>
  <c r="L18" i="64"/>
  <c r="D18" i="64"/>
  <c r="F11" i="64"/>
  <c r="N30" i="66" l="1"/>
  <c r="L31" i="64"/>
  <c r="L31" i="65"/>
  <c r="L32" i="65" s="1"/>
  <c r="C19" i="63"/>
  <c r="N19" i="63" s="1"/>
  <c r="C18" i="63"/>
  <c r="N18" i="63" s="1"/>
  <c r="F11" i="63"/>
  <c r="F11" i="61"/>
  <c r="F11" i="60"/>
  <c r="L32" i="64" l="1"/>
  <c r="L33" i="64" s="1"/>
  <c r="L34" i="64" s="1"/>
  <c r="L35" i="64" s="1"/>
  <c r="N31" i="64"/>
  <c r="I19" i="63"/>
  <c r="H19" i="63"/>
  <c r="I18" i="63"/>
  <c r="H18" i="63"/>
  <c r="K18" i="63"/>
  <c r="L18" i="63" s="1"/>
  <c r="D19" i="63"/>
  <c r="D18" i="63"/>
  <c r="K19" i="63"/>
  <c r="L19" i="63" s="1"/>
  <c r="L34" i="61"/>
  <c r="N34" i="61" s="1"/>
  <c r="K18" i="58"/>
  <c r="L18" i="58" s="1"/>
  <c r="M37" i="58"/>
  <c r="D19" i="58"/>
  <c r="D18" i="58"/>
  <c r="F11" i="58"/>
  <c r="K18" i="57"/>
  <c r="L18" i="57" s="1"/>
  <c r="K16" i="57"/>
  <c r="L16" i="57" s="1"/>
  <c r="K17" i="57"/>
  <c r="L17" i="57" s="1"/>
  <c r="K15" i="57"/>
  <c r="L15" i="57" s="1"/>
  <c r="L14" i="57"/>
  <c r="M35" i="57"/>
  <c r="F7" i="57"/>
  <c r="D19" i="56"/>
  <c r="F11" i="56"/>
  <c r="O19" i="63" l="1"/>
  <c r="P19" i="63" s="1"/>
  <c r="O18" i="63"/>
  <c r="P18" i="63" s="1"/>
  <c r="L33" i="63"/>
  <c r="L34" i="63" s="1"/>
  <c r="L35" i="63" s="1"/>
  <c r="L37" i="58"/>
  <c r="L38" i="58" s="1"/>
  <c r="L39" i="58" s="1"/>
  <c r="L40" i="58" s="1"/>
  <c r="L41" i="58" s="1"/>
  <c r="L35" i="57"/>
  <c r="M33" i="63" l="1"/>
  <c r="N33" i="63" s="1"/>
  <c r="L45" i="60"/>
  <c r="L46" i="60" s="1"/>
  <c r="L47" i="60" s="1"/>
  <c r="L48" i="60" s="1"/>
  <c r="L35" i="61"/>
  <c r="L36" i="61" s="1"/>
  <c r="L36" i="63"/>
  <c r="L37" i="63" s="1"/>
  <c r="L36" i="57"/>
  <c r="L37" i="57" s="1"/>
  <c r="L38" i="57" s="1"/>
  <c r="L39" i="57" s="1"/>
  <c r="L37" i="61" l="1"/>
  <c r="L38" i="61" s="1"/>
  <c r="L36" i="54"/>
  <c r="F11" i="54"/>
  <c r="K18" i="53"/>
  <c r="D18" i="53"/>
  <c r="F11" i="53"/>
  <c r="L18" i="53" l="1"/>
  <c r="L28" i="53" s="1"/>
  <c r="L29" i="53" s="1"/>
  <c r="L30" i="53" s="1"/>
  <c r="L31" i="53" s="1"/>
  <c r="L32" i="53" s="1"/>
  <c r="O18" i="53"/>
  <c r="P18" i="53" s="1"/>
  <c r="M28" i="53" s="1"/>
  <c r="L37" i="54"/>
  <c r="L38" i="54" s="1"/>
  <c r="L39" i="54" s="1"/>
  <c r="L40" i="54" s="1"/>
  <c r="N36" i="54"/>
  <c r="F11" i="52"/>
  <c r="N28" i="53" l="1"/>
  <c r="K18" i="51"/>
  <c r="D18" i="51"/>
  <c r="F11" i="50"/>
  <c r="F11" i="49"/>
  <c r="M39" i="47"/>
  <c r="L39" i="47"/>
  <c r="F11" i="47"/>
  <c r="F11" i="46"/>
  <c r="M39" i="45"/>
  <c r="K18" i="45"/>
  <c r="I18" i="45"/>
  <c r="H18" i="45"/>
  <c r="D18" i="45"/>
  <c r="F11" i="45"/>
  <c r="F11" i="44"/>
  <c r="L35" i="43"/>
  <c r="L36" i="43" s="1"/>
  <c r="F11" i="43"/>
  <c r="L18" i="51" l="1"/>
  <c r="O18" i="51"/>
  <c r="P18" i="51" s="1"/>
  <c r="L18" i="45"/>
  <c r="L39" i="45" s="1"/>
  <c r="L40" i="45" s="1"/>
  <c r="L41" i="45" s="1"/>
  <c r="L42" i="45" s="1"/>
  <c r="L43" i="45" s="1"/>
  <c r="O18" i="45"/>
  <c r="P18" i="45" s="1"/>
  <c r="L35" i="49"/>
  <c r="M35" i="49" s="1"/>
  <c r="L40" i="47"/>
  <c r="L41" i="47" s="1"/>
  <c r="L42" i="47" s="1"/>
  <c r="L43" i="47" s="1"/>
  <c r="L30" i="50"/>
  <c r="L31" i="50" s="1"/>
  <c r="L32" i="50" s="1"/>
  <c r="L33" i="50" s="1"/>
  <c r="L31" i="46"/>
  <c r="F11" i="42"/>
  <c r="F11" i="41"/>
  <c r="L39" i="44" l="1"/>
  <c r="L40" i="44" s="1"/>
  <c r="L41" i="44" s="1"/>
  <c r="L42" i="44" s="1"/>
  <c r="N38" i="44"/>
  <c r="L32" i="46"/>
  <c r="L33" i="46" s="1"/>
  <c r="L34" i="46" s="1"/>
  <c r="L35" i="46" s="1"/>
  <c r="N31" i="46"/>
  <c r="L36" i="49"/>
  <c r="L37" i="49" s="1"/>
  <c r="L38" i="49" s="1"/>
  <c r="L39" i="49" s="1"/>
  <c r="N35" i="49"/>
  <c r="L40" i="42"/>
  <c r="M40" i="42" s="1"/>
  <c r="L37" i="41"/>
  <c r="L41" i="42" l="1"/>
  <c r="L42" i="42" s="1"/>
  <c r="L43" i="42" s="1"/>
  <c r="L44" i="42" s="1"/>
  <c r="N40" i="42"/>
  <c r="L38" i="41"/>
  <c r="L39" i="41" s="1"/>
  <c r="L40" i="41" s="1"/>
  <c r="L41" i="41" s="1"/>
  <c r="N37" i="41"/>
  <c r="F11" i="40"/>
  <c r="L29" i="40" l="1"/>
  <c r="L30" i="40" s="1"/>
  <c r="L31" i="40" s="1"/>
  <c r="L32" i="40" l="1"/>
  <c r="L33" i="40" s="1"/>
  <c r="K18" i="36"/>
  <c r="D18" i="36"/>
  <c r="F11" i="36"/>
  <c r="L18" i="36" l="1"/>
  <c r="L33" i="36" s="1"/>
  <c r="L34" i="36" s="1"/>
  <c r="L35" i="36" s="1"/>
  <c r="L36" i="36" s="1"/>
  <c r="L37" i="36" s="1"/>
  <c r="O18" i="36"/>
  <c r="P18" i="36" s="1"/>
  <c r="M33" i="36" s="1"/>
  <c r="L303" i="7" l="1"/>
  <c r="L36" i="81" s="1"/>
  <c r="N36" i="81" s="1"/>
  <c r="L37" i="81" l="1"/>
  <c r="L38" i="81" s="1"/>
  <c r="L39" i="81" s="1"/>
  <c r="L40" i="81" s="1"/>
  <c r="J141" i="7"/>
  <c r="K19" i="185" l="1"/>
  <c r="L19" i="185" s="1"/>
  <c r="K24" i="83"/>
  <c r="K19" i="184"/>
  <c r="BX141" i="7"/>
  <c r="K20" i="136" s="1"/>
  <c r="K18" i="184"/>
  <c r="K18" i="185"/>
  <c r="K20" i="190"/>
  <c r="L20" i="190" s="1"/>
  <c r="L40" i="190" s="1"/>
  <c r="L41" i="190" s="1"/>
  <c r="L42" i="190" s="1"/>
  <c r="L43" i="190" s="1"/>
  <c r="L44" i="190" s="1"/>
  <c r="L32" i="113"/>
  <c r="L15" i="29"/>
  <c r="L14" i="29"/>
  <c r="G15" i="29"/>
  <c r="O19" i="185" l="1"/>
  <c r="P19" i="185" s="1"/>
  <c r="L24" i="83"/>
  <c r="L34" i="83" s="1"/>
  <c r="O24" i="83"/>
  <c r="P24" i="83" s="1"/>
  <c r="L20" i="136"/>
  <c r="O20" i="136"/>
  <c r="P20" i="136" s="1"/>
  <c r="L37" i="51"/>
  <c r="L38" i="51" s="1"/>
  <c r="L39" i="51" s="1"/>
  <c r="L40" i="51" s="1"/>
  <c r="L18" i="185"/>
  <c r="L39" i="185" s="1"/>
  <c r="O18" i="185"/>
  <c r="P18" i="185" s="1"/>
  <c r="L22" i="136"/>
  <c r="L19" i="184"/>
  <c r="O19" i="184"/>
  <c r="P19" i="184" s="1"/>
  <c r="L18" i="184"/>
  <c r="O18" i="184"/>
  <c r="P18" i="184" s="1"/>
  <c r="L33" i="113"/>
  <c r="L34" i="113" s="1"/>
  <c r="L35" i="113" s="1"/>
  <c r="L36" i="113" s="1"/>
  <c r="N32" i="113"/>
  <c r="L31" i="77"/>
  <c r="L32" i="77" s="1"/>
  <c r="L33" i="77" s="1"/>
  <c r="L34" i="77" s="1"/>
  <c r="L35" i="77" s="1"/>
  <c r="M31" i="77"/>
  <c r="L33" i="56"/>
  <c r="L34" i="56" s="1"/>
  <c r="L35" i="56" s="1"/>
  <c r="L36" i="56" s="1"/>
  <c r="L37" i="56" s="1"/>
  <c r="L35" i="29"/>
  <c r="L37" i="29" s="1"/>
  <c r="L39" i="29" s="1"/>
  <c r="M34" i="83" l="1"/>
  <c r="N34" i="83" s="1"/>
  <c r="L35" i="83"/>
  <c r="L36" i="83" s="1"/>
  <c r="L37" i="83" s="1"/>
  <c r="L38" i="83" s="1"/>
  <c r="L40" i="185"/>
  <c r="L41" i="185" s="1"/>
  <c r="L42" i="185" s="1"/>
  <c r="L43" i="185" s="1"/>
  <c r="M39" i="185"/>
  <c r="O22" i="136"/>
  <c r="P22" i="136" s="1"/>
  <c r="L36" i="136"/>
  <c r="L32" i="184"/>
  <c r="L33" i="184" s="1"/>
  <c r="L34" i="184" s="1"/>
  <c r="L35" i="184" s="1"/>
  <c r="L36" i="184" s="1"/>
  <c r="N31" i="77"/>
  <c r="M32" i="184" l="1"/>
  <c r="N32" i="184" s="1"/>
  <c r="M36" i="136"/>
  <c r="N36" i="136" s="1"/>
  <c r="L37" i="136"/>
  <c r="L38" i="136" s="1"/>
  <c r="L39" i="136" s="1"/>
  <c r="L40" i="13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desse</author>
    <author>user</author>
  </authors>
  <commentList>
    <comment ref="I56" authorId="0" shapeId="0" xr:uid="{9E6D19BC-21B9-4514-86AD-9F6109E91CC0}">
      <text>
        <r>
          <rPr>
            <b/>
            <sz val="9"/>
            <color indexed="81"/>
            <rFont val="Tahoma"/>
            <family val="2"/>
          </rPr>
          <t xml:space="preserve">CHANGE ON 30 JUN
</t>
        </r>
      </text>
    </comment>
    <comment ref="O75" authorId="1" shapeId="0" xr:uid="{CA1C4CEE-A73E-4D0D-AE0B-D70128C2E57F}">
      <text>
        <r>
          <rPr>
            <sz val="9"/>
            <color indexed="81"/>
            <rFont val="Tahoma"/>
            <family val="2"/>
          </rPr>
          <t xml:space="preserve">22-10-2019 PRICE INCREASE FROM $22 TO $24
</t>
        </r>
      </text>
    </comment>
    <comment ref="Q75" authorId="1" shapeId="0" xr:uid="{B021C631-84ED-4CDE-B64F-EDACA40CADC7}">
      <text>
        <r>
          <rPr>
            <sz val="9"/>
            <color indexed="81"/>
            <rFont val="Tahoma"/>
            <family val="2"/>
          </rPr>
          <t xml:space="preserve">22-10-2019 PRICE INCREASE FROM $22 TO $24
</t>
        </r>
      </text>
    </comment>
    <comment ref="T75" authorId="1" shapeId="0" xr:uid="{A2433319-4C4A-452B-A242-FB58EF74134E}">
      <text>
        <r>
          <rPr>
            <sz val="9"/>
            <color indexed="81"/>
            <rFont val="Tahoma"/>
            <family val="2"/>
          </rPr>
          <t xml:space="preserve">22-10-2019 PRICE INCREASE FROM $22 TO $24
</t>
        </r>
      </text>
    </comment>
    <comment ref="Z75" authorId="1" shapeId="0" xr:uid="{E7AD6346-D76F-4B06-823F-0F81864F4B5D}">
      <text>
        <r>
          <rPr>
            <sz val="9"/>
            <color indexed="81"/>
            <rFont val="Tahoma"/>
            <family val="2"/>
          </rPr>
          <t xml:space="preserve">22-10-2019 PRICE INCREASE FROM $22 TO $24
</t>
        </r>
      </text>
    </comment>
    <comment ref="N112" authorId="0" shapeId="0" xr:uid="{AC353806-6935-44C2-A51E-4CC73608F6FE}">
      <text>
        <r>
          <rPr>
            <b/>
            <sz val="9"/>
            <color indexed="81"/>
            <rFont val="Tahoma"/>
            <family val="2"/>
          </rPr>
          <t>0.80</t>
        </r>
      </text>
    </comment>
    <comment ref="O112" authorId="0" shapeId="0" xr:uid="{C9C69FC1-366D-4DB5-BDCA-18B8D3D42243}">
      <text>
        <r>
          <rPr>
            <b/>
            <sz val="9"/>
            <color indexed="81"/>
            <rFont val="Tahoma"/>
            <family val="2"/>
          </rPr>
          <t>0.70</t>
        </r>
      </text>
    </comment>
    <comment ref="R112" authorId="0" shapeId="0" xr:uid="{002E4FFE-79F4-4DF1-9D48-D0BDC0E59B1C}">
      <text>
        <r>
          <rPr>
            <b/>
            <sz val="9"/>
            <color indexed="81"/>
            <rFont val="Tahoma"/>
            <family val="2"/>
          </rPr>
          <t>0.80</t>
        </r>
      </text>
    </comment>
    <comment ref="M122" authorId="0" shapeId="0" xr:uid="{B3095577-B118-4816-9032-7FA4CC9D1C53}">
      <text>
        <r>
          <rPr>
            <b/>
            <sz val="9"/>
            <color indexed="81"/>
            <rFont val="Tahoma"/>
            <family val="2"/>
          </rPr>
          <t>desse:</t>
        </r>
        <r>
          <rPr>
            <sz val="9"/>
            <color indexed="81"/>
            <rFont val="Tahoma"/>
            <family val="2"/>
          </rPr>
          <t xml:space="preserve">
increase from 22 to 24 effective 15/12/2021</t>
        </r>
      </text>
    </comment>
    <comment ref="DA122" authorId="0" shapeId="0" xr:uid="{F7D67210-24D0-4A89-AF99-0BC1F49B5608}">
      <text>
        <r>
          <rPr>
            <b/>
            <sz val="9"/>
            <color indexed="81"/>
            <rFont val="Tahoma"/>
            <family val="2"/>
          </rPr>
          <t>17.3</t>
        </r>
      </text>
    </comment>
    <comment ref="M123" authorId="0" shapeId="0" xr:uid="{FCA04949-6027-4E9B-880E-1A2D989EFBB6}">
      <text>
        <r>
          <rPr>
            <b/>
            <sz val="9"/>
            <color indexed="81"/>
            <rFont val="Tahoma"/>
            <family val="2"/>
          </rPr>
          <t>desse:</t>
        </r>
        <r>
          <rPr>
            <sz val="9"/>
            <color indexed="81"/>
            <rFont val="Tahoma"/>
            <family val="2"/>
          </rPr>
          <t xml:space="preserve">
increase from 30 to $32 effective 15/12/2021</t>
        </r>
      </text>
    </comment>
    <comment ref="H144" authorId="0" shapeId="0" xr:uid="{D7E8930F-0740-4BC6-9CD9-5FFADF96717F}">
      <text>
        <r>
          <rPr>
            <b/>
            <sz val="9"/>
            <color indexed="81"/>
            <rFont val="Tahoma"/>
            <family val="2"/>
          </rPr>
          <t>desse:</t>
        </r>
        <r>
          <rPr>
            <sz val="9"/>
            <color indexed="81"/>
            <rFont val="Tahoma"/>
            <family val="2"/>
          </rPr>
          <t xml:space="preserve">
increase from 34 to 36 effective 1/12/2021
</t>
        </r>
      </text>
    </comment>
    <comment ref="K169" authorId="0" shapeId="0" xr:uid="{20714F8A-6EEF-474B-997A-1496AD7E2E06}">
      <text>
        <r>
          <rPr>
            <b/>
            <sz val="9"/>
            <color indexed="81"/>
            <rFont val="Tahoma"/>
            <family val="2"/>
          </rPr>
          <t>$78 to be change on 15 June 2022
prev $75</t>
        </r>
      </text>
    </comment>
    <comment ref="R180" authorId="1" shapeId="0" xr:uid="{6FCBA645-1739-432B-B1AB-282783A441DB}">
      <text>
        <r>
          <rPr>
            <b/>
            <sz val="9"/>
            <color indexed="81"/>
            <rFont val="Tahoma"/>
            <family val="2"/>
          </rPr>
          <t>effective 18-11-2019</t>
        </r>
      </text>
    </comment>
    <comment ref="N215" authorId="0" shapeId="0" xr:uid="{1AC08202-BBC0-4BA1-B4C1-2A1D1ADF2649}">
      <text>
        <r>
          <rPr>
            <b/>
            <sz val="9"/>
            <color indexed="81"/>
            <rFont val="Tahoma"/>
            <family val="2"/>
          </rPr>
          <t>$3</t>
        </r>
      </text>
    </comment>
    <comment ref="O215" authorId="0" shapeId="0" xr:uid="{48017D37-E8B0-4035-A6E7-53B2AD963E13}">
      <text>
        <r>
          <rPr>
            <b/>
            <sz val="9"/>
            <color indexed="81"/>
            <rFont val="Tahoma"/>
            <family val="2"/>
          </rPr>
          <t>$3</t>
        </r>
      </text>
    </comment>
    <comment ref="P215" authorId="0" shapeId="0" xr:uid="{62F8E2B6-323A-4949-A02B-8DD7A9D180D5}">
      <text>
        <r>
          <rPr>
            <b/>
            <sz val="9"/>
            <color indexed="81"/>
            <rFont val="Tahoma"/>
            <family val="2"/>
          </rPr>
          <t>$3</t>
        </r>
      </text>
    </comment>
    <comment ref="R215" authorId="0" shapeId="0" xr:uid="{04D337F3-D9A2-4FB6-99CF-DB946183F824}">
      <text>
        <r>
          <rPr>
            <b/>
            <sz val="9"/>
            <color indexed="81"/>
            <rFont val="Tahoma"/>
            <family val="2"/>
          </rPr>
          <t>$3</t>
        </r>
      </text>
    </comment>
    <comment ref="AC215" authorId="0" shapeId="0" xr:uid="{DB09883B-8764-4889-A48B-D5617A511D77}">
      <text>
        <r>
          <rPr>
            <b/>
            <sz val="9"/>
            <color indexed="81"/>
            <rFont val="Tahoma"/>
            <family val="2"/>
          </rPr>
          <t>$3</t>
        </r>
      </text>
    </comment>
    <comment ref="AF215" authorId="0" shapeId="0" xr:uid="{8980A80F-53F8-4D72-8D25-0FC846D6B8A5}">
      <text>
        <r>
          <rPr>
            <b/>
            <sz val="9"/>
            <color indexed="81"/>
            <rFont val="Tahoma"/>
            <family val="2"/>
          </rPr>
          <t>$3</t>
        </r>
      </text>
    </comment>
    <comment ref="BZ215" authorId="0" shapeId="0" xr:uid="{D38729CB-9E46-487A-BB48-FC2C2B72515D}">
      <text>
        <r>
          <rPr>
            <b/>
            <sz val="9"/>
            <color indexed="81"/>
            <rFont val="Tahoma"/>
            <family val="2"/>
          </rPr>
          <t>3</t>
        </r>
      </text>
    </comment>
    <comment ref="AS267" authorId="1" shapeId="0" xr:uid="{EB8275A1-8403-4BB2-88BF-30C71A48DB98}">
      <text>
        <r>
          <rPr>
            <sz val="9"/>
            <color indexed="81"/>
            <rFont val="Tahoma"/>
            <family val="2"/>
          </rPr>
          <t xml:space="preserve">24-09 INV: 201909470 BLK 168 INCREASSE
</t>
        </r>
      </text>
    </comment>
    <comment ref="BB267" authorId="1" shapeId="0" xr:uid="{9523E6F9-2963-48BC-9FD0-58C919328D39}">
      <text>
        <r>
          <rPr>
            <sz val="9"/>
            <color indexed="81"/>
            <rFont val="Tahoma"/>
            <family val="2"/>
          </rPr>
          <t xml:space="preserve">24-09 INV: 201909470 BLK 168 INCREASSE
</t>
        </r>
      </text>
    </comment>
    <comment ref="BX267" authorId="1" shapeId="0" xr:uid="{F2E34449-E988-42B6-BC05-3A6AF925DAA9}">
      <text>
        <r>
          <rPr>
            <sz val="9"/>
            <color indexed="81"/>
            <rFont val="Tahoma"/>
            <family val="2"/>
          </rPr>
          <t xml:space="preserve">24-09 INV: 201909470 BLK 168 INCREASSE
</t>
        </r>
      </text>
    </comment>
    <comment ref="AA268" authorId="0" shapeId="0" xr:uid="{90200F0F-263C-4325-B810-758A8F2C27F5}">
      <text>
        <r>
          <rPr>
            <b/>
            <sz val="9"/>
            <color indexed="81"/>
            <rFont val="Tahoma"/>
            <family val="2"/>
          </rPr>
          <t>$26</t>
        </r>
      </text>
    </comment>
    <comment ref="I270" authorId="0" shapeId="0" xr:uid="{84A2FE76-016D-44FF-A439-9F8E024A9BED}">
      <text>
        <r>
          <rPr>
            <b/>
            <sz val="9"/>
            <color indexed="81"/>
            <rFont val="Tahoma"/>
            <family val="2"/>
          </rPr>
          <t>$18</t>
        </r>
      </text>
    </comment>
    <comment ref="I272" authorId="0" shapeId="0" xr:uid="{DDEF4E86-CA1F-4DD1-9989-9DA3A1FFA2FA}">
      <text>
        <r>
          <rPr>
            <b/>
            <sz val="9"/>
            <color indexed="81"/>
            <rFont val="Tahoma"/>
            <family val="2"/>
          </rPr>
          <t>To change back to Golden Champ after July in stock</t>
        </r>
      </text>
    </comment>
    <comment ref="U302" authorId="0" shapeId="0" xr:uid="{18C4FE15-4E9A-4A1E-AEAD-C6C381B95C7B}">
      <text>
        <r>
          <rPr>
            <b/>
            <sz val="9"/>
            <color indexed="81"/>
            <rFont val="Tahoma"/>
            <family val="2"/>
          </rPr>
          <t>38</t>
        </r>
      </text>
    </comment>
    <comment ref="DA328" authorId="0" shapeId="0" xr:uid="{E8395BD5-459E-4FCB-9E7F-2F58270B0DFF}">
      <text>
        <r>
          <rPr>
            <b/>
            <sz val="9"/>
            <color indexed="81"/>
            <rFont val="Tahoma"/>
            <family val="2"/>
          </rPr>
          <t>create on 26 May 2022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332" authorId="0" shapeId="0" xr:uid="{E3895B58-1A41-4227-BFFE-A9184A696BE0}">
      <text>
        <r>
          <rPr>
            <b/>
            <sz val="9"/>
            <color indexed="81"/>
            <rFont val="Tahoma"/>
            <family val="2"/>
          </rPr>
          <t>$6.6</t>
        </r>
      </text>
    </comment>
    <comment ref="V349" authorId="1" shapeId="0" xr:uid="{C17AABA4-BA30-443A-A7A3-3F3F2F5C89B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1 June price increase to S$31</t>
        </r>
      </text>
    </comment>
    <comment ref="K353" authorId="0" shapeId="0" xr:uid="{0E8F6E2E-07E1-4BC6-B3D3-F48DA389C7CD}">
      <text>
        <r>
          <rPr>
            <b/>
            <sz val="9"/>
            <color indexed="81"/>
            <rFont val="Tahoma"/>
            <family val="2"/>
          </rPr>
          <t>$50 to be change on 15 June 2022
prev $42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J5" authorId="0" shapeId="0" xr:uid="{90D8935E-E192-4A71-86F1-547720E71636}">
      <text>
        <r>
          <rPr>
            <b/>
            <sz val="9"/>
            <color indexed="81"/>
            <rFont val="Tahoma"/>
            <family val="2"/>
          </rPr>
          <t>500 gmxs x 2</t>
        </r>
      </text>
    </comment>
    <comment ref="P14" authorId="0" shapeId="0" xr:uid="{069045F1-FDCE-477A-9283-5E38F7644291}">
      <text>
        <r>
          <rPr>
            <b/>
            <sz val="9"/>
            <color indexed="81"/>
            <rFont val="Tahoma"/>
            <family val="2"/>
          </rPr>
          <t>48 ctn</t>
        </r>
      </text>
    </comment>
    <comment ref="P15" authorId="0" shapeId="0" xr:uid="{4CAEB4BC-1EBC-455B-A8C5-2A688A350FD6}">
      <text>
        <r>
          <rPr>
            <b/>
            <sz val="9"/>
            <color indexed="81"/>
            <rFont val="Tahoma"/>
            <family val="2"/>
          </rPr>
          <t>48 ctn</t>
        </r>
      </text>
    </comment>
    <comment ref="P16" authorId="0" shapeId="0" xr:uid="{15BEC3FB-496C-4BEB-BE5C-19FCEF654F6F}">
      <text>
        <r>
          <rPr>
            <b/>
            <sz val="9"/>
            <color indexed="81"/>
            <rFont val="Tahoma"/>
            <family val="2"/>
          </rPr>
          <t>48 ctn</t>
        </r>
      </text>
    </comment>
    <comment ref="D33" authorId="0" shapeId="0" xr:uid="{4F094C6B-00ED-407B-BB13-44B457082FF2}">
      <text>
        <r>
          <rPr>
            <sz val="9"/>
            <color indexed="81"/>
            <rFont val="Tahoma"/>
            <family val="2"/>
          </rPr>
          <t xml:space="preserve">110 gm + 40 gm suger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M9" authorId="0" shapeId="0" xr:uid="{785A103C-AACF-4968-8D4A-21FF82CCE93F}">
      <text>
        <r>
          <rPr>
            <b/>
            <sz val="9"/>
            <color indexed="81"/>
            <rFont val="Tahoma"/>
            <family val="2"/>
          </rPr>
          <t>48 ctn</t>
        </r>
      </text>
    </comment>
    <comment ref="E14" authorId="0" shapeId="0" xr:uid="{6D33A60D-4FCA-482D-BF8A-8D6ED3FF8171}">
      <text>
        <r>
          <rPr>
            <b/>
            <sz val="9"/>
            <color indexed="81"/>
            <rFont val="Tahoma"/>
            <family val="2"/>
          </rPr>
          <t>500 gmxs x 2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<sst xmlns="http://schemas.openxmlformats.org/spreadsheetml/2006/main" count="15049" uniqueCount="2389">
  <si>
    <t>Product Code</t>
  </si>
  <si>
    <t>Description</t>
  </si>
  <si>
    <t>ITEM</t>
  </si>
  <si>
    <t>PRODUCT CODE</t>
  </si>
  <si>
    <t>DESCRIPTION</t>
  </si>
  <si>
    <t>QUANTITY</t>
  </si>
  <si>
    <t>UNIT PRICE</t>
  </si>
  <si>
    <t>AMOUNT (S$)</t>
  </si>
  <si>
    <t>Singapore 247918</t>
  </si>
  <si>
    <t>Bill To:</t>
  </si>
  <si>
    <t>Delivery To:</t>
  </si>
  <si>
    <t>Date</t>
  </si>
  <si>
    <t>Terms</t>
  </si>
  <si>
    <t>Sales</t>
  </si>
  <si>
    <t>30 days</t>
  </si>
  <si>
    <t>Sub-Total</t>
  </si>
  <si>
    <t>SGD</t>
  </si>
  <si>
    <t>Add GST</t>
  </si>
  <si>
    <t>Good received in good order and condition</t>
  </si>
  <si>
    <t>Good sold are not returnable or refunable</t>
  </si>
  <si>
    <t>Cheques Payment should be crossed and made payable to : Dessert Origin Pte Ltd</t>
  </si>
  <si>
    <t>Total Current Bill</t>
  </si>
  <si>
    <t>Less Discount</t>
  </si>
  <si>
    <t>Total Amount Payable</t>
  </si>
  <si>
    <t xml:space="preserve">I-Banking account : 3583150135 </t>
  </si>
  <si>
    <t>Bank-Branch No : 7375-466</t>
  </si>
  <si>
    <t>Bank Name : United oversea Bank Limited</t>
  </si>
  <si>
    <t>COMPANY CHOP &amp; SIGNATURE</t>
  </si>
  <si>
    <t>Dessert Origin Pte Ltd</t>
  </si>
  <si>
    <t>Tax Invoice</t>
  </si>
  <si>
    <t>Currency</t>
  </si>
  <si>
    <t>Standard Pack</t>
  </si>
  <si>
    <t>UOM</t>
  </si>
  <si>
    <t>Box</t>
  </si>
  <si>
    <t>1 kg</t>
  </si>
  <si>
    <t>CTN</t>
  </si>
  <si>
    <t>-</t>
  </si>
  <si>
    <t>Kg</t>
  </si>
  <si>
    <t>Ctn</t>
  </si>
  <si>
    <t>1 box</t>
  </si>
  <si>
    <t>Pkt</t>
  </si>
  <si>
    <t>2 kgs</t>
  </si>
  <si>
    <t>Bag</t>
  </si>
  <si>
    <t>Bottle</t>
  </si>
  <si>
    <t>Chefs</t>
  </si>
  <si>
    <t>Can</t>
  </si>
  <si>
    <t>Coco</t>
  </si>
  <si>
    <t>Champ</t>
  </si>
  <si>
    <t>Statue</t>
  </si>
  <si>
    <t>statue</t>
  </si>
  <si>
    <t>500 gm</t>
  </si>
  <si>
    <t>PKT</t>
  </si>
  <si>
    <t>Rabbit Brand</t>
  </si>
  <si>
    <t>INDONESIA</t>
  </si>
  <si>
    <t>5 kgs</t>
  </si>
  <si>
    <t>Tukhmaria</t>
  </si>
  <si>
    <t>1kg</t>
  </si>
  <si>
    <t>AA</t>
  </si>
  <si>
    <t>Mitrphol</t>
  </si>
  <si>
    <t>Kara UHT</t>
  </si>
  <si>
    <t>Brand</t>
  </si>
  <si>
    <t>DO!</t>
  </si>
  <si>
    <t>INGCOD1019</t>
  </si>
  <si>
    <t>INGCOD1021</t>
  </si>
  <si>
    <t>10kgs/ctn</t>
  </si>
  <si>
    <t>INGCOD1052</t>
  </si>
  <si>
    <t>3KGS/PKT</t>
  </si>
  <si>
    <t>INGCOD1022</t>
  </si>
  <si>
    <t>5KGS/PKT</t>
  </si>
  <si>
    <t>INGCOD1027</t>
  </si>
  <si>
    <t>INGCOD1029</t>
  </si>
  <si>
    <t>3 KGS/PKT</t>
  </si>
  <si>
    <t>INGCOD1038</t>
  </si>
  <si>
    <t>10PKT/BAG</t>
  </si>
  <si>
    <t>INGCOD1048</t>
  </si>
  <si>
    <t>1 KG</t>
  </si>
  <si>
    <t>INGCOD1051</t>
  </si>
  <si>
    <t>INGCOD1060</t>
  </si>
  <si>
    <t>INGCOD1061</t>
  </si>
  <si>
    <t>INGCOD1016</t>
  </si>
  <si>
    <t>INGCOD1030</t>
  </si>
  <si>
    <t>INGCOD1035</t>
  </si>
  <si>
    <t>INGCOD1033</t>
  </si>
  <si>
    <t>INGCOD1037</t>
  </si>
  <si>
    <t>INGCOD1041</t>
  </si>
  <si>
    <t>INGCOD1042</t>
  </si>
  <si>
    <t>INGCOD1043</t>
  </si>
  <si>
    <t>Delivery Location</t>
  </si>
  <si>
    <t>ID</t>
  </si>
  <si>
    <t>ID#02</t>
  </si>
  <si>
    <t>ID#03</t>
  </si>
  <si>
    <t>ID#04</t>
  </si>
  <si>
    <t>INGCOD1020</t>
  </si>
  <si>
    <t>INGCOD1050</t>
  </si>
  <si>
    <t>INGCOD1059</t>
  </si>
  <si>
    <t>INGCOOK266</t>
  </si>
  <si>
    <t>12 Can/Ctn</t>
  </si>
  <si>
    <t>INGCOD1064</t>
  </si>
  <si>
    <t>ID#05</t>
  </si>
  <si>
    <t>INGCOD1055</t>
  </si>
  <si>
    <t>1 Can X A10</t>
  </si>
  <si>
    <t>INGCOD1066</t>
  </si>
  <si>
    <t>500 ML/BTL</t>
  </si>
  <si>
    <t>BL BRAND</t>
  </si>
  <si>
    <t>INGCOOK239</t>
  </si>
  <si>
    <t>ID#06</t>
  </si>
  <si>
    <t>ID#07</t>
  </si>
  <si>
    <t>Tin</t>
  </si>
  <si>
    <t>500 gms</t>
  </si>
  <si>
    <t>5 kg</t>
  </si>
  <si>
    <t>DO022</t>
  </si>
  <si>
    <t>INGCOD1031</t>
  </si>
  <si>
    <t>1 pc</t>
  </si>
  <si>
    <t>Pce</t>
  </si>
  <si>
    <t>INGCOD1024</t>
  </si>
  <si>
    <t>INGCOD1036</t>
  </si>
  <si>
    <t>INGCOD1039</t>
  </si>
  <si>
    <t>INGCOD1040</t>
  </si>
  <si>
    <t>INGCOD1049</t>
  </si>
  <si>
    <t>INGCOD1023</t>
  </si>
  <si>
    <t>INGCOD1017</t>
  </si>
  <si>
    <t>INGCOD1015</t>
  </si>
  <si>
    <t>INGCOD1034</t>
  </si>
  <si>
    <t>INGCOD1151</t>
  </si>
  <si>
    <t>INGCOOK240</t>
  </si>
  <si>
    <t>INGCOD1045</t>
  </si>
  <si>
    <t>INGCOD1004</t>
  </si>
  <si>
    <t>INGCOD1047</t>
  </si>
  <si>
    <t>INGCOD1032</t>
  </si>
  <si>
    <t>INGCOD1107</t>
  </si>
  <si>
    <t>BTL</t>
  </si>
  <si>
    <t>INGCOD1065</t>
  </si>
  <si>
    <t>Food Junction Singapore Pte Ltd</t>
  </si>
  <si>
    <t>10 kg</t>
  </si>
  <si>
    <t>1 Btl</t>
  </si>
  <si>
    <t>25 kgs/Bag</t>
  </si>
  <si>
    <t>30 kgs/bag</t>
  </si>
  <si>
    <t>Food Junction</t>
  </si>
  <si>
    <t>Koufu</t>
  </si>
  <si>
    <t>The Dessert</t>
  </si>
  <si>
    <t>Rose</t>
  </si>
  <si>
    <t>ID#01</t>
  </si>
  <si>
    <t>ID#08</t>
  </si>
  <si>
    <t>Toast Junction                                         NEX Stall #MR3, 23 Serangoon Central #04-16. Nex Shopping Mall. Singapore 556083</t>
  </si>
  <si>
    <t>ID#09</t>
  </si>
  <si>
    <t>ID#10</t>
  </si>
  <si>
    <t>ID#11</t>
  </si>
  <si>
    <t>ID#12</t>
  </si>
  <si>
    <t>ID#13</t>
  </si>
  <si>
    <t>ID#14</t>
  </si>
  <si>
    <t>ID#15</t>
  </si>
  <si>
    <t>ID#16</t>
  </si>
  <si>
    <t>ID#17</t>
  </si>
  <si>
    <t>ID#18</t>
  </si>
  <si>
    <t>ID#19</t>
  </si>
  <si>
    <t>ID#20</t>
  </si>
  <si>
    <t>ID#21</t>
  </si>
  <si>
    <t>ID#22</t>
  </si>
  <si>
    <t>ID#23</t>
  </si>
  <si>
    <t>ID#24</t>
  </si>
  <si>
    <t>ID#25</t>
  </si>
  <si>
    <t>ID#26</t>
  </si>
  <si>
    <t>ID#27</t>
  </si>
  <si>
    <t>ID#28</t>
  </si>
  <si>
    <t>ID#29</t>
  </si>
  <si>
    <t>ID#30</t>
  </si>
  <si>
    <t>ID#31</t>
  </si>
  <si>
    <t>ID#32</t>
  </si>
  <si>
    <t>ID#33</t>
  </si>
  <si>
    <t>ID#34</t>
  </si>
  <si>
    <t>ID#35</t>
  </si>
  <si>
    <t>PO No</t>
  </si>
  <si>
    <t>New Trends</t>
  </si>
  <si>
    <t>6 BOTTLE</t>
  </si>
  <si>
    <t>BOX</t>
  </si>
  <si>
    <t>Dessert Station</t>
  </si>
  <si>
    <t>Zhu Fang Ruo</t>
  </si>
  <si>
    <t>DO076</t>
  </si>
  <si>
    <t>5 lt</t>
  </si>
  <si>
    <t>Almond No 1</t>
  </si>
  <si>
    <t>Mango</t>
  </si>
  <si>
    <t>Sin-ind</t>
  </si>
  <si>
    <t>Hershey's</t>
  </si>
  <si>
    <t>Dawn</t>
  </si>
  <si>
    <t>380gm/can x 48</t>
  </si>
  <si>
    <t>Yu Kee</t>
  </si>
  <si>
    <t>Btl</t>
  </si>
  <si>
    <t>91, Tanglin Road. #02-02.</t>
  </si>
  <si>
    <t>The Foodies Hub @Tanglin Place</t>
  </si>
  <si>
    <t>S111</t>
  </si>
  <si>
    <t>S111 Pte Ltd                                             26A, Kallang Place. Singapore 339212</t>
  </si>
  <si>
    <t>S111 Beverage Pte Ltd                            No 61, Tai Seng Ave. Singapore 534167</t>
  </si>
  <si>
    <t>Group Billing</t>
  </si>
  <si>
    <t>ERWAN</t>
  </si>
  <si>
    <t>Tan Soon Mui Food Industries                       8, Woodlands Terrace. Singapore 738433.</t>
  </si>
  <si>
    <t>Tan Soon Mei</t>
  </si>
  <si>
    <t>Wee Kee Catering Pte Ltd                       8A, Admiralty Street Food Exchange     #03-07. Singapore 757437.</t>
  </si>
  <si>
    <t>Ronnie kitchen Pte Ltd                            8A, Admiralty Street Food Exchange      #06-07. Singapore 757437.</t>
  </si>
  <si>
    <t>Rasa</t>
  </si>
  <si>
    <t>ID#36</t>
  </si>
  <si>
    <t>ID#37</t>
  </si>
  <si>
    <t>ID#38</t>
  </si>
  <si>
    <t>ID#39</t>
  </si>
  <si>
    <t>ID#40</t>
  </si>
  <si>
    <t>ID#41</t>
  </si>
  <si>
    <t>ID#42</t>
  </si>
  <si>
    <t>ID#43</t>
  </si>
  <si>
    <t>ID#44</t>
  </si>
  <si>
    <t>ID#45</t>
  </si>
  <si>
    <t>ID#46</t>
  </si>
  <si>
    <t>ID#47</t>
  </si>
  <si>
    <t>ID#48</t>
  </si>
  <si>
    <t>ID#49</t>
  </si>
  <si>
    <t>ID#50</t>
  </si>
  <si>
    <t>ID#51</t>
  </si>
  <si>
    <t>ID#52</t>
  </si>
  <si>
    <t>ID#53</t>
  </si>
  <si>
    <t>ID#54</t>
  </si>
  <si>
    <t>ID#55</t>
  </si>
  <si>
    <t>ID#56</t>
  </si>
  <si>
    <t>ID#57</t>
  </si>
  <si>
    <t>ID#58</t>
  </si>
  <si>
    <t>ID#59</t>
  </si>
  <si>
    <t>ID#60</t>
  </si>
  <si>
    <t>ID#61</t>
  </si>
  <si>
    <t>ID#62</t>
  </si>
  <si>
    <t>ID#63</t>
  </si>
  <si>
    <t>ID#64</t>
  </si>
  <si>
    <t>ID#65</t>
  </si>
  <si>
    <t>ID#66</t>
  </si>
  <si>
    <t>ID#67</t>
  </si>
  <si>
    <t>ID#68</t>
  </si>
  <si>
    <t>ID#69</t>
  </si>
  <si>
    <t>ID#70</t>
  </si>
  <si>
    <t>ID#71</t>
  </si>
  <si>
    <t>ID#72</t>
  </si>
  <si>
    <t>ID#73</t>
  </si>
  <si>
    <t>3Q Jelly</t>
  </si>
  <si>
    <t xml:space="preserve">Tea Three </t>
  </si>
  <si>
    <t>ID#74</t>
  </si>
  <si>
    <t>Dessert First Pte Ltd                                   37, #01-407 Jalan Rummah Tinggi Singapore 150037</t>
  </si>
  <si>
    <t>Dessert First</t>
  </si>
  <si>
    <t>PKt</t>
  </si>
  <si>
    <t>ID#75</t>
  </si>
  <si>
    <t>Ally</t>
  </si>
  <si>
    <t>Ally McBean's Food Supply                       Block 115 Aljunied Ave 2 #01-53B Singapore 380115</t>
  </si>
  <si>
    <t>ID#76</t>
  </si>
  <si>
    <t>梅林</t>
  </si>
  <si>
    <t>甜甜</t>
  </si>
  <si>
    <t>Drink &amp; Dessert Stall                                  Bugis Stall #16. 200 Victoria Street     #03-30. Bugis Junction. Singapore 188021</t>
  </si>
  <si>
    <t>ID#77</t>
  </si>
  <si>
    <t>ID#78</t>
  </si>
  <si>
    <t>Individual</t>
  </si>
  <si>
    <t>Balestire</t>
  </si>
  <si>
    <t xml:space="preserve">JNS 111 Food                                               Cuppage Plaza #B1-19/20. Singapore 228796 </t>
  </si>
  <si>
    <t>JNS 111 Food                                               River Vally Point #01-11 Singapore 248371.</t>
  </si>
  <si>
    <t>TL</t>
  </si>
  <si>
    <t>丰</t>
  </si>
  <si>
    <t>20 kgs/tin</t>
  </si>
  <si>
    <t>2P</t>
  </si>
  <si>
    <t>Mini</t>
  </si>
  <si>
    <t>梅林                                                             Block 425, #06-409 Tampines Street 41, Singapore 520425</t>
  </si>
  <si>
    <t>ID#79</t>
  </si>
  <si>
    <t>ID#80</t>
  </si>
  <si>
    <t>ID#81</t>
  </si>
  <si>
    <t>ID#82</t>
  </si>
  <si>
    <t>ID#83</t>
  </si>
  <si>
    <t>Tub</t>
  </si>
  <si>
    <t>4 lt</t>
  </si>
  <si>
    <t>Drum</t>
  </si>
  <si>
    <t xml:space="preserve">Fresh Soursop 红毛榴莲 </t>
  </si>
  <si>
    <t>Fresh Soursop 红毛榴莲(无)</t>
  </si>
  <si>
    <t>Durian Puree 榴莲</t>
  </si>
  <si>
    <t>Mango Puree芒果</t>
  </si>
  <si>
    <t>Strawberry Puree草莓</t>
  </si>
  <si>
    <t>Guava Puree番石榴</t>
  </si>
  <si>
    <t>Q Ball Q圆</t>
  </si>
  <si>
    <t>Tadpole蝌蚪</t>
  </si>
  <si>
    <t>Honey Pearl - Black 蜜糖珍珠</t>
  </si>
  <si>
    <t>Tapioca木薯</t>
  </si>
  <si>
    <t>Rock Suger冰糖</t>
  </si>
  <si>
    <t>Bobo Cha Cubes.摩摩喳喳</t>
  </si>
  <si>
    <t>Chendol浆咯</t>
  </si>
  <si>
    <t>Chin Chow  仙 草</t>
  </si>
  <si>
    <t>Jelly Powder 文头雪粉</t>
  </si>
  <si>
    <t>Agar Powder菜燕粉</t>
  </si>
  <si>
    <t>Sea Coconut海底椰</t>
  </si>
  <si>
    <t>Longan in Syrup龙眼</t>
  </si>
  <si>
    <t>Lychee in Syrup荔枝</t>
  </si>
  <si>
    <t>Fruit Cocktail杂果</t>
  </si>
  <si>
    <t>Cream Corn玉米浆</t>
  </si>
  <si>
    <t>425g/Canx 12</t>
  </si>
  <si>
    <t>Whole Corn玉米粒</t>
  </si>
  <si>
    <t>410G/Canx 12</t>
  </si>
  <si>
    <t>Peach 桃畔</t>
  </si>
  <si>
    <t>Atap Seeds in Syrup亚嗒子</t>
  </si>
  <si>
    <t>Sweeten Melon Strip冬瓜条</t>
  </si>
  <si>
    <t>Coconut Sugar椰糖</t>
  </si>
  <si>
    <t>Sweet Potato Powder番薯粉</t>
  </si>
  <si>
    <t>Flavour Essence香精</t>
  </si>
  <si>
    <t>Tapioca Flour 茨粉</t>
  </si>
  <si>
    <t>Selaseh (Basil Seed) 青蛙蛋</t>
  </si>
  <si>
    <t>Red Bean红豆</t>
  </si>
  <si>
    <t>Chia Tao赤豆</t>
  </si>
  <si>
    <t>Green Bean 绿豆</t>
  </si>
  <si>
    <t>Split Green Mung Bean豆畔</t>
  </si>
  <si>
    <t>Black Glutinous Rice 黑糯米</t>
  </si>
  <si>
    <t>White Glutinous Rice白糯米</t>
  </si>
  <si>
    <t>White Wheat 大麦</t>
  </si>
  <si>
    <t>Pearl Barley 薏米</t>
  </si>
  <si>
    <t>Big Sago 大丸</t>
  </si>
  <si>
    <t>Small Sago 小丸</t>
  </si>
  <si>
    <t>Dried Longan 龙眼干</t>
  </si>
  <si>
    <t>White Fungus 白木耳</t>
  </si>
  <si>
    <t>Red Date 红枣</t>
  </si>
  <si>
    <t>Dried Persimmon 柿子</t>
  </si>
  <si>
    <t>Brown Sugar 黑糖</t>
  </si>
  <si>
    <t>Red Sugar 赤糖</t>
  </si>
  <si>
    <t>Fine Sugar 白糖</t>
  </si>
  <si>
    <t>Pong Thai Hai (Dry) 碰大海</t>
  </si>
  <si>
    <t>Pong Thai Hai (Wet) 碰大海</t>
  </si>
  <si>
    <t>Bean Curd Sheet 腐竹</t>
  </si>
  <si>
    <t>Potato Starch 风车粉</t>
  </si>
  <si>
    <t>Sweet Potato 番薯</t>
  </si>
  <si>
    <t>Yam 芋头</t>
  </si>
  <si>
    <t>Yam 芋头去皮</t>
  </si>
  <si>
    <t>Pandan Leaf 班兰叶</t>
  </si>
  <si>
    <t>Water Chestnut 马蹄</t>
  </si>
  <si>
    <t>Coconut Milk 椰浆</t>
  </si>
  <si>
    <t>Ginger 老姜</t>
  </si>
  <si>
    <t>Yu Tiao 油条</t>
  </si>
  <si>
    <t>Candy Sugar 片糖</t>
  </si>
  <si>
    <t>Fine Salt  幼盐</t>
  </si>
  <si>
    <t>Liquid Maltose 麦芽糖</t>
  </si>
  <si>
    <t>SALT 盐</t>
  </si>
  <si>
    <t>Sour Plum 酸梅</t>
  </si>
  <si>
    <t>Canned Red Bean 罐头 红豆</t>
  </si>
  <si>
    <t>Peanut 花生</t>
  </si>
  <si>
    <t>SODA 苏打粉</t>
  </si>
  <si>
    <t>Colour Rice 七彩米</t>
  </si>
  <si>
    <t>CoCo Rice 可可米</t>
  </si>
  <si>
    <t>Coconut Suger Syrup 椰糖浆</t>
  </si>
  <si>
    <t>RICE FLOUR 粘米粉</t>
  </si>
  <si>
    <t>KIWI Syrup 奇异果</t>
  </si>
  <si>
    <t>Water Chestnut Juice 马蹄水</t>
  </si>
  <si>
    <t>Calamansi Juice 酸柑水</t>
  </si>
  <si>
    <t>Sour Plum Juice 酸梅水</t>
  </si>
  <si>
    <t>Rose Juice 玫瑰水</t>
  </si>
  <si>
    <t>Passion Fruit Jam 百香果</t>
  </si>
  <si>
    <t>Green Apple Jam  青苹果</t>
  </si>
  <si>
    <t>Blueberry 蓝莓酱</t>
  </si>
  <si>
    <t>Avocodo 鳄梨酱</t>
  </si>
  <si>
    <t>Dried Longan (yellow) 果子肉</t>
  </si>
  <si>
    <t>Agar Strip 菜燕条</t>
  </si>
  <si>
    <t>Butter 牛油</t>
  </si>
  <si>
    <t>Packing Method</t>
  </si>
  <si>
    <t>Delivery Group</t>
  </si>
  <si>
    <t>H</t>
  </si>
  <si>
    <t>H, SM</t>
  </si>
  <si>
    <t>SM</t>
  </si>
  <si>
    <t>H, C</t>
  </si>
  <si>
    <t>C</t>
  </si>
  <si>
    <t>H,C</t>
  </si>
  <si>
    <t>SM, H,C</t>
  </si>
  <si>
    <t>ID#84</t>
  </si>
  <si>
    <t>ID#85</t>
  </si>
  <si>
    <t>ID#86</t>
  </si>
  <si>
    <t>M001</t>
  </si>
  <si>
    <t>M002</t>
  </si>
  <si>
    <t>M003</t>
  </si>
  <si>
    <t>M005</t>
  </si>
  <si>
    <t>M006</t>
  </si>
  <si>
    <t>M007</t>
  </si>
  <si>
    <t>M008</t>
  </si>
  <si>
    <t>M009</t>
  </si>
  <si>
    <t>M010</t>
  </si>
  <si>
    <t>M011</t>
  </si>
  <si>
    <t>M012</t>
  </si>
  <si>
    <t>M015</t>
  </si>
  <si>
    <t>P001</t>
  </si>
  <si>
    <t>P002</t>
  </si>
  <si>
    <t>P003</t>
  </si>
  <si>
    <t>P004</t>
  </si>
  <si>
    <t>P006</t>
  </si>
  <si>
    <t>P007</t>
  </si>
  <si>
    <t>P008</t>
  </si>
  <si>
    <t>P009</t>
  </si>
  <si>
    <t>P010</t>
  </si>
  <si>
    <t>P012</t>
  </si>
  <si>
    <t>P013</t>
  </si>
  <si>
    <t>P014</t>
  </si>
  <si>
    <t>P016</t>
  </si>
  <si>
    <t>P017</t>
  </si>
  <si>
    <t>P019</t>
  </si>
  <si>
    <t>P020</t>
  </si>
  <si>
    <t>P021</t>
  </si>
  <si>
    <t>P022</t>
  </si>
  <si>
    <t>P023</t>
  </si>
  <si>
    <t>P024</t>
  </si>
  <si>
    <t>P025</t>
  </si>
  <si>
    <t>P027</t>
  </si>
  <si>
    <t>P029</t>
  </si>
  <si>
    <t>P030</t>
  </si>
  <si>
    <t>P031</t>
  </si>
  <si>
    <t>P032</t>
  </si>
  <si>
    <t>P033</t>
  </si>
  <si>
    <t>P035</t>
  </si>
  <si>
    <t>P037</t>
  </si>
  <si>
    <t>P039</t>
  </si>
  <si>
    <t>P041</t>
  </si>
  <si>
    <t>P042</t>
  </si>
  <si>
    <t>P044</t>
  </si>
  <si>
    <t>P046</t>
  </si>
  <si>
    <t>P048</t>
  </si>
  <si>
    <t>P049</t>
  </si>
  <si>
    <t>P050</t>
  </si>
  <si>
    <t>150g/pkt x 10pkt</t>
  </si>
  <si>
    <t>P051</t>
  </si>
  <si>
    <t>P052</t>
  </si>
  <si>
    <t>P053</t>
  </si>
  <si>
    <t>P054</t>
  </si>
  <si>
    <t>P055</t>
  </si>
  <si>
    <t>P056</t>
  </si>
  <si>
    <t>P057</t>
  </si>
  <si>
    <t>P059</t>
  </si>
  <si>
    <t>P060</t>
  </si>
  <si>
    <t>P062</t>
  </si>
  <si>
    <t>P064</t>
  </si>
  <si>
    <t>P066</t>
  </si>
  <si>
    <t>P067</t>
  </si>
  <si>
    <t>P068</t>
  </si>
  <si>
    <t>P069</t>
  </si>
  <si>
    <t>P070</t>
  </si>
  <si>
    <t>P071</t>
  </si>
  <si>
    <t>P073</t>
  </si>
  <si>
    <t>P074</t>
  </si>
  <si>
    <t>R001</t>
  </si>
  <si>
    <t>R002</t>
  </si>
  <si>
    <t>R003</t>
  </si>
  <si>
    <t>R005</t>
  </si>
  <si>
    <t>R007</t>
  </si>
  <si>
    <t>R008</t>
  </si>
  <si>
    <t>R009</t>
  </si>
  <si>
    <t>R010</t>
  </si>
  <si>
    <t>R012</t>
  </si>
  <si>
    <t>R013</t>
  </si>
  <si>
    <t>R014</t>
  </si>
  <si>
    <t>R015</t>
  </si>
  <si>
    <t>R016</t>
  </si>
  <si>
    <t>Nata De Coco椰果芊 15 x 15</t>
  </si>
  <si>
    <t>R017</t>
  </si>
  <si>
    <t>Nata De Coco椰果芊 0.5 x 0.5</t>
  </si>
  <si>
    <t>565G/Can x 12 Can</t>
  </si>
  <si>
    <t>R020</t>
  </si>
  <si>
    <t>820g/Can x 12 Can</t>
  </si>
  <si>
    <t>R023</t>
  </si>
  <si>
    <t>425g/Can X 24Can</t>
  </si>
  <si>
    <t>R024</t>
  </si>
  <si>
    <t>R025</t>
  </si>
  <si>
    <t>GingKo Nut白果罐</t>
  </si>
  <si>
    <t>397g x 24Can</t>
  </si>
  <si>
    <t>R026</t>
  </si>
  <si>
    <t>R027</t>
  </si>
  <si>
    <t>GingKo Nut (Peel off)白果仁</t>
  </si>
  <si>
    <t>GingKo Nut白果粒</t>
  </si>
  <si>
    <t>R029</t>
  </si>
  <si>
    <t>R032</t>
  </si>
  <si>
    <t>Royal M</t>
  </si>
  <si>
    <t>R034</t>
  </si>
  <si>
    <t>R036</t>
  </si>
  <si>
    <t>500gm/pkt x 20pkt</t>
  </si>
  <si>
    <t>R039</t>
  </si>
  <si>
    <t>R043</t>
  </si>
  <si>
    <t>R044</t>
  </si>
  <si>
    <t>R045</t>
  </si>
  <si>
    <t>R047</t>
  </si>
  <si>
    <t>1 Lt/BTL</t>
  </si>
  <si>
    <t>R048</t>
  </si>
  <si>
    <t>Orange</t>
  </si>
  <si>
    <t>R049</t>
  </si>
  <si>
    <t>Pineapple</t>
  </si>
  <si>
    <t>R051</t>
  </si>
  <si>
    <t>R052</t>
  </si>
  <si>
    <t>R053</t>
  </si>
  <si>
    <t>R054</t>
  </si>
  <si>
    <t>1 Lt x 12 Bag/Ctn</t>
  </si>
  <si>
    <t>400gms x 50pkt/ctn</t>
  </si>
  <si>
    <t>20kgs/1 Tin</t>
  </si>
  <si>
    <t>Baked Beans茄汁豆</t>
  </si>
  <si>
    <t>P075</t>
  </si>
  <si>
    <t>Lime 酸甘</t>
  </si>
  <si>
    <t>Lime Juice 柠檬汁</t>
  </si>
  <si>
    <t>P076</t>
  </si>
  <si>
    <t>Zhu Fang Ruo (MRT)</t>
  </si>
  <si>
    <t>Indonesia</t>
  </si>
  <si>
    <t>Tong Shui Sweet Dessert</t>
  </si>
  <si>
    <t>Lotus Seed 莲子(无）</t>
  </si>
  <si>
    <t>Soon Soon Soon Food Holding</t>
  </si>
  <si>
    <t>Small Red Bean小红豆</t>
  </si>
  <si>
    <t>1 kgs</t>
  </si>
  <si>
    <t>2kgs</t>
  </si>
  <si>
    <t>P083</t>
  </si>
  <si>
    <t>P082</t>
  </si>
  <si>
    <t>Koufu Pte Ltd</t>
  </si>
  <si>
    <t>No 18, Woodlands Terrace</t>
  </si>
  <si>
    <t>Singapore 738443</t>
  </si>
  <si>
    <t>Koufu Rasapura Masters                            2, Bayfront Avenue #B2-49A/50A Singapore 018972                              (Dim Dum)</t>
  </si>
  <si>
    <t>Koufu Rasapura Masters                            2, Bayfront Avenue #B2-49A/50A Singapore 018972                               (Fruit)</t>
  </si>
  <si>
    <t>Koufu Rasapura Masters                            2, Bayfront Avenue #B2-49A/50A Singapore 018972                               (Drink)</t>
  </si>
  <si>
    <t>Koufu Rasapura Masters                           2, Bayfront Avenue #B2-49A/50A Singapore 018972                              (Dessert)</t>
  </si>
  <si>
    <t>Fusionoplis one.                                           1 Fusionopolis Way Basement 2 #B2-02 Singapore 138632                                   (Fruit)</t>
  </si>
  <si>
    <t>Fusionoplis one                                            1 Fusionopolis Way Basement 2 #B2-02 Singapore 138632                                    (Dessert)</t>
  </si>
  <si>
    <t xml:space="preserve"> Fork &amp; Spoon                                               Block 768 Woodlands Ave 6 #01-30/31 Singapore 730768                                         (Dessert)</t>
  </si>
  <si>
    <t>Dessert  Station</t>
  </si>
  <si>
    <t>#11-417 Singapore 460026</t>
  </si>
  <si>
    <t>P063</t>
  </si>
  <si>
    <t>P077</t>
  </si>
  <si>
    <t>P078</t>
  </si>
  <si>
    <t>P079</t>
  </si>
  <si>
    <t>P080</t>
  </si>
  <si>
    <t>P084</t>
  </si>
  <si>
    <t>P085</t>
  </si>
  <si>
    <t>P086</t>
  </si>
  <si>
    <t>Sour Plum 酸梅（无子）</t>
  </si>
  <si>
    <t>P088</t>
  </si>
  <si>
    <t>P089</t>
  </si>
  <si>
    <t>40gm x 10PKT/Bag</t>
  </si>
  <si>
    <t>TH</t>
  </si>
  <si>
    <t>IN</t>
  </si>
  <si>
    <t>3 kgs</t>
  </si>
  <si>
    <t>6 kgs</t>
  </si>
  <si>
    <t>12.5 kgs</t>
  </si>
  <si>
    <t>Chilli 辣椒酱</t>
  </si>
  <si>
    <t>TC</t>
  </si>
  <si>
    <t>45 gms x 10PKT/Bag</t>
  </si>
  <si>
    <t>No 1</t>
  </si>
  <si>
    <t>Holland</t>
  </si>
  <si>
    <t>500/4000</t>
  </si>
  <si>
    <t>110088/5</t>
  </si>
  <si>
    <t>M018</t>
  </si>
  <si>
    <t>M019</t>
  </si>
  <si>
    <t>M020</t>
  </si>
  <si>
    <t>Food Coloring 颜色</t>
  </si>
  <si>
    <t>450 ML/BTL</t>
  </si>
  <si>
    <t>500 ml x12 BT/ Ctn</t>
  </si>
  <si>
    <t xml:space="preserve">3.3KG/Can </t>
  </si>
  <si>
    <t>KHS</t>
  </si>
  <si>
    <t>Ally MC Bean's Food Supply</t>
  </si>
  <si>
    <t xml:space="preserve">Block 115 Aljunied Ave 2 </t>
  </si>
  <si>
    <t>#01-53B  Singapore 380115</t>
  </si>
  <si>
    <t>Tiong Bahru Market</t>
  </si>
  <si>
    <t>30 Seng Poh Road #01-25</t>
  </si>
  <si>
    <t>Singapore 168898</t>
  </si>
  <si>
    <t>Dessert First Pte Ltd</t>
  </si>
  <si>
    <t>Blk 37 Jalan Rummah Tinggi</t>
  </si>
  <si>
    <t>#01-407 Singapore 150037</t>
  </si>
  <si>
    <t>Tea Three Café Pte Ltd</t>
  </si>
  <si>
    <t>Block 4012, Ang Mo Kio Ave 10</t>
  </si>
  <si>
    <t>#01-05 TechPlace 1</t>
  </si>
  <si>
    <t>Singapore 569628</t>
  </si>
  <si>
    <t>Tan Soon Mui Food Industries</t>
  </si>
  <si>
    <t>8, Woodlands Terrace</t>
  </si>
  <si>
    <t>Singapore 738433</t>
  </si>
  <si>
    <t>Singapore 757437</t>
  </si>
  <si>
    <t>Wee Kee Catering Pte Ltd</t>
  </si>
  <si>
    <t>8 A, Admiralty Street Food</t>
  </si>
  <si>
    <t>Changi Village Hawker Centre</t>
  </si>
  <si>
    <t>Singapore 500002</t>
  </si>
  <si>
    <t>WaterWay Point                                            83 Punggol Central #02-20/21 Singapore 828761                               (Dessert)</t>
  </si>
  <si>
    <t>400 gms</t>
  </si>
  <si>
    <t>Tel: 63388213</t>
  </si>
  <si>
    <t>Tel: 67535885</t>
  </si>
  <si>
    <t>HP: 85180389 (老板娘）</t>
  </si>
  <si>
    <t>32, Woodlands Terrace</t>
  </si>
  <si>
    <t>Singapore 738452</t>
  </si>
  <si>
    <t>Tel: 65556992</t>
  </si>
  <si>
    <t>ykgaccount@yukee.com.sg</t>
  </si>
  <si>
    <t>Tel: 67567626</t>
  </si>
  <si>
    <t>Email: acc@tsmfood.com</t>
  </si>
  <si>
    <t>RASA RASA</t>
  </si>
  <si>
    <t>8A, Admiralty Street</t>
  </si>
  <si>
    <t>#04-08 Food Exchange</t>
  </si>
  <si>
    <t>Tel: 65701169</t>
  </si>
  <si>
    <t>Spectrum Food Centre Pte Ltd</t>
  </si>
  <si>
    <t>21, Woodlands Close</t>
  </si>
  <si>
    <t>email: s111group.sg@gmail.com</t>
  </si>
  <si>
    <t>Tel: 64598187</t>
  </si>
  <si>
    <t>Tel: 64874646</t>
  </si>
  <si>
    <t>email: szecai.lee@ktcgroup.com.sg</t>
  </si>
  <si>
    <t>Exchange #03-07 Singapore 757437</t>
  </si>
  <si>
    <t>HP:97283827</t>
  </si>
  <si>
    <t>email: enquiry@weekee.com.sg</t>
  </si>
  <si>
    <t>MiLi</t>
  </si>
  <si>
    <t>SK</t>
  </si>
  <si>
    <t>TH/Sw</t>
  </si>
  <si>
    <t>Windmill</t>
  </si>
  <si>
    <t>350 gm x 24 bag</t>
  </si>
  <si>
    <t>2552 Strawberry</t>
  </si>
  <si>
    <t>Honeydew</t>
  </si>
  <si>
    <t>Pandan (FKJ)</t>
  </si>
  <si>
    <t>Banana 23</t>
  </si>
  <si>
    <t>Peach</t>
  </si>
  <si>
    <t>567gm x 24 can</t>
  </si>
  <si>
    <t>Chin Chow powder 仙 草粉</t>
  </si>
  <si>
    <t>Mango Pudding Power 芒果布丁</t>
  </si>
  <si>
    <t>Almond Power 杏仁粉- Yellow- Jelly A</t>
  </si>
  <si>
    <t>30gm/pkt x 10PKT</t>
  </si>
  <si>
    <t>Almond Power-White 杏仁粉</t>
  </si>
  <si>
    <t>Water Chestnut (Can) 马蹄</t>
  </si>
  <si>
    <t>Kidney Bean 大红豆 (美国）</t>
  </si>
  <si>
    <t>Star</t>
  </si>
  <si>
    <t>Food Coloring Powder  色粉</t>
  </si>
  <si>
    <t>M021</t>
  </si>
  <si>
    <t xml:space="preserve"> Codral Weed 海草</t>
  </si>
  <si>
    <t>Water Chestnut 马蹄 - Can</t>
  </si>
  <si>
    <t>3A</t>
  </si>
  <si>
    <t>Netual Cloudifier 白色精</t>
  </si>
  <si>
    <t>Cludly</t>
  </si>
  <si>
    <t>INGCOD1057</t>
  </si>
  <si>
    <t>INGCOD1141</t>
  </si>
  <si>
    <t>Quantity</t>
  </si>
  <si>
    <t>Packing Mehtod</t>
  </si>
  <si>
    <t>Branch</t>
  </si>
  <si>
    <t>Wolfberry 枸杞子</t>
  </si>
  <si>
    <t>10 kgs/Ctn</t>
  </si>
  <si>
    <t>Red Bean红豆 (5.5 mm)</t>
  </si>
  <si>
    <t>FLS</t>
  </si>
  <si>
    <t>M022</t>
  </si>
  <si>
    <t>M024</t>
  </si>
  <si>
    <t>M025</t>
  </si>
  <si>
    <t>M026</t>
  </si>
  <si>
    <t>M027</t>
  </si>
  <si>
    <t>Red</t>
  </si>
  <si>
    <t>P093</t>
  </si>
  <si>
    <t>Jem cook House                                            50, Jurong Gateway Road #05-01 JEMS Singapore 608549                                         (Dim Sum)</t>
  </si>
  <si>
    <t>Jem Cook House                                           50, Jurong Gateway Road #05-01 JEMS Singapore 608549                                         (Fruit)</t>
  </si>
  <si>
    <t>Dessert Delight</t>
  </si>
  <si>
    <t>ID#87</t>
  </si>
  <si>
    <t>Block 85, Bedok North Street 4,</t>
  </si>
  <si>
    <t>#01-40 Singapore 460085</t>
  </si>
  <si>
    <t>Dessert Delight                                          Blk 162, Tampines Street #05-239 Singapore 521162</t>
  </si>
  <si>
    <t>Tel: 97739136</t>
  </si>
  <si>
    <t>P095</t>
  </si>
  <si>
    <t>中</t>
  </si>
  <si>
    <t>Block 26, Chai Chee Road</t>
  </si>
  <si>
    <t>HP: 81060599</t>
  </si>
  <si>
    <t>Balestier Market Pte Ltd</t>
  </si>
  <si>
    <t>滨海甜品                                                      Blk 248, Simei St 5. Singapore 520120</t>
  </si>
  <si>
    <t>Simei</t>
  </si>
  <si>
    <t>黄</t>
  </si>
  <si>
    <t xml:space="preserve">G </t>
  </si>
  <si>
    <t>Combined Stalls                                    Junction 8. 9 Bishan Place                            #04-01. Junction 8 Shopping Centre. Singapore 579837</t>
  </si>
  <si>
    <t>ID#88</t>
  </si>
  <si>
    <t>ID#89</t>
  </si>
  <si>
    <t>COMBINED STALL/CENTURY SQUARE STALL #01                                                   2,  Tampines Central 5, #03-20 Century Square</t>
  </si>
  <si>
    <t>Drink &amp; Dessert Stall/                          United Square Stall #07.                                          101 Thomson Road United Square #b1-02/57/59  Singapore 307591</t>
  </si>
  <si>
    <t>盒</t>
  </si>
  <si>
    <t>5 KGS/桶</t>
  </si>
  <si>
    <t>1 KGS/包</t>
  </si>
  <si>
    <t>Red/红</t>
  </si>
  <si>
    <t>Green/青</t>
  </si>
  <si>
    <t>Yellow/黄</t>
  </si>
  <si>
    <t xml:space="preserve">500gm/pkt </t>
  </si>
  <si>
    <t>10 kgs/箱</t>
  </si>
  <si>
    <t>4L/支</t>
  </si>
  <si>
    <t>Almond Power 杏仁粉 - Yelow</t>
  </si>
  <si>
    <t>PH</t>
  </si>
  <si>
    <t>150gm x 10 pkt</t>
  </si>
  <si>
    <t>(12g x 12pkt)/盒</t>
  </si>
  <si>
    <t>Black/黑</t>
  </si>
  <si>
    <t>Food Coloring - Liquid)颜色-水</t>
  </si>
  <si>
    <t>(500gm x 20Pkt)箱</t>
  </si>
  <si>
    <t>Full Cream Milk牛奶</t>
  </si>
  <si>
    <t>Marigold</t>
  </si>
  <si>
    <t>IR, Singapore Pool stall                            2 Bayfront Avenue. #01-01  Singapore 018972</t>
  </si>
  <si>
    <t>Dessert Station                                         270 Queen Street #01-41 Albert Centre. Singapore</t>
  </si>
  <si>
    <t>Carnation Milk淡奶水</t>
  </si>
  <si>
    <t>三花</t>
  </si>
  <si>
    <t>405gm/can/罐</t>
  </si>
  <si>
    <t>罐</t>
  </si>
  <si>
    <t>Marigo牛</t>
  </si>
  <si>
    <t>Condnation Milk 练奶</t>
  </si>
  <si>
    <t>Dawn牛</t>
  </si>
  <si>
    <t>385gm/can/罐</t>
  </si>
  <si>
    <t>Ctn/箱</t>
  </si>
  <si>
    <t>Coco Syrup 可可</t>
  </si>
  <si>
    <t xml:space="preserve">150g/pkt </t>
  </si>
  <si>
    <t>ID#90</t>
  </si>
  <si>
    <t>Cash</t>
  </si>
  <si>
    <t>25 KGS</t>
  </si>
  <si>
    <t>梅林                                                             Changi Village Hawker Centre.                                         #01- 57  Singapore 500002</t>
  </si>
  <si>
    <t>ID#91</t>
  </si>
  <si>
    <t>30 DAYS</t>
  </si>
  <si>
    <t>Drink &amp; Dessert Stall                             252 North Bridge Road.                                   #03-15/16/17 Raffles City Shopping Centre.                         Singapore 189768.</t>
  </si>
  <si>
    <t>Toast Junction                                       252 North Bridge Road.                                   #03-15/16/17 Raffles City Shopping Centre.                          Singapore 189768.</t>
  </si>
  <si>
    <t>SPH         #07-14</t>
  </si>
  <si>
    <t>ID#92</t>
  </si>
  <si>
    <t>Pure Milk 牛奶</t>
  </si>
  <si>
    <t>Cowhead</t>
  </si>
  <si>
    <t>7 Floor Singapore 318994</t>
  </si>
  <si>
    <t xml:space="preserve">SPH  1000 Toa Payoh North </t>
  </si>
  <si>
    <t>小福                                                            SPH. 1000 Toa Payoh North. #07 Singapore 318994</t>
  </si>
  <si>
    <t>小福</t>
  </si>
  <si>
    <t>TEL: 98175657</t>
  </si>
  <si>
    <t>(565gm x 12)/箱</t>
  </si>
  <si>
    <t>(567gm x 12)/箱</t>
  </si>
  <si>
    <t>(820gm x 12)/箱</t>
  </si>
  <si>
    <t>(425gm x 24)/箱</t>
  </si>
  <si>
    <t>(410gm x 24)/箱</t>
  </si>
  <si>
    <t>(397gm x 24)/箱</t>
  </si>
  <si>
    <t>12can/箱</t>
  </si>
  <si>
    <t>(567gm x 24)/箱</t>
  </si>
  <si>
    <t>(1L x 12bag)/箱</t>
  </si>
  <si>
    <t>(200gm x 30bag)/箱</t>
  </si>
  <si>
    <t>KAB</t>
  </si>
  <si>
    <t>Blk 15, Woodland Loop</t>
  </si>
  <si>
    <t>KAB Blk 15, #03-10</t>
  </si>
  <si>
    <t>ID#93</t>
  </si>
  <si>
    <t>Blk 15, Woodland Loop #03-10</t>
  </si>
  <si>
    <t>Singapore 738322</t>
  </si>
  <si>
    <t xml:space="preserve"> </t>
  </si>
  <si>
    <t>S. MARCO FOOD TRADING PTE LTD            39, Woodlands Close #05-27/28/29 Singapore 737856</t>
  </si>
  <si>
    <t>ID#94</t>
  </si>
  <si>
    <t>S. Marco Food Trading Pte Ltd</t>
  </si>
  <si>
    <t>39, Woodlands Close #05-27/28/29</t>
  </si>
  <si>
    <t>Singapore 737856</t>
  </si>
  <si>
    <t>Tel: 64510128</t>
  </si>
  <si>
    <t>S. Marco Food Trading Blk 39, #05-27</t>
  </si>
  <si>
    <t>INGCOOK241</t>
  </si>
  <si>
    <t>ID#95</t>
  </si>
  <si>
    <t>HAWKER WAY PTE LTD  Blk 27 #06-16</t>
  </si>
  <si>
    <t>ID#96</t>
  </si>
  <si>
    <t>Standard Cost</t>
  </si>
  <si>
    <t>R071</t>
  </si>
  <si>
    <t>(500g x 24 pkt)/箱</t>
  </si>
  <si>
    <t>GRD1</t>
  </si>
  <si>
    <t>R072</t>
  </si>
  <si>
    <t>12.5KG/PKT X 2</t>
  </si>
  <si>
    <t>Aloe Vera芦荟 10mm</t>
  </si>
  <si>
    <t>Nata De Coco椰果芊 15mm</t>
  </si>
  <si>
    <t>45gm x 10PKT/Bag</t>
  </si>
  <si>
    <t>Jem Cook House                                           50, Jurong Gateway Road #05-01 JEMS Singapore 608549                                         (DRINK)</t>
  </si>
  <si>
    <t>ID#97</t>
  </si>
  <si>
    <t>Cash Sales</t>
  </si>
  <si>
    <t>R074</t>
  </si>
  <si>
    <t>R075</t>
  </si>
  <si>
    <t>R076</t>
  </si>
  <si>
    <t>R077</t>
  </si>
  <si>
    <t>R078</t>
  </si>
  <si>
    <t>CHENDOL                                                          Blk 84, Marine Parade #01-09</t>
  </si>
  <si>
    <t>CASH</t>
  </si>
  <si>
    <t>Toast Junction                                         United Square Stall #07.                                       101 Thomson Road United Square. Singapore 307591</t>
  </si>
  <si>
    <t>Rasa Rasa Food Fiesta Restaurant  LLP       Block 160A, Jln Teck Whye         #01-01 Singapore 691160</t>
  </si>
  <si>
    <t>Blk 85, Bedok #01-40</t>
  </si>
  <si>
    <t xml:space="preserve"> #01-57</t>
  </si>
  <si>
    <t>HAO KOU WEI  16A</t>
  </si>
  <si>
    <t>ID#99</t>
  </si>
  <si>
    <t>Soon Soon Soon Food Holding                 652 Geylang Lorong 40. Singapore</t>
  </si>
  <si>
    <t>HAO KOU WEI PTE LTD                          16A Sungei Kadut Way                    Singapore 728794</t>
  </si>
  <si>
    <t>ID#100</t>
  </si>
  <si>
    <t>HAO KOU WEI PTE LTD                          Blk 272 Bakit Batok #01-56            Singapore</t>
  </si>
  <si>
    <t>Sin Yi Peng        #04-33</t>
  </si>
  <si>
    <t>Self collection</t>
  </si>
  <si>
    <t xml:space="preserve">Koufu - (Dim sum)                                 180, Ang Mo Kio Ave 8. Block A unit 235 Nanyang Polythenic Singapore 569830                                    </t>
  </si>
  <si>
    <t xml:space="preserve">Koufu - (Dessert)                                     180, Ang Mo Kio Ave 8. Block A unit 235 Nanyang Polythenic Singapore 569830                                      </t>
  </si>
  <si>
    <t>ID#101</t>
  </si>
  <si>
    <t>INGCOD1054</t>
  </si>
  <si>
    <t>P018</t>
  </si>
  <si>
    <t>0049PO00025543</t>
  </si>
  <si>
    <t>Xin Yi Pin Catering Pte Ltd</t>
  </si>
  <si>
    <t>#04-36, Singapore 738322</t>
  </si>
  <si>
    <t>ECREATIVE CATERING PTE LTD</t>
  </si>
  <si>
    <t>Blk 15, Woodlands Loop</t>
  </si>
  <si>
    <t>#04-33 Singapore 738322</t>
  </si>
  <si>
    <t xml:space="preserve">ECREATIVE CATERING PTE LTD             Blk 15, Woodlands Loop                      #04-33   Singapore 738322                                    </t>
  </si>
  <si>
    <t xml:space="preserve">Koufu - (Drink)                                             6, Raffles Boulevard #04-101/102 Marina Square Singapore 039594                 </t>
  </si>
  <si>
    <t xml:space="preserve">Koufu - Dim Sum                                     10, Sinaran Drive #04-14 to 19,56 to 73. Novena Square 2 Singapore 307506                                             </t>
  </si>
  <si>
    <t xml:space="preserve">Koufu - Drink                                           10, Sinaran Drive #04-14 to 19,56 to 73. Novena Square 2  Singapore 307506                                       </t>
  </si>
  <si>
    <t>Koufu - Fruit                                             370 Alexandra Road #01-20/21 Anchor Point Shopping Ctr Singapore 159953                      (Fruit)</t>
  </si>
  <si>
    <t xml:space="preserve">Koufu - Dessert                                        370 Alexandra Road #01-20/21 Anchor Point Shopping Ctr Singapore 159953                      </t>
  </si>
  <si>
    <t xml:space="preserve">Koufu - Fruit                                            535 Clementi Road Block 51, Level 2 Ngee Ann Polythenic NIC Singapore 599489                    </t>
  </si>
  <si>
    <t xml:space="preserve">Koufu - Dim Sum                                    535 Clementi Road Block 51, Level 2 Ngee Ann Polythenic NIC Singapore 599489                    </t>
  </si>
  <si>
    <t xml:space="preserve">Koufu - Dessert                                      535 Clementi Road Block 51, Level 2 Ngee Ann Polythenic NIC Singapore 599489                  </t>
  </si>
  <si>
    <t xml:space="preserve">Koufu - Dessert                                        632, Bukit Batok Central #01-132 Singapore 650632                                                </t>
  </si>
  <si>
    <t xml:space="preserve">Koufu - Fruit                                                  Block 768 Woodlands Ave 6                 #01-30/31 Singapore 730768                        </t>
  </si>
  <si>
    <t xml:space="preserve">Koufu - Dim Sum                                           Block 768 Woodlands Ave 6                 #01-30/31 Singapore 730768                          </t>
  </si>
  <si>
    <t xml:space="preserve">Koufu - Drink                                         Sengkang General Community Hospital. 1 Anchorvale Street #01-21 S'pore 544835                                                                     </t>
  </si>
  <si>
    <t xml:space="preserve">Koufu - Dessert                                    Sengkang General Community Hospital. 1 Anchorvale Street #01-21 S'pore 544835                                                                   </t>
  </si>
  <si>
    <t xml:space="preserve">Koufu - Dim Sum                                   Sengkang General Community Hospital. 1 Anchorvale Street #01-21 S'pore 544835                                                           </t>
  </si>
  <si>
    <t xml:space="preserve">Koufu - Drink                                            Block 747 Yishun 72. #01-108 Singapore 760747                                                            </t>
  </si>
  <si>
    <t xml:space="preserve">Koufu - Dim Sum                                    Block 747 Yishun 72. #01-108 Singapore 760747                                                          </t>
  </si>
  <si>
    <t>ID#102</t>
  </si>
  <si>
    <t>Combined Stall                                      Bugis Stall #16. 200 Victoria Street     #03-30. Bugis Junction. Singapore 188021</t>
  </si>
  <si>
    <t xml:space="preserve">Koufu - WoodGrove                                30, Woodlands Ave 1 #01-11 Singapore 739065     (Drink)                               </t>
  </si>
  <si>
    <t xml:space="preserve">Koufu - WoodGrove                                30, Woodlands Ave 1 #01-11 Singapore 739065     (Dim Sum)                               </t>
  </si>
  <si>
    <t>ID#103</t>
  </si>
  <si>
    <t>Asia Dessert Marketing                                       Blk 3020, Ubi Avenue 2 #02-125 Singapore 408896</t>
  </si>
  <si>
    <t>ID#105</t>
  </si>
  <si>
    <t>ID#104</t>
  </si>
  <si>
    <t>Asia Dessert Blk 3020, #02-125</t>
  </si>
  <si>
    <t>Asia Dessert Marketing</t>
  </si>
  <si>
    <t>TeL: 83398831</t>
  </si>
  <si>
    <t>(500gm x 20Pkt)包</t>
  </si>
  <si>
    <t>1KG</t>
  </si>
  <si>
    <t>Q Ball Q圆/small ball ball</t>
  </si>
  <si>
    <t>ID#106</t>
  </si>
  <si>
    <t>CODE</t>
  </si>
  <si>
    <t>BRABD</t>
  </si>
  <si>
    <t>PACKAGING METHOD</t>
  </si>
  <si>
    <t>Signature 取货者签名</t>
  </si>
  <si>
    <t>好运   #03-24</t>
  </si>
  <si>
    <t>龙马                                                             270 Queen Street #03-50 Albert Centre. Singapore</t>
  </si>
  <si>
    <t xml:space="preserve">Koufu - (Dessert)                                         6, Raffles Boulevard #04-101/102 Marina Square Singapore 039594              </t>
  </si>
  <si>
    <t>P054 (15 KGS/ORDER)</t>
  </si>
  <si>
    <t>KOUFU 83</t>
  </si>
  <si>
    <t xml:space="preserve">Specturm Food Centre Pte Ltd               134, Tagore Lane Sindo Industrial Estate Singapore 787557           </t>
  </si>
  <si>
    <t>ID#107</t>
  </si>
  <si>
    <t>Koufu West Mall</t>
  </si>
  <si>
    <t>Koufu 132</t>
  </si>
  <si>
    <t>Koufu 768 f &amp; S</t>
  </si>
  <si>
    <t>Koufu Bayfront (Fruit)</t>
  </si>
  <si>
    <t>F/man 飞人</t>
  </si>
  <si>
    <t>Koufu Novena Sq 2</t>
  </si>
  <si>
    <t>Koufu 681 Punggol</t>
  </si>
  <si>
    <t>Koufu 168 Punggol</t>
  </si>
  <si>
    <t>Koufu 180 Nanyang</t>
  </si>
  <si>
    <t>Koufu FUSIONOPOLIS WAY</t>
  </si>
  <si>
    <t>Koufu JEM DESSERT</t>
  </si>
  <si>
    <t>Koufu SENGKANG HOSPITAL</t>
  </si>
  <si>
    <t>Koufu Ngee Ann  (Fruit)</t>
  </si>
  <si>
    <t>Koufu Blk 267 Compassvale</t>
  </si>
  <si>
    <t>Koufu Bayfront (Dessert)</t>
  </si>
  <si>
    <t>ID#108</t>
  </si>
  <si>
    <t>青草园　　　　　　　　　　       Blk 120, Bukit Merah Lane 1               #01-73 Singapore 150120</t>
  </si>
  <si>
    <t>r073</t>
  </si>
  <si>
    <t>Tel: 90087698                                         690 Upper changi Road East #B3-02. Upper Changi MRT Station Singapore 485990</t>
  </si>
  <si>
    <t>ID#109</t>
  </si>
  <si>
    <t>690 Upper Changi #B3-02</t>
  </si>
  <si>
    <t>25KG</t>
  </si>
  <si>
    <t>(600gm x 20Pkt)箱</t>
  </si>
  <si>
    <t>４缶／箱</t>
  </si>
  <si>
    <t>ID#110</t>
  </si>
  <si>
    <t>1=50 KGS</t>
  </si>
  <si>
    <t>AI 粉=</t>
  </si>
  <si>
    <t>Golden Champ</t>
  </si>
  <si>
    <t>Country  Of Origin</t>
  </si>
  <si>
    <t>Singapore</t>
  </si>
  <si>
    <t>ID#111</t>
  </si>
  <si>
    <t>福山满                                                101, Upper Cross Street #B1. People's Park Centre Singapore 058357</t>
  </si>
  <si>
    <t>Tel: 93441186</t>
  </si>
  <si>
    <t>21-11-2019</t>
  </si>
  <si>
    <t>ID#112</t>
  </si>
  <si>
    <t>好口味                                               Blk 272 Bakit Batok East Ave 4                 Singapore 650272.</t>
  </si>
  <si>
    <t>ID#113</t>
  </si>
  <si>
    <t>Tel: 90263403</t>
  </si>
  <si>
    <t>Blk 15 #03-50</t>
  </si>
  <si>
    <t>优华                                                        Blk 15, Woodland Loop #03-50                            Singapore 738322</t>
  </si>
  <si>
    <t>Vietnam</t>
  </si>
  <si>
    <t>150gm x 4pkt</t>
  </si>
  <si>
    <t xml:space="preserve">Tel: 90294611                                   Block 417  Yishun Avenue 11. Singapore                                                       </t>
  </si>
  <si>
    <t>ID#114</t>
  </si>
  <si>
    <t>Blk 417 Yishun</t>
  </si>
  <si>
    <t>BUTTERFLY PEAS</t>
  </si>
  <si>
    <t>50 GMS</t>
  </si>
  <si>
    <t>BAG</t>
  </si>
  <si>
    <t>INGCOD1410</t>
  </si>
  <si>
    <t>27-11-2019</t>
  </si>
  <si>
    <t>Golden Boy</t>
  </si>
  <si>
    <t>6 Can X A10</t>
  </si>
  <si>
    <t>30, Tai Seng Street</t>
  </si>
  <si>
    <t>#09-01 Singapore 534013</t>
  </si>
  <si>
    <t>Singapore 534013</t>
  </si>
  <si>
    <t>fj_procurement@breadtalk.com</t>
  </si>
  <si>
    <t>(350gm x 24Pkt)/Bag</t>
  </si>
  <si>
    <t xml:space="preserve">Koufu - Dessert                                             1, Bukit Batok Central Link.                     #04-01 West Mall Singapore 658713                                                          </t>
  </si>
  <si>
    <t xml:space="preserve">Koufu - Drink                                                  1, Bukit Batok Central Link.                   #04-01 West Mall Singapore 658713                                                            </t>
  </si>
  <si>
    <t>Fungus 黄木耳</t>
  </si>
  <si>
    <t>Fungus黄 木耳朵</t>
  </si>
  <si>
    <t>Herbal Jelly Powder</t>
  </si>
  <si>
    <t>500 GM/BAG</t>
  </si>
  <si>
    <t>5 KGS</t>
  </si>
  <si>
    <t>Xi Yue Yuan Pte Ltd                                  Pionner Central, 1 Soon Lee Street #01-32 Singapore 627605</t>
  </si>
  <si>
    <t>ID#115</t>
  </si>
  <si>
    <t>King &amp; King</t>
  </si>
  <si>
    <t>48 can/Box</t>
  </si>
  <si>
    <t>Lion City Copi &amp; Toast Pte Ltd                  101, Upper Cross Street                        #02-48. People's Park Centre                    Singapore 058357</t>
  </si>
  <si>
    <t>id#116</t>
  </si>
  <si>
    <t>ID#116</t>
  </si>
  <si>
    <t>Hee Tea                                                   Blk 38, Mar Thoma  Road. Riviera Condominium #09-02 Singapore 328712</t>
  </si>
  <si>
    <t>ID#117</t>
  </si>
  <si>
    <t>#09-16 Singapore 737854</t>
  </si>
  <si>
    <t>Tel: 62544887 (Ms Soo Guan)</t>
  </si>
  <si>
    <t>28-12-2019</t>
  </si>
  <si>
    <t>Surecharges</t>
  </si>
  <si>
    <t>ID#118</t>
  </si>
  <si>
    <t xml:space="preserve">Whampoa Soya Bean                            Blk 221B Boon Lay Hawker Centre. #01-133 </t>
  </si>
  <si>
    <t>Whampoa blk 221B</t>
  </si>
  <si>
    <t>ID#119</t>
  </si>
  <si>
    <t>HollyWood blk 221B</t>
  </si>
  <si>
    <t>HOLLYWOOD                                             Blk 221B Boon Lay Hawker Centre. #01-130</t>
  </si>
  <si>
    <t xml:space="preserve">狮城咖啡                                                           People Park Centre, #02-48.                                       </t>
  </si>
  <si>
    <t>ID#120</t>
  </si>
  <si>
    <t>HP: 91942898</t>
  </si>
  <si>
    <t>Ashley #02-48 91942898</t>
  </si>
  <si>
    <t>Id#120</t>
  </si>
  <si>
    <t>K&amp;B                                                                  Blk 15, Woodland Loop.                           #03-10 Singapore 738322</t>
  </si>
  <si>
    <t>YiFong</t>
  </si>
  <si>
    <t>P018A</t>
  </si>
  <si>
    <t>200 Turf Club</t>
  </si>
  <si>
    <t>Tea Tree Café Pte Ltd                               Block 4012, Ang Mo Kio Ave 10         #01-05 TechPlace 1 Singapore 569628</t>
  </si>
  <si>
    <t>ID#121</t>
  </si>
  <si>
    <t xml:space="preserve">Koufu - FRUIT                                                 1, Bukit Batok Central Link.                     #04-01 West Mall Singapore 658713                                                          </t>
  </si>
  <si>
    <t>ID#122</t>
  </si>
  <si>
    <t>CHEF RICKSON'S KITCHEN (Ally)                  200, Turf Club Road Singapore 287994</t>
  </si>
  <si>
    <t>TEL: 97457778</t>
  </si>
  <si>
    <t>Give a call to Rickson before arrive.</t>
  </si>
  <si>
    <t>Tel: 91393930</t>
  </si>
  <si>
    <t>14-01-2020</t>
  </si>
  <si>
    <t>Rasa Rasa Catering Services Pte Ltd</t>
  </si>
  <si>
    <t>Rasa Rasa Catering Services Pte Ltd    8A, Admiralty Street Food Exchange #04-08.                             Singapore 757437.</t>
  </si>
  <si>
    <t>17-01-2020</t>
  </si>
  <si>
    <t>#</t>
  </si>
  <si>
    <t>CUSTOMER ID</t>
  </si>
  <si>
    <t>ADDRESS</t>
  </si>
  <si>
    <t>DRINK</t>
  </si>
  <si>
    <t>ORANGE</t>
  </si>
  <si>
    <t>好口味                                               Blk 272 Bakit Batok East Ave 4                 Singapore 650271.</t>
  </si>
  <si>
    <t>ID#123</t>
  </si>
  <si>
    <t>Ivy Lim 50A</t>
  </si>
  <si>
    <t>25 kgs</t>
  </si>
  <si>
    <t>ID#124</t>
  </si>
  <si>
    <t>Fine Food @the south Spine                    50, Nanyang Avenue South Spine Food Court Canteen B, Singapore 639798</t>
  </si>
  <si>
    <t>Fine Food (Nanyang) Pte Ltd</t>
  </si>
  <si>
    <t xml:space="preserve">Re-Packing </t>
  </si>
  <si>
    <t>PACKING BAG</t>
  </si>
  <si>
    <t>SIZE</t>
  </si>
  <si>
    <t>PRODUCT</t>
  </si>
  <si>
    <t>红豆 / 绿豆/ 黑糯米/薏米/小丸/</t>
  </si>
  <si>
    <t>11 X 17 X 0.08 (PE)</t>
  </si>
  <si>
    <t>白糖 莲子</t>
  </si>
  <si>
    <t>白糖 /莲子</t>
  </si>
  <si>
    <t>10 BAGS</t>
  </si>
  <si>
    <t>WEIGHT/UNIT</t>
  </si>
  <si>
    <t>18 X 30 X 0.04 (HD HOLE)</t>
  </si>
  <si>
    <t>5/4/3 KGS</t>
  </si>
  <si>
    <t>9.5X13.5X0.1 (PE)</t>
  </si>
  <si>
    <t>3 KGS</t>
  </si>
  <si>
    <t>12 X 18 X 0.04 (PE)</t>
  </si>
  <si>
    <t>12 X 18 X 0.08 (PE)</t>
  </si>
  <si>
    <t>12 X 18 X 0.04 (HD HOLE)</t>
  </si>
  <si>
    <t>7 X 10 X 0.08 (PE)</t>
  </si>
  <si>
    <t>4.5 X 6.5 X 0.08</t>
  </si>
  <si>
    <t>COMMON</t>
  </si>
  <si>
    <t xml:space="preserve"> 8 X 11.5X0.08 (PE)</t>
  </si>
  <si>
    <t xml:space="preserve"> 9 X 14 X 0.04 (HD HOLE)</t>
  </si>
  <si>
    <t>ID#125</t>
  </si>
  <si>
    <t>HENG HENG FOOD SINGAPORE                                                           Turf Club. 1 Turf Club Avenue Singapore Racecourse Singapore 738078</t>
  </si>
  <si>
    <t>HENG HENG FOOD SUPPLY</t>
  </si>
  <si>
    <t>200/ctn</t>
  </si>
  <si>
    <t>DO</t>
  </si>
  <si>
    <t>Earphone</t>
  </si>
  <si>
    <t>Chargetable lighter</t>
  </si>
  <si>
    <t>500/ctn</t>
  </si>
  <si>
    <t>AMOUNT (US$)</t>
  </si>
  <si>
    <t>US$</t>
  </si>
  <si>
    <t>30-10-2019</t>
  </si>
  <si>
    <t>PT Sefong Industries</t>
  </si>
  <si>
    <t>PT Sefong Industries Park Phase II Lot,4. Bata Ampar, Batam Island- Indonesia</t>
  </si>
  <si>
    <t>甜甜                                                            Blk 28  Jalan Klinik  #09-43 Singapore  160028</t>
  </si>
  <si>
    <t>ID#126</t>
  </si>
  <si>
    <t>BB Tea House                                          Block 640, Yishun #01-200 Singapore</t>
  </si>
  <si>
    <t>Fanny</t>
  </si>
  <si>
    <t>Tel: 97893036</t>
  </si>
  <si>
    <t>TSM</t>
  </si>
  <si>
    <t>ID#127</t>
  </si>
  <si>
    <t xml:space="preserve">Koufu - WoodGrove                                30, Woodlands Ave 1 #01-11 Singapore 739065     (DESSERT COUNTER)                               </t>
  </si>
  <si>
    <t>ID#128</t>
  </si>
  <si>
    <t>TEL: 91548191                                                                                          462 Crawford Lane #01-61 Singapore 190462</t>
  </si>
  <si>
    <t>462 Crawford</t>
  </si>
  <si>
    <t>26-02-2020</t>
  </si>
  <si>
    <t>id#33</t>
  </si>
  <si>
    <t>28-02-2020</t>
  </si>
  <si>
    <t>FJS/PO-00126192</t>
  </si>
  <si>
    <t>Chef's 3.2 kg</t>
  </si>
  <si>
    <t>YitFong 12 can</t>
  </si>
  <si>
    <t>ID#129</t>
  </si>
  <si>
    <t xml:space="preserve">Koufu Pte Ltd - Yew Tee Point                                                              21, Chua Chu Kang North 6,       #B1-17 Yew Tee Point.                  Singapore 689579                                                                                                     </t>
  </si>
  <si>
    <t>3kg</t>
  </si>
  <si>
    <t xml:space="preserve">5 kg </t>
  </si>
  <si>
    <t>ID#130</t>
  </si>
  <si>
    <t>ID#131</t>
  </si>
  <si>
    <t>Happy Hawkers Kopitiam                   622D Punggol Central,                       Singapore 824622.                                  Drink Counter</t>
  </si>
  <si>
    <t>Happy Hawkers Kopitiam                    622D Punggol Central,                      Singapore 824622.                                   Tim Sum Counter</t>
  </si>
  <si>
    <t>0622PO00020401</t>
  </si>
  <si>
    <t>ID#132</t>
  </si>
  <si>
    <t>STEAM (OFC) PTE LTD                           10, Collyer Quay #B1-10 Ocean Financial Centre Singapore 049315</t>
  </si>
  <si>
    <t>10 Collyer Quay B1-10</t>
  </si>
  <si>
    <t>BIN</t>
  </si>
  <si>
    <t>Blk 602, Yishun St 61</t>
  </si>
  <si>
    <t>#08-379 Singapore 760602</t>
  </si>
  <si>
    <t>Block 15, Woodlands Loop                #04-36. Singapore 738322.</t>
  </si>
  <si>
    <t>16-03-2020</t>
  </si>
  <si>
    <t>TEL: 9646782</t>
  </si>
  <si>
    <t>BLK 3027, #02-114</t>
  </si>
  <si>
    <t>SINGAPORE 408720</t>
  </si>
  <si>
    <t>17-03-2020</t>
  </si>
  <si>
    <t>18-03-2020</t>
  </si>
  <si>
    <t>S$22</t>
  </si>
  <si>
    <t>S$10.5</t>
  </si>
  <si>
    <t>24-03-2020</t>
  </si>
  <si>
    <t>ID#133</t>
  </si>
  <si>
    <t>WaterWay Point                                            83 Punggol Central #02-20/21 Singapore 828761                               (DRINK STALL)</t>
  </si>
  <si>
    <t>ID#134</t>
  </si>
  <si>
    <t xml:space="preserve">FORK &amp; SPOON - Dessert                          470, Lorong 6 Toa Payoh #02-70 Singapore 310470.                                            </t>
  </si>
  <si>
    <t>ID#135</t>
  </si>
  <si>
    <t xml:space="preserve"> #04-36</t>
  </si>
  <si>
    <t>FJS/PO: 00127966</t>
  </si>
  <si>
    <t>ID#136</t>
  </si>
  <si>
    <t>0622PO00027844</t>
  </si>
  <si>
    <t>777 Jurong Gateway                                 50 Jurong Gatway Road.            #05-02 Singapore                           (Dessert Counter)</t>
  </si>
  <si>
    <t>3 kgs/Pkt</t>
  </si>
  <si>
    <t>20 kg/Drum</t>
  </si>
  <si>
    <t>S$62</t>
  </si>
  <si>
    <t>S$25</t>
  </si>
  <si>
    <t>S$28</t>
  </si>
  <si>
    <t>S$32</t>
  </si>
  <si>
    <t>10 pkt/bag</t>
  </si>
  <si>
    <t>10pkt(40gms)/bag</t>
  </si>
  <si>
    <t>10 pkt (45gms)/bag</t>
  </si>
  <si>
    <t>S$14</t>
  </si>
  <si>
    <t>S$18</t>
  </si>
  <si>
    <t>S$16</t>
  </si>
  <si>
    <t>S$12</t>
  </si>
  <si>
    <t>S$9</t>
  </si>
  <si>
    <t>S$8</t>
  </si>
  <si>
    <t>S$11</t>
  </si>
  <si>
    <t>S$13</t>
  </si>
  <si>
    <t>S$30</t>
  </si>
  <si>
    <t>S$7</t>
  </si>
  <si>
    <t>S$6</t>
  </si>
  <si>
    <t>S$10</t>
  </si>
  <si>
    <t>S$6.5</t>
  </si>
  <si>
    <t>S$5</t>
  </si>
  <si>
    <t>2 kgs/pkt</t>
  </si>
  <si>
    <t>S$2.8</t>
  </si>
  <si>
    <t>150 gm/pkt</t>
  </si>
  <si>
    <t>3 kgs/pkt</t>
  </si>
  <si>
    <t>S$1.8</t>
  </si>
  <si>
    <t>S$4</t>
  </si>
  <si>
    <t>S$5.5</t>
  </si>
  <si>
    <t>S$2.5</t>
  </si>
  <si>
    <t>S$0.8</t>
  </si>
  <si>
    <t>S$42</t>
  </si>
  <si>
    <t>Coconut Sugar椰糖 (Ind)</t>
  </si>
  <si>
    <t>S$21</t>
  </si>
  <si>
    <t>10 kgs</t>
  </si>
  <si>
    <t xml:space="preserve">S$14 </t>
  </si>
  <si>
    <t>S$52.8</t>
  </si>
  <si>
    <t>S$40</t>
  </si>
  <si>
    <t>S$19</t>
  </si>
  <si>
    <t>S$9.5</t>
  </si>
  <si>
    <t>YitFong 24 can</t>
  </si>
  <si>
    <t>S$41</t>
  </si>
  <si>
    <t>Kara</t>
  </si>
  <si>
    <t>6 bottle</t>
  </si>
  <si>
    <t>S$4.5</t>
  </si>
  <si>
    <t>10 pcs</t>
  </si>
  <si>
    <t xml:space="preserve">Fresh Soursop (seedless)红毛榴莲 </t>
  </si>
  <si>
    <t>S$46</t>
  </si>
  <si>
    <t>Three Flower - 48 can</t>
  </si>
  <si>
    <t>Marigo - 48 can</t>
  </si>
  <si>
    <t>Dawn - 48 can</t>
  </si>
  <si>
    <t>24 can</t>
  </si>
  <si>
    <t>STEVEN</t>
  </si>
  <si>
    <t>ID#137</t>
  </si>
  <si>
    <t>P106</t>
  </si>
  <si>
    <t>P107</t>
  </si>
  <si>
    <t>冰糖陈皮</t>
  </si>
  <si>
    <t>38.5GM X 26PKT</t>
  </si>
  <si>
    <t>500 GM</t>
  </si>
  <si>
    <t>500 GMS</t>
  </si>
  <si>
    <t>300 GMS</t>
  </si>
  <si>
    <t>200 GMS</t>
  </si>
  <si>
    <t>100 GMS</t>
  </si>
  <si>
    <t>发糕</t>
  </si>
  <si>
    <t>－</t>
  </si>
  <si>
    <t>SMALL</t>
  </si>
  <si>
    <t>27-04-2020</t>
  </si>
  <si>
    <t>BLK 642 #01-54</t>
  </si>
  <si>
    <t>ID#138</t>
  </si>
  <si>
    <t>TEL: 83093665                                                                                            Blk 642, Bukit Batok Central #01-54/56 Singapore 650642.</t>
  </si>
  <si>
    <t>P001A</t>
  </si>
  <si>
    <t>M031</t>
  </si>
  <si>
    <t>M032</t>
  </si>
  <si>
    <t>M033</t>
  </si>
  <si>
    <t>80 GMS/PK</t>
  </si>
  <si>
    <t>M025K</t>
  </si>
  <si>
    <t>Drink &amp; DESSERT Stall                                             11, Rivervale Crescent #01-01/02/03 Rivervale Mall Singapore 545082</t>
  </si>
  <si>
    <t>STEVEN                                                             511, Sembawang Market #01-15 Singapore 750511</t>
  </si>
  <si>
    <t>R080</t>
  </si>
  <si>
    <t>小麦草</t>
  </si>
  <si>
    <t>Malaysia</t>
  </si>
  <si>
    <t>POLAR</t>
  </si>
  <si>
    <t>CHINA</t>
  </si>
  <si>
    <t>500 GMS/CAN</t>
  </si>
  <si>
    <t>VANILLIN　班兰素</t>
  </si>
  <si>
    <t>R082</t>
  </si>
  <si>
    <t>R083</t>
  </si>
  <si>
    <t>R084</t>
  </si>
  <si>
    <t>R085</t>
  </si>
  <si>
    <t>R086</t>
  </si>
  <si>
    <t>R087</t>
  </si>
  <si>
    <t>R088</t>
  </si>
  <si>
    <t>R089</t>
  </si>
  <si>
    <t>R090</t>
  </si>
  <si>
    <t>R091</t>
  </si>
  <si>
    <t>R092</t>
  </si>
  <si>
    <t>THREE EAGLE</t>
  </si>
  <si>
    <t>BLUE STRAP</t>
  </si>
  <si>
    <t>25GM X 12</t>
  </si>
  <si>
    <t>500GM X 10</t>
  </si>
  <si>
    <t>70 X 300GM</t>
  </si>
  <si>
    <t>400GM X 20</t>
  </si>
  <si>
    <t>300GM X 15</t>
  </si>
  <si>
    <t>500ML</t>
  </si>
  <si>
    <t>300GM X 10</t>
  </si>
  <si>
    <t>1KG X 10</t>
  </si>
  <si>
    <t>40GM X 20</t>
  </si>
  <si>
    <t>CORN STARCH玉蜀黍粉</t>
  </si>
  <si>
    <t xml:space="preserve">PLAIN FLOUR 面粉 </t>
  </si>
  <si>
    <t>MIXED SAGO 混色西谷</t>
  </si>
  <si>
    <t>CHINSU FISH SAUCE 金素味露</t>
  </si>
  <si>
    <t>VN TAM THAI TU SOY SAUCE 越南酱青</t>
  </si>
  <si>
    <t>VN SAFOCO RICE PAPER越 南米皮</t>
  </si>
  <si>
    <t>VN SAFOCO FRESH RICE VERMICELL沙波歌米粉</t>
  </si>
  <si>
    <t>VIETNAM VINA BANH NOODLE 越南粿条</t>
  </si>
  <si>
    <t>WHITE PEPPER POWDER白胡椒粉</t>
  </si>
  <si>
    <t>FINE PINK SALT 喜马拉雅粉盐</t>
  </si>
  <si>
    <t>TAMARIND 亚参</t>
  </si>
  <si>
    <t>YELLOW Rock Suger黄冰糖</t>
  </si>
  <si>
    <t>R093</t>
  </si>
  <si>
    <t>400GM X 50</t>
  </si>
  <si>
    <t>R094</t>
  </si>
  <si>
    <t>R095</t>
  </si>
  <si>
    <t>R096</t>
  </si>
  <si>
    <t xml:space="preserve">640ML X 12 </t>
  </si>
  <si>
    <t>HUA TIAO WINE花彫酒</t>
  </si>
  <si>
    <t>BLACK SESAME SEED. 黑芝麻</t>
  </si>
  <si>
    <t>WHITE SEASAME 白芝麻</t>
  </si>
  <si>
    <t>60 days</t>
  </si>
  <si>
    <t>生记</t>
  </si>
  <si>
    <t>福</t>
  </si>
  <si>
    <t xml:space="preserve">300GM </t>
  </si>
  <si>
    <t>SoyaBean 大黄豆</t>
  </si>
  <si>
    <t>2.5 kgs</t>
  </si>
  <si>
    <t>4 KGS</t>
  </si>
  <si>
    <t>5 KG</t>
  </si>
  <si>
    <t>3 KG</t>
  </si>
  <si>
    <t>2 kg</t>
  </si>
  <si>
    <t>SW Thailand</t>
  </si>
  <si>
    <t>Lemongrass Ginger Concentrate Juice 香茅姜汁</t>
  </si>
  <si>
    <t>Passion Fruit Concentrate Juice 百香果汁</t>
  </si>
  <si>
    <t>Citrus Plum Concentrate Juice 柑桔梅子汁</t>
  </si>
  <si>
    <t>SODA ASH DENSE 枧粉</t>
  </si>
  <si>
    <t>200 gms</t>
  </si>
  <si>
    <t>FJS/PO-00128789</t>
  </si>
  <si>
    <t>60 DAYS</t>
  </si>
  <si>
    <t>ID#139</t>
  </si>
  <si>
    <t>KSY TEL: 94313399                                                         #01-173 Pasir Panjang Wholesale Centre, Singapore 110023</t>
  </si>
  <si>
    <t>R097</t>
  </si>
  <si>
    <t>Golden Pearl -黄金 珍珠</t>
  </si>
  <si>
    <t>M035</t>
  </si>
  <si>
    <t>ID#140</t>
  </si>
  <si>
    <t>LEONG HIN FOODS PTE LTD                 #04-57 Blk 15  Woodland Loop singapore 738322</t>
  </si>
  <si>
    <t>200:100</t>
  </si>
  <si>
    <t>Magic Pop Ball - Mango</t>
  </si>
  <si>
    <t>Magic Pop Ball - Strawberry</t>
  </si>
  <si>
    <t>Taiwan</t>
  </si>
  <si>
    <t>Magic Pop Ball - Lychee</t>
  </si>
  <si>
    <t>M034</t>
  </si>
  <si>
    <t>M034A</t>
  </si>
  <si>
    <t>Sweet Potato Q - Orange番薯粉圆</t>
  </si>
  <si>
    <t>Sweet Potato Q - Purple紫番薯粉圆</t>
  </si>
  <si>
    <t>Taro Q - White芋头粉圆</t>
  </si>
  <si>
    <t>Tapioca Q - Green-木薯粉圆</t>
  </si>
  <si>
    <t>GLASSJELLY 罗汉仙草冻</t>
  </si>
  <si>
    <t>1k/BOX</t>
  </si>
  <si>
    <t>P039S</t>
  </si>
  <si>
    <t>P037S</t>
  </si>
  <si>
    <t>P035S</t>
  </si>
  <si>
    <t>P033S</t>
  </si>
  <si>
    <t>P032S</t>
  </si>
  <si>
    <t>P027S</t>
  </si>
  <si>
    <t>P048S</t>
  </si>
  <si>
    <t>P054S</t>
  </si>
  <si>
    <t>P055S</t>
  </si>
  <si>
    <t>P056S</t>
  </si>
  <si>
    <t>P062S</t>
  </si>
  <si>
    <t>P063S</t>
  </si>
  <si>
    <t>P065S</t>
  </si>
  <si>
    <t>P102S</t>
  </si>
  <si>
    <t>P108</t>
  </si>
  <si>
    <t>Groundnut Powder 花生粉</t>
  </si>
  <si>
    <t>Erawan Glutiuous Flour 糯米粉</t>
  </si>
  <si>
    <t>R099</t>
  </si>
  <si>
    <t>02-124</t>
  </si>
  <si>
    <t>M025S</t>
  </si>
  <si>
    <t>P042S</t>
  </si>
  <si>
    <t>17/6/2020</t>
  </si>
  <si>
    <t>ID#141</t>
  </si>
  <si>
    <t>Zhonghua Cafe 92998953                                 51 Upper Bukit Timah MARKET #02-124 S588215</t>
  </si>
  <si>
    <t>42gm x 10PKT/Bag</t>
  </si>
  <si>
    <t>R100</t>
  </si>
  <si>
    <t>HAO HAO INSTANT SPICY NOODLE</t>
  </si>
  <si>
    <t>75 GM X 30</t>
  </si>
  <si>
    <t>PACKED</t>
  </si>
  <si>
    <t>P109</t>
  </si>
  <si>
    <t>BLACK BEAN 黑豆</t>
  </si>
  <si>
    <t>(565gm x 6)/箱</t>
  </si>
  <si>
    <t>P110</t>
  </si>
  <si>
    <t>2piece/bag</t>
  </si>
  <si>
    <t>13-07-2020</t>
  </si>
  <si>
    <t>1 kg/Bag</t>
  </si>
  <si>
    <t>4 KGS/Tub</t>
  </si>
  <si>
    <t>48 can/Ctn</t>
  </si>
  <si>
    <t>405 gm x48 can/Ctn</t>
  </si>
  <si>
    <t>380 gm x 48 can/Ctn</t>
  </si>
  <si>
    <t>Sugari</t>
  </si>
  <si>
    <t>1Lt x 12 Pkt/Ctn</t>
  </si>
  <si>
    <t>China</t>
  </si>
  <si>
    <t>600 gms/bag</t>
  </si>
  <si>
    <t>Japan</t>
  </si>
  <si>
    <t>Thailand</t>
  </si>
  <si>
    <t>Joy</t>
  </si>
  <si>
    <t>Aust</t>
  </si>
  <si>
    <t>Kiwi Syrup 奇异果</t>
  </si>
  <si>
    <t>Avocado 鳄梨酱</t>
  </si>
  <si>
    <t>Coconut Sugar Syrup 椰糖浆</t>
  </si>
  <si>
    <t>Bobo ChaCha Cubes 摩摩喳喳</t>
  </si>
  <si>
    <t>Chin Chow  仙草</t>
  </si>
  <si>
    <t>Chin Chow powder 仙草粉</t>
  </si>
  <si>
    <t>Rock Sugar冰糖</t>
  </si>
  <si>
    <t>Dried Orange Peel 陈皮</t>
  </si>
  <si>
    <t>52 Hougang St 11</t>
  </si>
  <si>
    <t>#13-07 Singapore 538750</t>
  </si>
  <si>
    <t>1983 - A TASTE OF NANYANG                         9, WOODLANDS AVENUE 9.                       SOUTH FOOD COURT LEVER 2                SINGAPORE 738964</t>
  </si>
  <si>
    <t>24-08-2020</t>
  </si>
  <si>
    <t>Zeemart</t>
  </si>
  <si>
    <t>P056-9</t>
  </si>
  <si>
    <t>9 MM</t>
  </si>
  <si>
    <t>ID#142</t>
  </si>
  <si>
    <t>Bill To</t>
  </si>
  <si>
    <t>Deliver to :</t>
  </si>
  <si>
    <t>15 days</t>
  </si>
  <si>
    <t>ZEEMART PTE LTD                                   91, McNair Road                                                Singapore 328559</t>
  </si>
  <si>
    <t>ID#143</t>
  </si>
  <si>
    <t>Hock Seng Food Pte ltd                                   267 Pandan Loop                                                 Singapore 128439</t>
  </si>
  <si>
    <t>Self Collection</t>
  </si>
  <si>
    <t>COD</t>
  </si>
  <si>
    <t>QTY</t>
  </si>
  <si>
    <t>SIGN</t>
  </si>
  <si>
    <t>STANDARD PACK</t>
  </si>
  <si>
    <t>BRAND</t>
  </si>
  <si>
    <t>24-12-2019</t>
  </si>
  <si>
    <t>15 KGS</t>
  </si>
  <si>
    <t>5 kgs/bag</t>
  </si>
  <si>
    <t>S$36</t>
  </si>
  <si>
    <t>5 kgs/Tub</t>
  </si>
  <si>
    <t>1 kg/box</t>
  </si>
  <si>
    <t>1 kg/b0x</t>
  </si>
  <si>
    <t>1 kg/bag</t>
  </si>
  <si>
    <t>3Q  colour Jelly</t>
  </si>
  <si>
    <t>4 lt/Tub</t>
  </si>
  <si>
    <t>3 kgs(2.2:1))/Pkt</t>
  </si>
  <si>
    <t>20 kg (14:6)/Drum</t>
  </si>
  <si>
    <t>5 kg/bag</t>
  </si>
  <si>
    <t>Dried Longan 龙眼干 (Thiland)</t>
  </si>
  <si>
    <t>Dried Longan 龙眼干 (China)</t>
  </si>
  <si>
    <t>S$17</t>
  </si>
  <si>
    <t>Yellow Fungus 黄色剪花球雪耳</t>
  </si>
  <si>
    <t>Yellow Flower Fungus 黄色花球雪耳</t>
  </si>
  <si>
    <t>White Flower Fungus 白色花球雪耳</t>
  </si>
  <si>
    <t>Lotus Seed 通心白莲子</t>
  </si>
  <si>
    <t>S$24</t>
  </si>
  <si>
    <t>GingKo Nut Kernel　白果仁</t>
  </si>
  <si>
    <t>S$2.9</t>
  </si>
  <si>
    <t>Bean Curd Sheet 三边腐竹</t>
  </si>
  <si>
    <t>Coconut Sugar椰糖 (BL)</t>
  </si>
  <si>
    <t>Coconut Sugar椰糖 (2P)</t>
  </si>
  <si>
    <t>Statue (12 x 820gm)</t>
  </si>
  <si>
    <t>S$34</t>
  </si>
  <si>
    <t>S$27</t>
  </si>
  <si>
    <t>3.3 kg/Tin</t>
  </si>
  <si>
    <t>S$37</t>
  </si>
  <si>
    <t>S$23</t>
  </si>
  <si>
    <t>S$43</t>
  </si>
  <si>
    <t>(400gms x 50pkt)</t>
  </si>
  <si>
    <t>(500 gms x 20 pkt)</t>
  </si>
  <si>
    <t>S$33</t>
  </si>
  <si>
    <t>(600 gms x 20pkt)</t>
  </si>
  <si>
    <t>Windmill 5 kgs</t>
  </si>
  <si>
    <t>Windmill 24 x 350gms</t>
  </si>
  <si>
    <t>World Flower 5 kgs</t>
  </si>
  <si>
    <t>(500 gms x 20 bag)</t>
  </si>
  <si>
    <t>Product List</t>
  </si>
  <si>
    <t>(10pktx40gms)/bag</t>
  </si>
  <si>
    <t>(10 pkt x45gms)/bag</t>
  </si>
  <si>
    <t>(10 pkt x 200 gms)/bag</t>
  </si>
  <si>
    <t>(10 pkt x 30 gms)/Bag</t>
  </si>
  <si>
    <t>Agar Powder菜燕粉 (Rose)</t>
  </si>
  <si>
    <t>(12pkt x 12gm)/Box</t>
  </si>
  <si>
    <t>500 gms/Bag</t>
  </si>
  <si>
    <t>100 gms/Bag</t>
  </si>
  <si>
    <t>80 gms/Bag</t>
  </si>
  <si>
    <t>S$0.7</t>
  </si>
  <si>
    <t>Kara 1 Lt x 12 Pkts</t>
  </si>
  <si>
    <t>24 Can x</t>
  </si>
  <si>
    <t>12 Can x</t>
  </si>
  <si>
    <t>Statue (24 x 410gms)</t>
  </si>
  <si>
    <t>GC (24 x 567gm)</t>
  </si>
  <si>
    <t>GC (12 x 820gm)</t>
  </si>
  <si>
    <t>S$13.5</t>
  </si>
  <si>
    <t>S$2.4</t>
  </si>
  <si>
    <t>R045A</t>
  </si>
  <si>
    <t>Coconut Sugar椰糖 (Malaysia)</t>
  </si>
  <si>
    <t>S$20</t>
  </si>
  <si>
    <t>S$4.0</t>
  </si>
  <si>
    <t>YAM PASTE</t>
  </si>
  <si>
    <t>M038A</t>
  </si>
  <si>
    <t>YAM PASTE WITH GINGKO NUT</t>
  </si>
  <si>
    <t>300GMS/BOX</t>
  </si>
  <si>
    <t>#01-173   KYS</t>
  </si>
  <si>
    <t>ID#144</t>
  </si>
  <si>
    <t>25-09-2020</t>
  </si>
  <si>
    <t>CN9001</t>
  </si>
  <si>
    <t>P044S</t>
  </si>
  <si>
    <t>P046S</t>
  </si>
  <si>
    <t>P060B</t>
  </si>
  <si>
    <t>1 CAN</t>
  </si>
  <si>
    <t>FOC</t>
  </si>
  <si>
    <t>NW (2.1:0.9) 3 kgs</t>
  </si>
  <si>
    <t>M001B</t>
  </si>
  <si>
    <t>Alistar                                                                Blk 15, Woodland Loop.                           #01-21 Singapore 738322</t>
  </si>
  <si>
    <t xml:space="preserve">Zhu Fang Ruo                                                11 Canberra Road #01-05. Singapore 759775.              </t>
  </si>
  <si>
    <t>INGSUGR017</t>
  </si>
  <si>
    <t>CARTON</t>
  </si>
  <si>
    <t>Koufu -喜多福                                                 Blk 267 Compassvale Link                           #01-02 Singapore 540267</t>
  </si>
  <si>
    <t>19-10-2020</t>
  </si>
  <si>
    <t>640 Yishun BB Tea</t>
  </si>
  <si>
    <t>R035</t>
  </si>
  <si>
    <t>Ikan Terbang Wheat Flour</t>
  </si>
  <si>
    <t>Honey Pearl - GOLDEN 蜜糖珍珠</t>
  </si>
  <si>
    <t>Jem cook House                                                  50, Jurong Gateway Road #05-01 JEMS Singapore 608549                                          (Dessert)</t>
  </si>
  <si>
    <t>43 gms x 10PKT/Bag</t>
  </si>
  <si>
    <t>70 gms x 10pkt</t>
  </si>
  <si>
    <t>140 gms x 10 pkt</t>
  </si>
  <si>
    <t xml:space="preserve">Stall :  Blk 75, Toa Payoh 5 </t>
  </si>
  <si>
    <t>Singapore 310075</t>
  </si>
  <si>
    <t>31-10-2020</t>
  </si>
  <si>
    <t xml:space="preserve">KOPITIAM INVESTMENT PTE LTD                      Block 15, Woodlands Loop.                #01-28, Singapore   738322.           </t>
  </si>
  <si>
    <t>M038B</t>
  </si>
  <si>
    <t>500gm/pkt X 50</t>
  </si>
  <si>
    <t>500 GM X 2</t>
  </si>
  <si>
    <t>Soon Soon Soon Wenton Noodles                           1 Pasir Ris Down Town East                      EHUB #02-109  Singapore 519599</t>
  </si>
  <si>
    <t>NEW</t>
  </si>
  <si>
    <t>Polar Mineral Water</t>
  </si>
  <si>
    <t>600ML X 24/CARTON</t>
  </si>
  <si>
    <t>Yam Paste with Gingko Nut</t>
  </si>
  <si>
    <t>500 GMS/BOX</t>
  </si>
  <si>
    <t>Yam Cake</t>
  </si>
  <si>
    <t>SHRIMP MEATBALL</t>
  </si>
  <si>
    <t>SHRIMP PASTE CHICKEN WING</t>
  </si>
  <si>
    <t>ACHAR</t>
  </si>
  <si>
    <t>250 gms/Box</t>
  </si>
  <si>
    <t>S$3.5</t>
  </si>
  <si>
    <t>KOPITIAM INVESTMENT PTE LTD</t>
  </si>
  <si>
    <t>ID#145</t>
  </si>
  <si>
    <t>Café 107 Pte Ltd                                                                             107 Serangoon North Ave 1, #01-671 Singapore 550107.</t>
  </si>
  <si>
    <t>CAFE 107</t>
  </si>
  <si>
    <t>PAYNOW: UEN201914330C</t>
  </si>
  <si>
    <t>CHEF RICKSON'S KITCHEN (Ally)                  Blk 4011, Ang Mo Kio Avenue 10, Techplace 1. Stall 10-11 Singapore 569627</t>
  </si>
  <si>
    <t>ID#146</t>
  </si>
  <si>
    <t>R079</t>
  </si>
  <si>
    <t>POLAR MINERAL WATER</t>
  </si>
  <si>
    <t>600ML/24BTL</t>
  </si>
  <si>
    <t>Dessert Station                                        52 Hougang St 11.                         CENTRAL VIEW TOWER 2               #13-07. Singapore 538750</t>
  </si>
  <si>
    <t>600 gms/20bag</t>
  </si>
  <si>
    <t>SUN KEE</t>
  </si>
  <si>
    <t>ALMOND FAVOUR</t>
  </si>
  <si>
    <t>ID#147</t>
  </si>
  <si>
    <t>Chun Hong Enterprise Pte Ltd                                No 15, Senoko Drive #04-09 Singapore 758202</t>
  </si>
  <si>
    <t>400 GMS</t>
  </si>
  <si>
    <t>R047B</t>
  </si>
  <si>
    <t>Soon Soon Soon Food Holding                 119 Lavender Street, Singapore 338731</t>
  </si>
  <si>
    <t>ID#148</t>
  </si>
  <si>
    <t>ID#149</t>
  </si>
  <si>
    <t>Circle in the box</t>
  </si>
  <si>
    <t>Mr. Jack</t>
  </si>
  <si>
    <t>Tel: 94245021</t>
  </si>
  <si>
    <t>Circle In The Box                                                                            183 Jalan Pelikat, The Promonade        B1-28. Singapore 537643</t>
  </si>
  <si>
    <t>Bank-Branch No : 7375-446</t>
  </si>
  <si>
    <t>800 gms</t>
  </si>
  <si>
    <t>gm</t>
  </si>
  <si>
    <t>Food Junction Management Pte Ltd</t>
  </si>
  <si>
    <t>Food Junction Management  Pte Ltd</t>
  </si>
  <si>
    <t>Vendor  Code</t>
  </si>
  <si>
    <t>103, PASIR PANJANG ROAD</t>
  </si>
  <si>
    <t>SINGAPORE 118531</t>
  </si>
  <si>
    <t>ID#150</t>
  </si>
  <si>
    <t>IVY LIM 94881981                                                          50-A Lorong Marican Singapore 417233</t>
  </si>
  <si>
    <t>Evaporated Creamer 淡奶水</t>
  </si>
  <si>
    <t>Carnation Milk三花淡奶水</t>
  </si>
  <si>
    <t>Threeflower</t>
  </si>
  <si>
    <t>170G/PKT</t>
  </si>
  <si>
    <t>PAYNOW</t>
  </si>
  <si>
    <t xml:space="preserve">Premium Natural Honey </t>
  </si>
  <si>
    <t>Busy</t>
  </si>
  <si>
    <t>(1 kg x 12)/1 carton</t>
  </si>
  <si>
    <t>WaterWay Point                                            83 Punggol Central #02-20/21 Singapore 828761                               (DIM SUM STALL)</t>
  </si>
  <si>
    <t>MANDY TOH</t>
  </si>
  <si>
    <t>TEL: 96704006</t>
  </si>
  <si>
    <t>R101</t>
  </si>
  <si>
    <t>Chrysanthmum</t>
  </si>
  <si>
    <t>Food Centre #01-23</t>
  </si>
  <si>
    <t>Fine Sugar 白糖 (Star)</t>
  </si>
  <si>
    <t>800 gm</t>
  </si>
  <si>
    <t>3 kg</t>
  </si>
  <si>
    <t xml:space="preserve"> #04-33/34</t>
  </si>
  <si>
    <t>PURPLE Sweet Potato 番薯</t>
  </si>
  <si>
    <t>4月1日起调整价钱</t>
  </si>
  <si>
    <t>ID#151</t>
  </si>
  <si>
    <t>YAMMIE TAIWAN SNACK                                11, CANBERRA ROAD #01-05 SEMBAWANG MRT STATION S (759775)</t>
  </si>
  <si>
    <t>YAMMIE  (MRT)</t>
  </si>
  <si>
    <t>YAMMIE TAIWAN SNACK</t>
  </si>
  <si>
    <t xml:space="preserve">ATTN: Miss Jeslynn </t>
  </si>
  <si>
    <t>Tel : 92991271</t>
  </si>
  <si>
    <t>ID#??</t>
  </si>
  <si>
    <t>Honey Longan syrup  龙眼</t>
  </si>
  <si>
    <t>Cheque</t>
  </si>
  <si>
    <t>Monthly/Cheque</t>
  </si>
  <si>
    <t>M1001</t>
  </si>
  <si>
    <t>M1001A</t>
  </si>
  <si>
    <t>M1001B</t>
  </si>
  <si>
    <t>5 KGS/TUB</t>
  </si>
  <si>
    <t>5 KGSPKT</t>
  </si>
  <si>
    <t>M1002</t>
  </si>
  <si>
    <t>M1002A</t>
  </si>
  <si>
    <t>M1003</t>
  </si>
  <si>
    <t>M1004</t>
  </si>
  <si>
    <t>M1005</t>
  </si>
  <si>
    <t>M1006</t>
  </si>
  <si>
    <t>M1007</t>
  </si>
  <si>
    <t>M1008</t>
  </si>
  <si>
    <t>M1009</t>
  </si>
  <si>
    <t>M1010</t>
  </si>
  <si>
    <t>M1011</t>
  </si>
  <si>
    <t>M1012</t>
  </si>
  <si>
    <t>M1013</t>
  </si>
  <si>
    <t>M1014</t>
  </si>
  <si>
    <t>M1015</t>
  </si>
  <si>
    <t>M1016</t>
  </si>
  <si>
    <t>M1017</t>
  </si>
  <si>
    <t>M1018</t>
  </si>
  <si>
    <t>M1019</t>
  </si>
  <si>
    <t>RICE BALL (PINK-PEANUT 花生)</t>
  </si>
  <si>
    <t>TYC</t>
  </si>
  <si>
    <t>15 PIECES/PKT</t>
  </si>
  <si>
    <t>M1020</t>
  </si>
  <si>
    <t>RICE BALL (WHITE - SESAME 芝麻)</t>
  </si>
  <si>
    <t>M1021</t>
  </si>
  <si>
    <t>RICE BALL (WHITE - RED BEAN 红豆)</t>
  </si>
  <si>
    <t>M1022</t>
  </si>
  <si>
    <t>M1023</t>
  </si>
  <si>
    <t>M1024</t>
  </si>
  <si>
    <t>M1025</t>
  </si>
  <si>
    <t>M1026</t>
  </si>
  <si>
    <t>M1027</t>
  </si>
  <si>
    <t>M1028</t>
  </si>
  <si>
    <t>M1029</t>
  </si>
  <si>
    <t>P1001</t>
  </si>
  <si>
    <t>P1001A</t>
  </si>
  <si>
    <t>4 KGS X Tub</t>
  </si>
  <si>
    <t>P1002</t>
  </si>
  <si>
    <t>P1003</t>
  </si>
  <si>
    <t>P1004</t>
  </si>
  <si>
    <t>P1005</t>
  </si>
  <si>
    <t>P1006</t>
  </si>
  <si>
    <t>P1007</t>
  </si>
  <si>
    <t>P1008</t>
  </si>
  <si>
    <t>3.2 KG/TUB</t>
  </si>
  <si>
    <t>P1008A</t>
  </si>
  <si>
    <t>P1006A</t>
  </si>
  <si>
    <t>P1007A</t>
  </si>
  <si>
    <t>P2001</t>
  </si>
  <si>
    <t>P2001A</t>
  </si>
  <si>
    <t>P2001B</t>
  </si>
  <si>
    <t>500 GM X 20PKT</t>
  </si>
  <si>
    <t>P2002</t>
  </si>
  <si>
    <t>P2002A</t>
  </si>
  <si>
    <t>P2002B</t>
  </si>
  <si>
    <t>Almond Powder - 杏仁粉- Yellow- Jelly A</t>
  </si>
  <si>
    <t>P2003</t>
  </si>
  <si>
    <t>P2003A</t>
  </si>
  <si>
    <t>P2004</t>
  </si>
  <si>
    <t>20BOX/CARTON</t>
  </si>
  <si>
    <t>P2004A</t>
  </si>
  <si>
    <t>P2005</t>
  </si>
  <si>
    <t>P2006</t>
  </si>
  <si>
    <t>`</t>
  </si>
  <si>
    <t>6BOX X (5PKT X 200GM)</t>
  </si>
  <si>
    <t>P2006A</t>
  </si>
  <si>
    <t>10PKT X 200 GM/BAG</t>
  </si>
  <si>
    <t>P2006B</t>
  </si>
  <si>
    <t>200 GM</t>
  </si>
  <si>
    <t>P2007</t>
  </si>
  <si>
    <t>P2007A</t>
  </si>
  <si>
    <t>P2007B</t>
  </si>
  <si>
    <t>P2008</t>
  </si>
  <si>
    <t>P2008A</t>
  </si>
  <si>
    <t>P2008B</t>
  </si>
  <si>
    <t>BOTTLE</t>
  </si>
  <si>
    <t>TUE</t>
  </si>
  <si>
    <t>P2009</t>
  </si>
  <si>
    <t>P2010</t>
  </si>
  <si>
    <t>P2010A</t>
  </si>
  <si>
    <t>NESTLE COFFEEMATE</t>
  </si>
  <si>
    <t>NESTLE</t>
  </si>
  <si>
    <t>12 KGS/CARTON</t>
  </si>
  <si>
    <t>1 KG/PKT</t>
  </si>
  <si>
    <t>P2011</t>
  </si>
  <si>
    <t>P2011A</t>
  </si>
  <si>
    <t>RE-PACK</t>
  </si>
  <si>
    <t>P2011B</t>
  </si>
  <si>
    <t>P2011C</t>
  </si>
  <si>
    <t>P2012</t>
  </si>
  <si>
    <t>P2012A</t>
  </si>
  <si>
    <t>500 GM/pkt</t>
  </si>
  <si>
    <t>P2013</t>
  </si>
  <si>
    <t>P2014</t>
  </si>
  <si>
    <t>GREEN MUNG BEAN STARCH</t>
  </si>
  <si>
    <t>P2014A</t>
  </si>
  <si>
    <t>P2015</t>
  </si>
  <si>
    <t>P2016</t>
  </si>
  <si>
    <t>P2016A</t>
  </si>
  <si>
    <t>P2017</t>
  </si>
  <si>
    <t>P2018</t>
  </si>
  <si>
    <t>WORLDWIDE</t>
  </si>
  <si>
    <t>P2019</t>
  </si>
  <si>
    <t>P2019A</t>
  </si>
  <si>
    <t>P2020</t>
  </si>
  <si>
    <t>Wheat Starch 澄面粉</t>
  </si>
  <si>
    <t>P2020A</t>
  </si>
  <si>
    <t>500 gm x 10</t>
  </si>
  <si>
    <t>P2021</t>
  </si>
  <si>
    <t>P2022</t>
  </si>
  <si>
    <t>P2023</t>
  </si>
  <si>
    <t>P2024</t>
  </si>
  <si>
    <t>P2025</t>
  </si>
  <si>
    <t>P2026</t>
  </si>
  <si>
    <t>P2027</t>
  </si>
  <si>
    <t>P2028</t>
  </si>
  <si>
    <t>TAIWAN</t>
  </si>
  <si>
    <t>P3001</t>
  </si>
  <si>
    <t>P3001A</t>
  </si>
  <si>
    <t>P3001B</t>
  </si>
  <si>
    <t>P3001C</t>
  </si>
  <si>
    <t>P3002</t>
  </si>
  <si>
    <t>P3003</t>
  </si>
  <si>
    <t>P3004</t>
  </si>
  <si>
    <t>P3004A</t>
  </si>
  <si>
    <t>1 kg (2 X 500GM)</t>
  </si>
  <si>
    <t>P3005</t>
  </si>
  <si>
    <t>P3005A</t>
  </si>
  <si>
    <t>P3005B</t>
  </si>
  <si>
    <t>P3005C</t>
  </si>
  <si>
    <t>P3005D</t>
  </si>
  <si>
    <t>P3006</t>
  </si>
  <si>
    <t>P3006A</t>
  </si>
  <si>
    <t>P3006B</t>
  </si>
  <si>
    <t>P3007</t>
  </si>
  <si>
    <t>P3007A</t>
  </si>
  <si>
    <t>P3008</t>
  </si>
  <si>
    <t>P3008A</t>
  </si>
  <si>
    <t>P3008B</t>
  </si>
  <si>
    <t>P3009</t>
  </si>
  <si>
    <t>P3009A</t>
  </si>
  <si>
    <t>P3009B</t>
  </si>
  <si>
    <t>P3009C</t>
  </si>
  <si>
    <t>P3010</t>
  </si>
  <si>
    <t>SOYABEAN</t>
  </si>
  <si>
    <t>P3011</t>
  </si>
  <si>
    <t>BLACK BEAN</t>
  </si>
  <si>
    <t>P3012</t>
  </si>
  <si>
    <t>P3012A</t>
  </si>
  <si>
    <t>P3012B</t>
  </si>
  <si>
    <t>P3012C</t>
  </si>
  <si>
    <t>P3012D</t>
  </si>
  <si>
    <t>P3012E</t>
  </si>
  <si>
    <t>P3013</t>
  </si>
  <si>
    <t>P3013A</t>
  </si>
  <si>
    <t>P3013B</t>
  </si>
  <si>
    <t>P3013C</t>
  </si>
  <si>
    <t>P3014</t>
  </si>
  <si>
    <t>P3014A</t>
  </si>
  <si>
    <t>P3014B</t>
  </si>
  <si>
    <t>P3014C</t>
  </si>
  <si>
    <t>P3015</t>
  </si>
  <si>
    <t>P3016</t>
  </si>
  <si>
    <t>P3016A</t>
  </si>
  <si>
    <t>P3016B</t>
  </si>
  <si>
    <t>P3017</t>
  </si>
  <si>
    <t>P3017A</t>
  </si>
  <si>
    <t>P3017B</t>
  </si>
  <si>
    <t>P3017C</t>
  </si>
  <si>
    <t>P3018</t>
  </si>
  <si>
    <t>P3018A</t>
  </si>
  <si>
    <t>P3018B</t>
  </si>
  <si>
    <t>P3019</t>
  </si>
  <si>
    <t>P3019A</t>
  </si>
  <si>
    <t>P3020</t>
  </si>
  <si>
    <t>10 KGS</t>
  </si>
  <si>
    <t>P3020A</t>
  </si>
  <si>
    <t>P3021</t>
  </si>
  <si>
    <t>P3022</t>
  </si>
  <si>
    <t>P3023</t>
  </si>
  <si>
    <t>P3024</t>
  </si>
  <si>
    <t>P3024A</t>
  </si>
  <si>
    <t>P3025</t>
  </si>
  <si>
    <t>P3025A</t>
  </si>
  <si>
    <t>P3026</t>
  </si>
  <si>
    <t>P3027</t>
  </si>
  <si>
    <t>P3028</t>
  </si>
  <si>
    <t>Chrysanthemum 菊花</t>
  </si>
  <si>
    <t>P3029</t>
  </si>
  <si>
    <t>P3030</t>
  </si>
  <si>
    <t>150g X 60PKTS</t>
  </si>
  <si>
    <t>P3030A</t>
  </si>
  <si>
    <t>150g/pkt X 40 PKTS</t>
  </si>
  <si>
    <t>P3031</t>
  </si>
  <si>
    <t>P3031A</t>
  </si>
  <si>
    <t>P3032</t>
  </si>
  <si>
    <t>3KGS X 10 PKTS</t>
  </si>
  <si>
    <t>P3032A</t>
  </si>
  <si>
    <t>P3033</t>
  </si>
  <si>
    <t>P3034</t>
  </si>
  <si>
    <t>P3034A</t>
  </si>
  <si>
    <t>P3035</t>
  </si>
  <si>
    <t>P3036</t>
  </si>
  <si>
    <t>P3037</t>
  </si>
  <si>
    <t>P3038</t>
  </si>
  <si>
    <t>P3039</t>
  </si>
  <si>
    <t>P3040</t>
  </si>
  <si>
    <t>P3041</t>
  </si>
  <si>
    <t>PACKED TOMATO SAUCE</t>
  </si>
  <si>
    <t>P3042</t>
  </si>
  <si>
    <t>P3043</t>
  </si>
  <si>
    <t>P3044</t>
  </si>
  <si>
    <t>P3045</t>
  </si>
  <si>
    <t>P3046</t>
  </si>
  <si>
    <t>P3047</t>
  </si>
  <si>
    <t>Liquorice 甘草</t>
  </si>
  <si>
    <t>P3048</t>
  </si>
  <si>
    <t>Ginseng 人参</t>
  </si>
  <si>
    <t>P3049</t>
  </si>
  <si>
    <t>Honeysuckle 金银花</t>
  </si>
  <si>
    <t>P3050</t>
  </si>
  <si>
    <t>Fritillary 川贝</t>
  </si>
  <si>
    <t>P3051</t>
  </si>
  <si>
    <t>Sweet Almond 南杏</t>
  </si>
  <si>
    <t>P3052</t>
  </si>
  <si>
    <t>Bitter Almond 北杏</t>
  </si>
  <si>
    <t>P3053</t>
  </si>
  <si>
    <t>Black Date 黑枣</t>
  </si>
  <si>
    <t>P3054</t>
  </si>
  <si>
    <t>China Barley 中国薏米</t>
  </si>
  <si>
    <t>P3055</t>
  </si>
  <si>
    <t>Smoke Plum 乌梅</t>
  </si>
  <si>
    <t>P3056</t>
  </si>
  <si>
    <t>Premium Figs 无花果</t>
  </si>
  <si>
    <t>P3057</t>
  </si>
  <si>
    <t>Flatted Orange 橘饼</t>
  </si>
  <si>
    <t>P3058</t>
  </si>
  <si>
    <t>Wheatgrass 小麦草</t>
  </si>
  <si>
    <t>P4001</t>
  </si>
  <si>
    <t>P4001A</t>
  </si>
  <si>
    <t>P4002</t>
  </si>
  <si>
    <t>P4002A</t>
  </si>
  <si>
    <t>CAN</t>
  </si>
  <si>
    <t>P4003</t>
  </si>
  <si>
    <t>P4003A</t>
  </si>
  <si>
    <t>P4004</t>
  </si>
  <si>
    <t>P4004A</t>
  </si>
  <si>
    <t>P4005</t>
  </si>
  <si>
    <t>P4005A</t>
  </si>
  <si>
    <t>P4006</t>
  </si>
  <si>
    <t>P4006A</t>
  </si>
  <si>
    <t>P4007</t>
  </si>
  <si>
    <t>P4008</t>
  </si>
  <si>
    <t>P4009</t>
  </si>
  <si>
    <t>P4009A</t>
  </si>
  <si>
    <t>P4009B</t>
  </si>
  <si>
    <t>567 GM/CAN</t>
  </si>
  <si>
    <t>P4010</t>
  </si>
  <si>
    <t>P4011</t>
  </si>
  <si>
    <t>P4012</t>
  </si>
  <si>
    <t>P4013</t>
  </si>
  <si>
    <t>P4014</t>
  </si>
  <si>
    <t>P4014A</t>
  </si>
  <si>
    <t>425 GM/CAN</t>
  </si>
  <si>
    <t>P4015</t>
  </si>
  <si>
    <t>P4015A</t>
  </si>
  <si>
    <t>P4016</t>
  </si>
  <si>
    <t>P4016A</t>
  </si>
  <si>
    <t>3.3KG X 6</t>
  </si>
  <si>
    <t>TUB</t>
  </si>
  <si>
    <t>P4018</t>
  </si>
  <si>
    <t>P4018A</t>
  </si>
  <si>
    <t>P4019</t>
  </si>
  <si>
    <t>P4019A</t>
  </si>
  <si>
    <t>Sweetened Creamer 练奶</t>
  </si>
  <si>
    <t>P4020</t>
  </si>
  <si>
    <t>P4020A</t>
  </si>
  <si>
    <t>380GM/CAN</t>
  </si>
  <si>
    <t>P4021</t>
  </si>
  <si>
    <t>P4022</t>
  </si>
  <si>
    <t>P4023</t>
  </si>
  <si>
    <t>P4024</t>
  </si>
  <si>
    <t>P4025</t>
  </si>
  <si>
    <t>Peaches Halves 桃畔</t>
  </si>
  <si>
    <t>South Africa</t>
  </si>
  <si>
    <t>Hosen</t>
  </si>
  <si>
    <t>12can x 825G/Carton</t>
  </si>
  <si>
    <t>P4026</t>
  </si>
  <si>
    <t>P4027</t>
  </si>
  <si>
    <t>P4028</t>
  </si>
  <si>
    <t>P4029</t>
  </si>
  <si>
    <t>P4030</t>
  </si>
  <si>
    <t>P4030A</t>
  </si>
  <si>
    <t>P4031</t>
  </si>
  <si>
    <t>HENG GUAN</t>
  </si>
  <si>
    <t>1 Lt</t>
  </si>
  <si>
    <t>P4032</t>
  </si>
  <si>
    <t>P4033</t>
  </si>
  <si>
    <t>P4034</t>
  </si>
  <si>
    <t>P4035</t>
  </si>
  <si>
    <t>P4036</t>
  </si>
  <si>
    <t>P4037</t>
  </si>
  <si>
    <t>P4038</t>
  </si>
  <si>
    <t>GREEN APPLE JUICE</t>
  </si>
  <si>
    <t>P4039</t>
  </si>
  <si>
    <t>HONEY PEACH JUICE</t>
  </si>
  <si>
    <t>P4040</t>
  </si>
  <si>
    <t>STRAWBERRY JUICE</t>
  </si>
  <si>
    <t>P4041</t>
  </si>
  <si>
    <t>P4042</t>
  </si>
  <si>
    <t>MANGO JUICE</t>
  </si>
  <si>
    <t>P4043</t>
  </si>
  <si>
    <t>P4044</t>
  </si>
  <si>
    <t>HONEYDEW PREMIER CONCENTRATED</t>
  </si>
  <si>
    <t>P4045</t>
  </si>
  <si>
    <t>Honey Longan syrup</t>
  </si>
  <si>
    <t>P5001</t>
  </si>
  <si>
    <t>3 KGS X 6 PKTS</t>
  </si>
  <si>
    <t>P5001A</t>
  </si>
  <si>
    <t>6 kgs X 6 PKTS</t>
  </si>
  <si>
    <t>P5002</t>
  </si>
  <si>
    <t>P5002A</t>
  </si>
  <si>
    <t>P5003</t>
  </si>
  <si>
    <t>P5003A</t>
  </si>
  <si>
    <t>P5003B</t>
  </si>
  <si>
    <t>MITRPHOL</t>
  </si>
  <si>
    <t>P5004</t>
  </si>
  <si>
    <t>P5005</t>
  </si>
  <si>
    <t>P5005A</t>
  </si>
  <si>
    <t>P5005B</t>
  </si>
  <si>
    <t>P5006</t>
  </si>
  <si>
    <t>P5007</t>
  </si>
  <si>
    <t>P5007A</t>
  </si>
  <si>
    <t>P5008</t>
  </si>
  <si>
    <t>P5009</t>
  </si>
  <si>
    <t>P5010</t>
  </si>
  <si>
    <t>P5011</t>
  </si>
  <si>
    <t>P5011A</t>
  </si>
  <si>
    <t>P5012</t>
  </si>
  <si>
    <t>P5013</t>
  </si>
  <si>
    <t>Coarse Sugar</t>
  </si>
  <si>
    <t>1kg x 12pkt</t>
  </si>
  <si>
    <t>pkt</t>
  </si>
  <si>
    <t>P6001</t>
  </si>
  <si>
    <t>P6002</t>
  </si>
  <si>
    <t>P6003</t>
  </si>
  <si>
    <t>P6004</t>
  </si>
  <si>
    <t>P6005</t>
  </si>
  <si>
    <t>P6006</t>
  </si>
  <si>
    <t>P6007</t>
  </si>
  <si>
    <t>P6008</t>
  </si>
  <si>
    <t>P6011</t>
  </si>
  <si>
    <t>P6014</t>
  </si>
  <si>
    <t>P6009</t>
  </si>
  <si>
    <t>Radish 白罗卜</t>
  </si>
  <si>
    <t>P6010</t>
  </si>
  <si>
    <t>China Turnip沙葛</t>
  </si>
  <si>
    <t>P6012</t>
  </si>
  <si>
    <t>Bonton Ginger</t>
  </si>
  <si>
    <t>P6013</t>
  </si>
  <si>
    <t>P7001</t>
  </si>
  <si>
    <t>P7002</t>
  </si>
  <si>
    <t>P7003</t>
  </si>
  <si>
    <t>P7004</t>
  </si>
  <si>
    <t>P7005</t>
  </si>
  <si>
    <t>P7006</t>
  </si>
  <si>
    <t>P7007</t>
  </si>
  <si>
    <t>P7008</t>
  </si>
  <si>
    <t>P7009</t>
  </si>
  <si>
    <t>P7010</t>
  </si>
  <si>
    <t>P7011</t>
  </si>
  <si>
    <t>P7012</t>
  </si>
  <si>
    <t>P7013</t>
  </si>
  <si>
    <t>P7014</t>
  </si>
  <si>
    <t>P7015</t>
  </si>
  <si>
    <t>P7016</t>
  </si>
  <si>
    <t>P7017</t>
  </si>
  <si>
    <t>P7018</t>
  </si>
  <si>
    <t>P7019</t>
  </si>
  <si>
    <t>P7020</t>
  </si>
  <si>
    <t>P7021</t>
  </si>
  <si>
    <t>P7022</t>
  </si>
  <si>
    <t>450ml</t>
  </si>
  <si>
    <t>P7023</t>
  </si>
  <si>
    <t>Durian</t>
  </si>
  <si>
    <t>P7024</t>
  </si>
  <si>
    <t>1 lt/btl</t>
  </si>
  <si>
    <t>P8001</t>
  </si>
  <si>
    <t>Coconut Suger Syrup 椰糖浆(G)</t>
  </si>
  <si>
    <t>THAILAND</t>
  </si>
  <si>
    <t>Chendol浆咯 (248, CMEP)</t>
  </si>
  <si>
    <t>Combined Stalls                                          No 1 Harbourfont Centre, Maritime Centre #03-01/04 Singapore 099253</t>
  </si>
  <si>
    <t>S'pore</t>
  </si>
  <si>
    <t>P3027A</t>
  </si>
  <si>
    <t>Blk 632</t>
  </si>
  <si>
    <t>JELLY POWDER</t>
  </si>
  <si>
    <t>200 GM X 10 PKT</t>
  </si>
  <si>
    <t>5 KGS/BAG</t>
  </si>
  <si>
    <t>2 KG</t>
  </si>
  <si>
    <t>3.2 KGS/TIN</t>
  </si>
  <si>
    <t>12 CAN/BOX</t>
  </si>
  <si>
    <t>24 CAN/CTN</t>
  </si>
  <si>
    <t>48 CAN/CTN</t>
  </si>
  <si>
    <t>1L X 12BOX</t>
  </si>
  <si>
    <t>42 GM X 10 PKT</t>
  </si>
  <si>
    <t xml:space="preserve">KOUFU PTE LTD                                     BLK 671A, Edgefield Plains  #01-                  Singapore 821671              </t>
  </si>
  <si>
    <t>ID#152</t>
  </si>
  <si>
    <t>4月15日起调整价钱</t>
  </si>
  <si>
    <t>M1023A</t>
  </si>
  <si>
    <t>M1024A</t>
  </si>
  <si>
    <t>Catholic College</t>
  </si>
  <si>
    <t>ID#153</t>
  </si>
  <si>
    <t>Paynow</t>
  </si>
  <si>
    <t>ATTN: MS Jaslin</t>
  </si>
  <si>
    <t>Tel : 96187049</t>
  </si>
  <si>
    <t>P3030B</t>
  </si>
  <si>
    <t>Jelly Powder "文头雪粉" (CARRAGEENAN)</t>
  </si>
  <si>
    <t>ID#154</t>
  </si>
  <si>
    <t>Hee Tea                                                                 35 Robinson Road #01-04                                 Singapore 068898</t>
  </si>
  <si>
    <t>DRINK &amp; DESSERT STALL                                                     Nex 23 Serangoon Central                                   #04-16. Nex Shopping Mall. Singapore 556083</t>
  </si>
  <si>
    <t xml:space="preserve">Koufu Pte Ltd                                           Drink Stall. Republic Polytechnic.           South Foodcourt.                                           31 Woodland Ave 9                                  Singapore 737909                                                                            </t>
  </si>
  <si>
    <t>ID#155</t>
  </si>
  <si>
    <t>CHEF RICKSON'S KITCHEN (Ally)                  Blk 177, Bishan Street 13 #04-177 Singapore 570177</t>
  </si>
  <si>
    <t>ID#156</t>
  </si>
  <si>
    <t>RASA RASA @ SENGKANG PTE LTD                                               BLK 278D, Compassvale Bow #01-05 Singapore 544278</t>
  </si>
  <si>
    <t>Delivery charges</t>
  </si>
  <si>
    <t>AAA</t>
  </si>
  <si>
    <t>9MM PEARL</t>
  </si>
  <si>
    <t>FJM/PO-00012823</t>
  </si>
  <si>
    <t>INGCOD1123</t>
  </si>
  <si>
    <t>INGCOD1069</t>
  </si>
  <si>
    <t>M1014A</t>
  </si>
  <si>
    <t>Chendol CUSTOM MADE 浆咯</t>
  </si>
  <si>
    <t>6月1日起调整价钱</t>
  </si>
  <si>
    <t>ID#157</t>
  </si>
  <si>
    <t>P4017A</t>
  </si>
  <si>
    <t>P5012A</t>
  </si>
  <si>
    <t>500 GM/CAN</t>
  </si>
  <si>
    <t>P3059</t>
  </si>
  <si>
    <t>30 kgs</t>
  </si>
  <si>
    <t>Balester 411</t>
  </si>
  <si>
    <t xml:space="preserve">Kidney Beans </t>
  </si>
  <si>
    <t>24x 425 gms</t>
  </si>
  <si>
    <t>P4046</t>
  </si>
  <si>
    <t>6月1日起调整价钱 (PRICE ADJUSTMENT)</t>
  </si>
  <si>
    <t>P4017</t>
  </si>
  <si>
    <t>7月1日起调整价钱</t>
  </si>
  <si>
    <t>P1009</t>
  </si>
  <si>
    <t>P1010</t>
  </si>
  <si>
    <t>Remark</t>
  </si>
  <si>
    <t>New</t>
  </si>
  <si>
    <t>USA</t>
  </si>
  <si>
    <t>Red Date 红枣 (Seedless)</t>
  </si>
  <si>
    <t>P2029</t>
  </si>
  <si>
    <t>S111 Pte Ltd                                              No 39, Greenwich Drive. #01-12  Blk 8, Tampines Logistics Hub  Singapore 533863.</t>
  </si>
  <si>
    <t>4/07/2021起价格变更</t>
  </si>
  <si>
    <t>Tel: 65693365</t>
  </si>
  <si>
    <t>Attn: AH KIM</t>
  </si>
  <si>
    <t>Hawker Way pte Ltd                                                     Blk 271, Bukit Batok Avenue 4                                 #01-160    Singapore</t>
  </si>
  <si>
    <t>Fax: 67593783</t>
  </si>
  <si>
    <t>Attention: Miss May</t>
  </si>
  <si>
    <t>S111 PTE LTD</t>
  </si>
  <si>
    <t>DATE</t>
  </si>
  <si>
    <t>TOW SUAN</t>
  </si>
  <si>
    <t>BUBOR HITAM</t>
  </si>
  <si>
    <t>BUBOR TERIGU</t>
  </si>
  <si>
    <t>GRREN BEEN SOUP</t>
  </si>
  <si>
    <t>RED BEAN SOUP</t>
  </si>
  <si>
    <t>SWEET POTATO SOUP</t>
  </si>
  <si>
    <t>DESSERT SYRUP</t>
  </si>
  <si>
    <t>YOU TIAO</t>
  </si>
  <si>
    <t>COCONUT MILK</t>
  </si>
  <si>
    <t>SUGAR</t>
  </si>
  <si>
    <t>SAMPLE</t>
  </si>
  <si>
    <t>1 BOX</t>
  </si>
  <si>
    <t>FOODGLE HUB</t>
  </si>
  <si>
    <t>P8002</t>
  </si>
  <si>
    <t>P8003</t>
  </si>
  <si>
    <t>P8004</t>
  </si>
  <si>
    <t>Green Bean Soup 绿豆</t>
  </si>
  <si>
    <t>Red Beam Soup</t>
  </si>
  <si>
    <t>P8005</t>
  </si>
  <si>
    <t>P8006</t>
  </si>
  <si>
    <t>Sweet Potato Soup</t>
  </si>
  <si>
    <t>P8007</t>
  </si>
  <si>
    <t>Dessert Syrup</t>
  </si>
  <si>
    <t>P8008</t>
  </si>
  <si>
    <t xml:space="preserve">Steam Sweet Potato </t>
  </si>
  <si>
    <t>4 kgs</t>
  </si>
  <si>
    <t>ID#158</t>
  </si>
  <si>
    <t>Foodgle Hub Pte Ltd</t>
  </si>
  <si>
    <t>2 Bukit Batok Street 24</t>
  </si>
  <si>
    <t>Skytech Building #08-17</t>
  </si>
  <si>
    <t>Singapore 659480</t>
  </si>
  <si>
    <t xml:space="preserve">Foodgle Hub Pte Ltd                                               2 Ang Mo Kio Drive                                         Singapore 567720   </t>
  </si>
  <si>
    <t>Attention: Mr. Anthony</t>
  </si>
  <si>
    <t>1 CAN X 6 X A10</t>
  </si>
  <si>
    <t>Coconut Suger Syrup (Pandan) 椰糖浆</t>
  </si>
  <si>
    <t>ID#159</t>
  </si>
  <si>
    <t>P8009</t>
  </si>
  <si>
    <t>FSM/PO: 00017345</t>
  </si>
  <si>
    <t>P2030</t>
  </si>
  <si>
    <t>FISH BRAND</t>
  </si>
  <si>
    <t>ID#160</t>
  </si>
  <si>
    <t>Comme Me Das                                                                                   2 Venture Drive, Vision Exchange #01-40          Singapore 608526</t>
  </si>
  <si>
    <t>COMME ME DAS</t>
  </si>
  <si>
    <t>GIRO</t>
  </si>
  <si>
    <t>(1500:500)2KG</t>
  </si>
  <si>
    <t>P2031</t>
  </si>
  <si>
    <t>P2008C</t>
  </si>
  <si>
    <t>150 GM</t>
  </si>
  <si>
    <t>P2032</t>
  </si>
  <si>
    <t>P2033</t>
  </si>
  <si>
    <t>ID#161</t>
  </si>
  <si>
    <t>HOME TOWN PTE LTD                                                                    Blk 15, Woodlands Loop.                                      #01-59 Singapore 738322</t>
  </si>
  <si>
    <t>HOME TOWN #01-59</t>
  </si>
  <si>
    <t>Qty</t>
  </si>
  <si>
    <t>1kg/box</t>
  </si>
  <si>
    <t>JAPAN</t>
  </si>
  <si>
    <t>42gmx10Pkt</t>
  </si>
  <si>
    <t>AUSTRALIA</t>
  </si>
  <si>
    <t>SW</t>
  </si>
  <si>
    <t>VIETNAM</t>
  </si>
  <si>
    <t>HOLLAND</t>
  </si>
  <si>
    <t>Yit Hong</t>
  </si>
  <si>
    <t>48 CAN/CARTON</t>
  </si>
  <si>
    <t>5 KGS/Pkt</t>
  </si>
  <si>
    <t>FJ</t>
  </si>
  <si>
    <t>1 kg (2 包)</t>
  </si>
  <si>
    <t>Blk 828</t>
  </si>
  <si>
    <t>FJM/PO: 0018164</t>
  </si>
  <si>
    <t>ID#162</t>
  </si>
  <si>
    <t>DELIVERY CHARGES</t>
  </si>
  <si>
    <t xml:space="preserve">MICHELLE                                                         56, MINBU ROAD #03-01                                        SINGAPORE 308185          </t>
  </si>
  <si>
    <t>TEL: 93206122</t>
  </si>
  <si>
    <t xml:space="preserve">Koufu Pte Ltd- DRINK STALL                                      Millenia Walk, 9 Raffle Boulevard #01-46                                                    Singapore 039596                                                                        </t>
  </si>
  <si>
    <t>FJM/PO: 00018511</t>
  </si>
  <si>
    <t>Goodwoof - Central Kitchen</t>
  </si>
  <si>
    <t>31 Woodlands Close, #06-16</t>
  </si>
  <si>
    <t xml:space="preserve">Woodlands Horizon </t>
  </si>
  <si>
    <t>Singapore 737855</t>
  </si>
  <si>
    <t>P122</t>
  </si>
  <si>
    <t>MALAYSIA</t>
  </si>
  <si>
    <t>ID#163</t>
  </si>
  <si>
    <t xml:space="preserve">PS Seiko Pte Ltd                                                    2, Woodlands Sector, #05-23/25 Woodlands Spectrum 1                                     SINGAPORe 738068          </t>
  </si>
  <si>
    <t>ID#164</t>
  </si>
  <si>
    <t>M1033</t>
  </si>
  <si>
    <t>M1030</t>
  </si>
  <si>
    <t>Pineapple Jam</t>
  </si>
  <si>
    <t>200 gm</t>
  </si>
  <si>
    <t>M1031</t>
  </si>
  <si>
    <t>M1032</t>
  </si>
  <si>
    <t>PANDAN BEAN CURD JELLY</t>
  </si>
  <si>
    <t>Red Tea Jelly</t>
  </si>
  <si>
    <t>M1034</t>
  </si>
  <si>
    <t>FEN YUAN JELLY</t>
  </si>
  <si>
    <t>#ESS202110071820</t>
  </si>
  <si>
    <t>P4047</t>
  </si>
  <si>
    <t>PEANUT BUTTER</t>
  </si>
  <si>
    <t>PROFIT</t>
  </si>
  <si>
    <t>ID#165</t>
  </si>
  <si>
    <t>Mr. Seow</t>
  </si>
  <si>
    <t>HP: 92786338</t>
  </si>
  <si>
    <t>Goodwoof</t>
  </si>
  <si>
    <t>EX-CHANGE</t>
  </si>
  <si>
    <t>P4048</t>
  </si>
  <si>
    <t>P4048A</t>
  </si>
  <si>
    <t>Golden boy</t>
  </si>
  <si>
    <t>A10 x 6</t>
  </si>
  <si>
    <t>A10 x 1</t>
  </si>
  <si>
    <t>P3037A</t>
  </si>
  <si>
    <t>7 MM</t>
  </si>
  <si>
    <t>P3032B</t>
  </si>
  <si>
    <t>Sweeten Melon  cube 冬瓜</t>
  </si>
  <si>
    <t>Blk 248</t>
  </si>
  <si>
    <t>P3006C</t>
  </si>
  <si>
    <t>1月1日起调整价钱</t>
  </si>
  <si>
    <t>KOUFU GROUP LIMITED</t>
  </si>
  <si>
    <t>1, WOODLANDS HEIGH #07-01</t>
  </si>
  <si>
    <t>SINGAPORE 737859</t>
  </si>
  <si>
    <t>Tel: 65060161</t>
  </si>
  <si>
    <t>Fax: 67521811</t>
  </si>
  <si>
    <t xml:space="preserve">   </t>
  </si>
  <si>
    <t>Yam Skinless 芋头去皮</t>
  </si>
  <si>
    <t>14-12-2021</t>
  </si>
  <si>
    <t>P3060</t>
  </si>
  <si>
    <t>OSMANTHUS</t>
  </si>
  <si>
    <t>100 GM</t>
  </si>
  <si>
    <t xml:space="preserve">Koufu- Dessert                                                         Block 500, Toa Payoh Centre. Lorong 6     #02-30   Singapore 310500                                         </t>
  </si>
  <si>
    <t>Mili</t>
  </si>
  <si>
    <t>P4049</t>
  </si>
  <si>
    <t>20-12-2021</t>
  </si>
  <si>
    <t>KOUFU PTE LTD</t>
  </si>
  <si>
    <t>KOUFU PTE LIMITED</t>
  </si>
  <si>
    <t>COARSE SALT</t>
  </si>
  <si>
    <t>P3061</t>
  </si>
  <si>
    <t>30-12-2021</t>
  </si>
  <si>
    <t>MILI</t>
  </si>
  <si>
    <t>Osmanthus Jelly</t>
  </si>
  <si>
    <t>P3062</t>
  </si>
  <si>
    <t xml:space="preserve">DRIED ROSELLE </t>
  </si>
  <si>
    <t>FOOD REPUBLIC</t>
  </si>
  <si>
    <t>P5014</t>
  </si>
  <si>
    <t>Small Rock Sugar</t>
  </si>
  <si>
    <t>ID#166</t>
  </si>
  <si>
    <t>FOOD REPUBLIC PTE LTD</t>
  </si>
  <si>
    <t xml:space="preserve">30, TAI SENG STREET #09-01 </t>
  </si>
  <si>
    <t>BREADTALK IHQ</t>
  </si>
  <si>
    <t>SINGAPORE 534013</t>
  </si>
  <si>
    <t>ID#167</t>
  </si>
  <si>
    <t>ID#168</t>
  </si>
  <si>
    <t>ID#169</t>
  </si>
  <si>
    <t>ID#170</t>
  </si>
  <si>
    <t>ID#171</t>
  </si>
  <si>
    <t>ID#172</t>
  </si>
  <si>
    <t>ID#173</t>
  </si>
  <si>
    <t>ID#174</t>
  </si>
  <si>
    <t>ID#175</t>
  </si>
  <si>
    <t>ID#176</t>
  </si>
  <si>
    <t>ID#177</t>
  </si>
  <si>
    <t xml:space="preserve">FOOD REPUBLIC PTE LTD                                  IHQ Tai Seng @Drink Stall No 02              30, Tai Seng Street #01-06            Breadtalk IHQ,   Singapore 534013                            </t>
  </si>
  <si>
    <t>ID#178</t>
  </si>
  <si>
    <t xml:space="preserve">FOOD REPUBLIC PTE LTD                                  City Square@Drink Stall No: 14A                180 Kitchener Road #04-31                     City Square Mall, Singapore 208539                                               </t>
  </si>
  <si>
    <t>BEVTEA021</t>
  </si>
  <si>
    <t>INGSUGR004</t>
  </si>
  <si>
    <t>without gst</t>
  </si>
  <si>
    <t>with GST</t>
  </si>
  <si>
    <t>RED BEAN</t>
  </si>
  <si>
    <t>P4050</t>
  </si>
  <si>
    <t>GOLDEN CHAMP</t>
  </si>
  <si>
    <t>SELETAR COUNTRY CLUB</t>
  </si>
  <si>
    <t>ID#179</t>
  </si>
  <si>
    <t>SELETAR COUNTRY CLUB                                   101, Seletar Club Road. Singapore 798273</t>
  </si>
  <si>
    <t>Seletar Country Club</t>
  </si>
  <si>
    <t>101, Seletar Club Road</t>
  </si>
  <si>
    <t>Singapore 798273</t>
  </si>
  <si>
    <t>FG000743</t>
  </si>
  <si>
    <t>FP000205</t>
  </si>
  <si>
    <t>FP000298</t>
  </si>
  <si>
    <t>FP000345</t>
  </si>
  <si>
    <t>M1032A</t>
  </si>
  <si>
    <t>M1033A</t>
  </si>
  <si>
    <t>M1035</t>
  </si>
  <si>
    <t>150 gm</t>
  </si>
  <si>
    <t>AD</t>
  </si>
  <si>
    <t>ID#180</t>
  </si>
  <si>
    <t>KEN HONG SENG PTE LTD                                   15, WOODLANDS LOOP #01-58/60 SINGAPORE 738322</t>
  </si>
  <si>
    <t>M1036</t>
  </si>
  <si>
    <t>SNOW ICE - MILK</t>
  </si>
  <si>
    <t>SNOW ICE - CHOCOLATE</t>
  </si>
  <si>
    <t>SNOW ICE - MANGO</t>
  </si>
  <si>
    <t>SNOW ICE - STRAWBERRY</t>
  </si>
  <si>
    <t>SNOW ICE - DURIAN</t>
  </si>
  <si>
    <t>SNOW ICE - MATCHA GREEN TEA</t>
  </si>
  <si>
    <t>M1036A</t>
  </si>
  <si>
    <t>M1036B</t>
  </si>
  <si>
    <t>M1036C</t>
  </si>
  <si>
    <t>M1036D</t>
  </si>
  <si>
    <t>M1036F</t>
  </si>
  <si>
    <t>T1</t>
  </si>
  <si>
    <t>20-01-2022</t>
  </si>
  <si>
    <t>P5001a</t>
  </si>
  <si>
    <t>26-01-2022</t>
  </si>
  <si>
    <t>TTCPO-7841</t>
  </si>
  <si>
    <t xml:space="preserve">REMARK: effective 1/01/2022, the packing weight for BoBo ChaCha Cubes will reduce to 800 gm instead </t>
  </si>
  <si>
    <t>instead of 1kg due to raw material cost increase.</t>
  </si>
  <si>
    <t>ID#181</t>
  </si>
  <si>
    <t>NTUC FOODARE CO-OPERATIVE LTD</t>
  </si>
  <si>
    <t>C/O NTUC ENTERPRISE NEXUS</t>
  </si>
  <si>
    <t xml:space="preserve">CO-OPERATIVE LIMITED </t>
  </si>
  <si>
    <t>1, JOO KOON CIRCLE #11-02</t>
  </si>
  <si>
    <t>SINGAPORE 629117</t>
  </si>
  <si>
    <t xml:space="preserve"> FMD CENTRAL KITCHEN HOT                           10, SENOKO WAY                                LEVEL3    SINGAPORE 758031                  </t>
  </si>
  <si>
    <t>45 DAYS</t>
  </si>
  <si>
    <t>C/O NTUC Enterprise Nexus</t>
  </si>
  <si>
    <t xml:space="preserve">Co-operative Limited. Fairprice Hub. </t>
  </si>
  <si>
    <t>1, Joo Koon Circle #11-02 (629117)</t>
  </si>
  <si>
    <t>Attention: #Account Payable</t>
  </si>
  <si>
    <t>P4051</t>
  </si>
  <si>
    <t>P3025B</t>
  </si>
  <si>
    <t>Goldchamp</t>
  </si>
  <si>
    <t xml:space="preserve">FOOD REPUBLIC PTE LTD                                   Parkway Parade @Juice Bar                     80 Marine Parade Road #B1-85        Singapore 449269                            </t>
  </si>
  <si>
    <t>3月1日起调整价钱</t>
  </si>
  <si>
    <t>NOTE:</t>
  </si>
  <si>
    <t>Effective 1 March 2022, delivery charges S$10 for any order amount less than S$100.</t>
  </si>
  <si>
    <t>ID#182</t>
  </si>
  <si>
    <t>Deli Asia (S) Pte Ltd</t>
  </si>
  <si>
    <t>Singapore 737859</t>
  </si>
  <si>
    <t>White Sesame Seeds</t>
  </si>
  <si>
    <t>P3063</t>
  </si>
  <si>
    <t xml:space="preserve">FOOD REPUBLIC PTE LTD                        Wisma Atria Orchard@Juice Bar  .          435 Orchard Road #04-02    Wisma Atria Singapore 238877                           </t>
  </si>
  <si>
    <t>P4052</t>
  </si>
  <si>
    <t>INVOICE</t>
  </si>
  <si>
    <t>COST</t>
  </si>
  <si>
    <t>1, WOODLANDS HEIGHT #07-01</t>
  </si>
  <si>
    <t>BLANDED APRICOT KERNELS光中杏 (南杏)</t>
  </si>
  <si>
    <t>MARGIN</t>
  </si>
  <si>
    <t>AMOUNT</t>
  </si>
  <si>
    <t>M1003R</t>
  </si>
  <si>
    <t>M1002R</t>
  </si>
  <si>
    <t>P2007C</t>
  </si>
  <si>
    <t>35gms x 10 pkt</t>
  </si>
  <si>
    <t>P2011D</t>
  </si>
  <si>
    <t>M1001R</t>
  </si>
  <si>
    <t>5 KGS/PKT</t>
  </si>
  <si>
    <t>2 KG/PKT</t>
  </si>
  <si>
    <t>P2019B</t>
  </si>
  <si>
    <t>P2019C</t>
  </si>
  <si>
    <t>Red Tea Jelly Powder</t>
  </si>
  <si>
    <t>P2034</t>
  </si>
  <si>
    <t>Green Tea Powder</t>
  </si>
  <si>
    <t>TOP</t>
  </si>
  <si>
    <t>JELLY POWDER T-80 (BAI LIANG FEN)</t>
  </si>
  <si>
    <t>WHEAT FLOUR</t>
  </si>
  <si>
    <t>COLD BEAN CURD POWDER</t>
  </si>
  <si>
    <t>MESONA LIQUID (GLASS JELLY)</t>
  </si>
  <si>
    <t>3 KGS/TIN</t>
  </si>
  <si>
    <t>EGG PUDDING POWDER</t>
  </si>
  <si>
    <t>1 KGS</t>
  </si>
  <si>
    <t>AI YI JELLY</t>
  </si>
  <si>
    <t>TIN</t>
  </si>
  <si>
    <t>TOSU</t>
  </si>
  <si>
    <t>P3005E</t>
  </si>
  <si>
    <t>2.5 KGS</t>
  </si>
  <si>
    <t>P3007B</t>
  </si>
  <si>
    <t>P3035A</t>
  </si>
  <si>
    <t xml:space="preserve">170g/pkt </t>
  </si>
  <si>
    <t>Nata De Coco椰果芊 10 x 10MM</t>
  </si>
  <si>
    <t>P4053</t>
  </si>
  <si>
    <t>P4054</t>
  </si>
  <si>
    <t>P5005C</t>
  </si>
  <si>
    <t>M1037</t>
  </si>
  <si>
    <t>ROCK SUGAR SYRUP</t>
  </si>
  <si>
    <t>ID#183</t>
  </si>
  <si>
    <t xml:space="preserve">TEL: 90087698                                                 6 Changi Business Park Avenue 1,                  #01-23 ESR BizPark @Changi                Singapore 486017                </t>
  </si>
  <si>
    <t>#01-23 Changi expo</t>
  </si>
  <si>
    <t>TEL: 94554294</t>
  </si>
  <si>
    <t>4 KG</t>
  </si>
  <si>
    <t xml:space="preserve">Spectrum Food Centre Pte Ltd               No.2 Woodlands Sector 1. #01-28  Woodlands Spectrum 1. Singapore 738068              </t>
  </si>
  <si>
    <t>FP000206</t>
  </si>
  <si>
    <t>FP000207</t>
  </si>
  <si>
    <t>P4055</t>
  </si>
  <si>
    <t>GoldenBoy</t>
  </si>
  <si>
    <t>30 Days</t>
  </si>
  <si>
    <t>ID#184</t>
  </si>
  <si>
    <t xml:space="preserve">Yew Ming Trading Pte Ltd                                               Blk Pasir Panjang Wholesale Centre               #01-108/109            Singapore 110017             </t>
  </si>
  <si>
    <t>30 KGS/BAG</t>
  </si>
  <si>
    <t>INGCOD1216</t>
  </si>
  <si>
    <t>INGSUGR005</t>
  </si>
  <si>
    <t>ID#185</t>
  </si>
  <si>
    <t>TEL: 83830091</t>
  </si>
  <si>
    <t xml:space="preserve">Da Pai Dang Dessert                                               37A Teban Gardens Food Centre                               #01-16  Singapore 110017             </t>
  </si>
  <si>
    <t>23-04-2022</t>
  </si>
  <si>
    <t xml:space="preserve">FOOD REPUBLIC PTE LTD                                  Causeway Point @Juice Bar, Woodlands Square #04-01 Causeway Point Singapore 738099                                                        </t>
  </si>
  <si>
    <t xml:space="preserve">FOOD REPUBLIC PTE LTD                                  Somerset Orchard@Juice Bar No: 17   313 Orchard Road #05-01                Singapore 238895                           </t>
  </si>
  <si>
    <t xml:space="preserve">FOOD REPUBLIC PTE LTD                                   Westgate @ Juice Bar No 18A                 3 Gateway Drive #b1-28/29            Singapore 608532                           </t>
  </si>
  <si>
    <t xml:space="preserve">FOOD REPUBLIC PTE LTD                                   ION Orchard @ Juice Bar No: #26               2, Orchard Turn #B4-03/04        Singapore 238801                                           </t>
  </si>
  <si>
    <t>25-04-2022</t>
  </si>
  <si>
    <t>id#13</t>
  </si>
  <si>
    <t>27-04-2022</t>
  </si>
  <si>
    <t xml:space="preserve">DELI ASIA (S) PTE LTD                                      1, Woodlands Height #01-03                             SINGAPORE 737859                  </t>
  </si>
  <si>
    <t xml:space="preserve">1, Woodlands Height #01-03 </t>
  </si>
  <si>
    <t>4月1日起调整价钱 (PRICE ADJUSTMENT)</t>
  </si>
  <si>
    <t>28-04-2022</t>
  </si>
  <si>
    <t>p3060</t>
  </si>
  <si>
    <t>HP: 85430143</t>
  </si>
  <si>
    <t xml:space="preserve">Dessert Stall                                          Catholic Junior College. 129 Whitley Road Singapore 297822                                                                                      </t>
  </si>
  <si>
    <t>P3003A</t>
  </si>
  <si>
    <t>37A TEBAN GARDEN</t>
  </si>
  <si>
    <t>FP01PO00061350</t>
  </si>
  <si>
    <t>A1 粉</t>
  </si>
  <si>
    <t>小ball ball</t>
  </si>
  <si>
    <t>P4056</t>
  </si>
  <si>
    <t>Spectrum</t>
  </si>
  <si>
    <t>6月15日起调整价钱</t>
  </si>
  <si>
    <t>Discontinued with immediate effect （立即停止售卖）</t>
  </si>
  <si>
    <t>P3064</t>
  </si>
  <si>
    <t>White Pepper</t>
  </si>
  <si>
    <t>30gm/btl</t>
  </si>
  <si>
    <t>6月15日 至 7月15日 新糖特价 （Special Lot for SUN Sugar)</t>
  </si>
  <si>
    <t>Combined Stalls                                              1 kim Seng Promenade #03-116. Great World City Singapore 237994</t>
  </si>
  <si>
    <t>SUN</t>
  </si>
  <si>
    <t>Wintermelon</t>
  </si>
  <si>
    <t xml:space="preserve">GOODWOOF PTE. LTD.              202214489W                                                31 Woodlands Close #06-16        Singapore 737855          </t>
  </si>
  <si>
    <t>GOODWOOF PTE. LTD.</t>
  </si>
  <si>
    <t>七色jelly</t>
  </si>
  <si>
    <t>6 CAN X A10</t>
  </si>
  <si>
    <t>即日起，订单金额低于 100 新元的订单将收取送货附加费 (10 新元)。</t>
  </si>
  <si>
    <t>With immediate effect, orders under S$100 will be subjected to a delivery surcharge (S$10).</t>
  </si>
  <si>
    <t>BOX/盒</t>
  </si>
  <si>
    <t>1KG/PKT</t>
  </si>
  <si>
    <t>800 GM/BAG</t>
  </si>
  <si>
    <t>NW(2.2:0.8) 3 KG/BAG</t>
  </si>
  <si>
    <t>700 GM/BOX</t>
  </si>
  <si>
    <t>80 GM/PKT</t>
  </si>
  <si>
    <t>100 GM/PKT</t>
  </si>
  <si>
    <t>4L/BTL</t>
  </si>
  <si>
    <t>M1037A</t>
  </si>
  <si>
    <t>Attention : Teng Loong</t>
  </si>
  <si>
    <t xml:space="preserve">FOOD REPUBLIC PTE LTD                                   Shaw Lido Orchard@ Juice Bar No 7               1, Scotts Road #B1-01 shaw Centre        Singapore 228208       </t>
  </si>
  <si>
    <t xml:space="preserve">Koufu - Dim Sum                                                     Block 500, Toa Payoh Centre. Lorong 6     #02-30  Singapore 310500                                                                </t>
  </si>
  <si>
    <t>下次起调整价钱</t>
  </si>
  <si>
    <t xml:space="preserve">Koufu - Dim Sum                                     Block 118 Rivervale Drive,                  #02-15/16 Rivervale Plaza     Singapore 540118                              </t>
  </si>
  <si>
    <t>Wheat Grass 小麦草</t>
  </si>
  <si>
    <t>400GM</t>
  </si>
  <si>
    <t>P2026A</t>
  </si>
  <si>
    <t>INGCOD1001</t>
  </si>
  <si>
    <t>ID#186</t>
  </si>
  <si>
    <t>BEVSRUP004</t>
  </si>
  <si>
    <t>Erawan Glutinous Flour 糯米粉</t>
  </si>
  <si>
    <t>INGVEGE047</t>
  </si>
  <si>
    <t>P6015</t>
  </si>
  <si>
    <t>Pumpkin Gourd 金瓜</t>
  </si>
  <si>
    <t>P5002B</t>
  </si>
  <si>
    <t>Yu Kee Collective Pte Ltd                               32, Woodlands Terrace, Singapore 738452.</t>
  </si>
  <si>
    <t>P2035</t>
  </si>
  <si>
    <t>CHEESE MOUSSE POWDER</t>
  </si>
  <si>
    <t>P3034B</t>
  </si>
  <si>
    <t xml:space="preserve">Fork &amp; Spoon - Dessert                             10, Sinaran Drive #04-14 to 19,56 to 73. Novena Square 2 Singapore 307506                                            </t>
  </si>
  <si>
    <r>
      <t xml:space="preserve">Balestier Market Pte Ltd                      411, Balestier Road.                          Singapore 329930                                     </t>
    </r>
    <r>
      <rPr>
        <b/>
        <sz val="11"/>
        <color rgb="FF000000"/>
        <rFont val="Calibri"/>
        <family val="2"/>
        <scheme val="minor"/>
      </rPr>
      <t xml:space="preserve"> (Dessert Stall) </t>
    </r>
  </si>
  <si>
    <t>12 CAN/CARTON</t>
  </si>
  <si>
    <t>9月1日起调整价钱</t>
  </si>
  <si>
    <t xml:space="preserve"> Punggol OASIS (Gourmet Paradise)                 681 Punggol Drive                                                    #04-01 OASIS Terraces                   Singapore 820681  (Drink Stall)</t>
  </si>
  <si>
    <t xml:space="preserve"> Punggol OASIS (Gourmet Paradise)                                                          681 Punggol Drive                                                    #04-01 OASIS Terraces                   Singapore 820681</t>
  </si>
  <si>
    <t xml:space="preserve">FOOD REPUBLIC PTE LTD                                   Suntec City@Juice Bar                                            3, Temasek Boulevard #B1-115             Suntec City Mall Singapore 038983                          </t>
  </si>
  <si>
    <t>Happy Hawker                                                   Block 132 Jurong East  #01-271      Singapore 600132                                               (Dessert)</t>
  </si>
  <si>
    <t xml:space="preserve">Koufu - Dessert                                              Block 168 Punggol Field #01-01      Punggol Plaza Singapore 820168               </t>
  </si>
  <si>
    <t xml:space="preserve">Koufu - DIM SUM                                          Block 168 Punggol Field #01-01      Punggol Plaza Singapore 820168               </t>
  </si>
  <si>
    <t xml:space="preserve">Koufu - Drink                                                 Block 768 Woodlands Ave 6                     #01-30/31 Singapore 730768                         </t>
  </si>
  <si>
    <t>甜甜                                                                         Tiong Bahru Market. 30 Seng Poh Road #02-15. Singapore 168898</t>
  </si>
  <si>
    <t>5 X 100 GM</t>
  </si>
  <si>
    <t>2 kgs (20 X 100GM)</t>
  </si>
  <si>
    <t>P5003C</t>
  </si>
  <si>
    <t>INGCOD1400</t>
  </si>
  <si>
    <t>LUNCH BOXES</t>
  </si>
  <si>
    <r>
      <t xml:space="preserve">Balestier Market Pte Ltd                       411, Balestier Road.                         Singapore 329930                                                </t>
    </r>
    <r>
      <rPr>
        <b/>
        <sz val="11"/>
        <color rgb="FF000000"/>
        <rFont val="Calibri"/>
        <family val="2"/>
        <scheme val="minor"/>
      </rPr>
      <t>(Drink Stall)</t>
    </r>
  </si>
  <si>
    <t>GOLDENBOY</t>
  </si>
  <si>
    <t>1/9/2022 起调整价钱</t>
  </si>
  <si>
    <t>1/9 起调整价钱</t>
  </si>
  <si>
    <t>Ronnie Kitchen</t>
  </si>
  <si>
    <t>Coral Weed 海草</t>
  </si>
  <si>
    <t>p3062</t>
  </si>
  <si>
    <t>NW (1.6:0.6) 2.2 kgs</t>
  </si>
  <si>
    <t>Original Konjac Ball</t>
  </si>
  <si>
    <t>Black Sugar Konjac Ball</t>
  </si>
  <si>
    <t>Green Mung Bean Starch 绿豆粉</t>
  </si>
  <si>
    <t>Corn Strach 玉蜀黍粉</t>
  </si>
  <si>
    <t xml:space="preserve">Plain Flour 面粉 </t>
  </si>
  <si>
    <t>Drink &amp; Dessert Stall                                 CCK Lots1 Stall #15.                                   21 Choa Chu Kang Ave 4, #04-15.                 Lot One Shoppers Mall. Singapore 689812</t>
  </si>
  <si>
    <t>REPLACEMENT</t>
  </si>
  <si>
    <t>Orders under S$100 will be subjected to a delivery surcharge (S$10).</t>
  </si>
  <si>
    <t>订单金额低于 100 新元的订单将收取送货附加费 (10 新元)。</t>
  </si>
  <si>
    <t>即日起调整价钱</t>
  </si>
  <si>
    <t>DELIVERY SURCHARGE</t>
  </si>
  <si>
    <t>Rong Hua 10 Ubi</t>
  </si>
  <si>
    <t>下批货起调整价钱</t>
  </si>
  <si>
    <t>ID#187</t>
  </si>
  <si>
    <t>Super Tea (S) Pte Ltd</t>
  </si>
  <si>
    <t>1, Woodlands Height, #07-01</t>
  </si>
  <si>
    <t>Super Tea</t>
  </si>
  <si>
    <t>M1023B</t>
  </si>
  <si>
    <t>1 KG/BOX</t>
  </si>
  <si>
    <t>DELIVERY CHARGE</t>
  </si>
  <si>
    <t>Effective 1/9/2022, orders under S$100 will be subjected to a delivery surcharge (S$10).</t>
  </si>
  <si>
    <t>9月1日起，订单金额低于 100 新元的订单将收取送货附加费 (10 新元)。</t>
  </si>
  <si>
    <t>Passion Fruit Puree 百香果浆</t>
  </si>
  <si>
    <t>R&amp;B Tea Singapore                                                         Sun Plaza, 30 Sembawang Drive             #B1-38, Singapore 757713</t>
  </si>
  <si>
    <t>P2002C</t>
  </si>
  <si>
    <t>42gm</t>
  </si>
  <si>
    <t>Jelly Powder "文头雪粉" (Carrageenan)</t>
  </si>
  <si>
    <t>ID#188</t>
  </si>
  <si>
    <t xml:space="preserve">R&amp;B Tea Singapore                                                         Sinopec, 150 Woodlands Avenue 5  Singapore 739375             </t>
  </si>
  <si>
    <t>1/10 起调整价钱</t>
  </si>
  <si>
    <t>30 kgs/Bag</t>
  </si>
  <si>
    <t>FJM/PO-00036846</t>
  </si>
  <si>
    <t>Yew Kee Collective Pte Ltd                               Kw Café, My Kampung. Kallang Wave Mall #02-16/K6. Singapore 397628</t>
  </si>
  <si>
    <t>Yew Kee Collective Pte Ltd</t>
  </si>
  <si>
    <t>FJM/PO-00037149</t>
  </si>
  <si>
    <t>Juice Stall                                                    Jewel Changi Airport. Five Spice, Stall #01. 78, Airport Boulevard. #B2-238/239/240. (819666)</t>
  </si>
  <si>
    <t>Rong Hua Desserts                                             Blk 10, Ubi Crescent #01-04.                          Ubi Tech Park Singapore 408564</t>
  </si>
  <si>
    <t xml:space="preserve">FOOD REPUBLIC PTE LTD                                   Vivo City @Juice Bar #20                                         1, Harbourfront Walk #03-01, VivoCity   Singapore 098585                           </t>
  </si>
  <si>
    <t>FOOD REPUBLIC PTE LTD                                  Serangoon Nex@JUICE BAR                    23, Serangoon Central #B2-63                      Singapore 550683</t>
  </si>
  <si>
    <t>Roselle Puree 洛神花浆</t>
  </si>
  <si>
    <t>900 gm</t>
  </si>
  <si>
    <t>Food Junction / Seletar / Kopitiam Product Code</t>
  </si>
  <si>
    <t>ID#189</t>
  </si>
  <si>
    <t>ID#190</t>
  </si>
  <si>
    <t xml:space="preserve">R&amp;B Tea Singapore                                                         76 Nanyang Drive #02-03 North Spine Plaza (Inside Koufu foodcourt) Singapore 637331             </t>
  </si>
  <si>
    <t xml:space="preserve">R&amp;B Tea Singapore                                                         2 Bayfront Ave #B2-50 (Canal Level) in Rasapura Masters Singapore 018972             </t>
  </si>
  <si>
    <t>E049259</t>
  </si>
  <si>
    <t>ID#191</t>
  </si>
  <si>
    <t xml:space="preserve">R&amp;B Tea Singapore                                                         Millenia Walk, 9 Raffles Blvd,              #01-K15, Singapore 039596         </t>
  </si>
  <si>
    <t>ID#192</t>
  </si>
  <si>
    <t>R&amp;B Tea Singapore                                                         Yew Tee Point,                                             21 Choa Chu Kang North 6, #01-49/50, Singapore 689578</t>
  </si>
  <si>
    <t>FJM/PO-00037323</t>
  </si>
  <si>
    <t>FJM/PO-00037266</t>
  </si>
  <si>
    <t>Blk  417, Choa Chu Kang Ave 4  #03-382 Singapore 680417</t>
  </si>
  <si>
    <t>NEW TRENDS                                                  Stall :  Blk 75, Toa Payoh 5, Food Centre #01-23, Singapore 310075</t>
  </si>
  <si>
    <t>FJM/PO-00037442</t>
  </si>
  <si>
    <t>FJM/PO-00037424</t>
  </si>
  <si>
    <t>ID#193</t>
  </si>
  <si>
    <t>Tiong Bahru Soya Bean</t>
  </si>
  <si>
    <t>Tiong Bahru Soya Bean                                                        52 Tiong Bahru Road #02-63.    Singapore 168716</t>
  </si>
  <si>
    <t>500GM X 24</t>
  </si>
  <si>
    <t>P7025</t>
  </si>
  <si>
    <t>Almond Syrup 杏仁精</t>
  </si>
  <si>
    <t>Kwang Rong</t>
  </si>
  <si>
    <t>500 ml x12 Btl/ Ctn</t>
  </si>
  <si>
    <t>Tong Shui Desserts                                                 101, Upper Cross Street #02-49.  People's Park Centre, Singapore 058357</t>
  </si>
  <si>
    <t>P3009D</t>
  </si>
  <si>
    <t xml:space="preserve">FOOD REPUBLIC PTE LTD                                   Shaw Lido Orchard@ Juice Bar No 7                     1, Scotts Road #B1-01 Shaw Centre        Singapore 228208                                 </t>
  </si>
  <si>
    <t xml:space="preserve">FOOD REPUBLIC PTE LTD                                   Shaw Lido Orchard@ICE shop                    1, Scotts Road #B1-01 Shaw Centre        Singapore 228208                                 </t>
  </si>
  <si>
    <t>P4057</t>
  </si>
  <si>
    <t>PINEAPPLE IN CUBES</t>
  </si>
  <si>
    <t>STATUE</t>
  </si>
  <si>
    <t>24 CAN/CARTON</t>
  </si>
  <si>
    <t>CORN CREAM</t>
  </si>
  <si>
    <t>GOLDEN BOY</t>
  </si>
  <si>
    <t>P4055A</t>
  </si>
  <si>
    <t>CORN WHOLE</t>
  </si>
  <si>
    <t>P4056A</t>
  </si>
  <si>
    <t>RED LANTEN SCC</t>
  </si>
  <si>
    <t>M1038</t>
  </si>
  <si>
    <t>M1039</t>
  </si>
  <si>
    <t>AGAR AGAR RED JELLY</t>
  </si>
  <si>
    <t>AGAR AGAR GREEN JELLY</t>
  </si>
  <si>
    <t>900 GM</t>
  </si>
  <si>
    <t>FJM/PO-00037566</t>
  </si>
  <si>
    <t>PO-220900478</t>
  </si>
  <si>
    <t>RED LANTERN RESTAURANT PTE LTD                  249 Sembawang Road   Singapore 758352</t>
  </si>
  <si>
    <t>0049PO00064162</t>
  </si>
  <si>
    <t>0049PO00064163</t>
  </si>
  <si>
    <t>0049PO00064164</t>
  </si>
  <si>
    <t>DATE ( OCT  2022)</t>
  </si>
  <si>
    <t>ID#194</t>
  </si>
  <si>
    <t>R&amp;B Tea Singapore                                                         TAMPINES MRT,                                             20 TAMPINES CENTRAL #01-18. TAMPINES MRT SINGAPORE 528833</t>
  </si>
  <si>
    <t>ID#195</t>
  </si>
  <si>
    <t>R&amp;B Tea Singapore                                                      TOA PAYOH,                                                  470 TOA PAYOH LORONG 6                          SINGAPORE 310470</t>
  </si>
  <si>
    <t>ID#196</t>
  </si>
  <si>
    <t>R&amp;B Tea Singapore                                                      BUANGKOK,                                                  991 BUAMGKOK LINK #01-27                        SINGAPORE 530991</t>
  </si>
  <si>
    <t>ID#197</t>
  </si>
  <si>
    <t>R&amp;B Tea Singapore                                                      CLEMENTI MALL,                                         3155 COMMINWEALTH AVENUE #04-K4                       SINGAPORE 129588</t>
  </si>
  <si>
    <t>FJM/PO-00037582</t>
  </si>
  <si>
    <t>FJM/PO-00037520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</si>
</sst>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8" formatCode="&quot;$&quot;#,##0.00;[Red]\-&quot;$&quot;#,##0.00"/>
    <numFmt numFmtId="44" formatCode="_-&quot;$&quot;* #,##0.00_-;\-&quot;$&quot;* #,##0.00_-;_-&quot;$&quot;* &quot;-&quot;??_-;_-@_-"/>
    <numFmt numFmtId="164" formatCode="_-&quot;$&quot;* #,##0.0_-;\-&quot;$&quot;* #,##0.0_-;_-&quot;$&quot;* &quot;-&quot;??_-;_-@_-"/>
    <numFmt numFmtId="165" formatCode="_(&quot;$&quot;* #,##0.0_);_(&quot;$&quot;* \(#,##0.0\);_(&quot;$&quot;* &quot;-&quot;??_);_(@_)"/>
    <numFmt numFmtId="166" formatCode="_(&quot;$&quot;* #,##0.0_);_(&quot;$&quot;* \(#,##0.0\);_(&quot;$&quot;* &quot;-&quot;?_);_(@_)"/>
    <numFmt numFmtId="167" formatCode="[$-14809]d/m/yyyy;@"/>
    <numFmt numFmtId="168" formatCode="d\/m\/yyyy"/>
  </numFmts>
  <fonts count="5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8"/>
      <name val="Calibri"/>
      <family val="2"/>
      <scheme val="minor"/>
    </font>
    <font>
      <sz val="12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color rgb="FF222222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1"/>
      <color rgb="FF000000"/>
      <name val="Calibri"/>
      <family val="2"/>
      <scheme val="minor"/>
    </font>
    <font>
      <u/>
      <sz val="1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rgb="FF00B050"/>
      <name val="Calibri"/>
      <family val="2"/>
      <scheme val="minor"/>
    </font>
    <font>
      <sz val="48"/>
      <name val="Calibri"/>
      <family val="2"/>
      <scheme val="minor"/>
    </font>
    <font>
      <sz val="72"/>
      <name val="Calibri"/>
      <family val="2"/>
      <scheme val="minor"/>
    </font>
    <font>
      <sz val="16"/>
      <color theme="1"/>
      <name val="Calibri"/>
      <family val="2"/>
      <scheme val="minor"/>
    </font>
    <font>
      <sz val="15"/>
      <color theme="1"/>
      <name val="Calibri"/>
      <family val="2"/>
      <scheme val="minor"/>
    </font>
    <font>
      <u/>
      <sz val="2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Arial"/>
      <family val="2"/>
    </font>
    <font>
      <sz val="12"/>
      <color theme="1"/>
      <name val="Arial"/>
      <family val="2"/>
    </font>
    <font>
      <sz val="12"/>
      <color rgb="FFFF0000"/>
      <name val="Arial"/>
      <family val="2"/>
    </font>
    <font>
      <sz val="9"/>
      <color theme="1"/>
      <name val="Calibri"/>
      <family val="2"/>
      <scheme val="minor"/>
    </font>
    <font>
      <sz val="9"/>
      <name val="Arial"/>
      <family val="2"/>
    </font>
    <font>
      <sz val="9"/>
      <color theme="1"/>
      <name val="Arial"/>
      <family val="2"/>
    </font>
    <font>
      <sz val="9"/>
      <color rgb="FFFF0000"/>
      <name val="Arial"/>
      <family val="2"/>
    </font>
    <font>
      <sz val="14"/>
      <color theme="1"/>
      <name val="Calibri"/>
      <family val="2"/>
      <scheme val="minor"/>
    </font>
    <font>
      <sz val="14"/>
      <name val="Arial"/>
      <family val="2"/>
    </font>
    <font>
      <sz val="14"/>
      <color theme="1"/>
      <name val="Arial"/>
      <family val="2"/>
    </font>
    <font>
      <b/>
      <sz val="14"/>
      <color rgb="FFC00000"/>
      <name val="Calibri"/>
      <family val="2"/>
      <scheme val="minor"/>
    </font>
    <font>
      <sz val="11"/>
      <name val="Arial"/>
      <family val="2"/>
    </font>
    <font>
      <b/>
      <sz val="9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4"/>
      <color rgb="FF0070C0"/>
      <name val="Calibri"/>
      <family val="2"/>
      <scheme val="minor"/>
    </font>
    <font>
      <b/>
      <u/>
      <sz val="14"/>
      <name val="Calibri"/>
      <family val="2"/>
      <scheme val="minor"/>
    </font>
    <font>
      <sz val="16"/>
      <color theme="1"/>
      <name val="Tahoma"/>
      <family val="2"/>
    </font>
    <font>
      <b/>
      <sz val="13.5"/>
      <name val="Calibri"/>
      <family val="2"/>
      <scheme val="minor"/>
    </font>
    <font>
      <b/>
      <sz val="10"/>
      <name val="Calibri"/>
      <family val="2"/>
      <scheme val="minor"/>
    </font>
    <font>
      <b/>
      <sz val="1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6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0" fontId="15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628">
    <xf numFmtId="0" fontId="0" fillId="0" borderId="0" xfId="0"/>
    <xf numFmtId="0" fontId="0" fillId="0" borderId="1" xfId="0" applyBorder="1"/>
    <xf numFmtId="0" fontId="0" fillId="2" borderId="1" xfId="0" applyFill="1" applyBorder="1"/>
    <xf numFmtId="0" fontId="0" fillId="0" borderId="1" xfId="0" applyBorder="1" applyAlignment="1">
      <alignment vertical="center"/>
    </xf>
    <xf numFmtId="164" fontId="0" fillId="0" borderId="1" xfId="1" applyNumberFormat="1" applyFont="1" applyFill="1" applyBorder="1"/>
    <xf numFmtId="164" fontId="0" fillId="0" borderId="0" xfId="1" applyNumberFormat="1" applyFont="1" applyFill="1"/>
    <xf numFmtId="0" fontId="0" fillId="0" borderId="1" xfId="0" applyBorder="1" applyAlignment="1">
      <alignment horizontal="center"/>
    </xf>
    <xf numFmtId="0" fontId="5" fillId="0" borderId="0" xfId="0" applyFont="1"/>
    <xf numFmtId="0" fontId="6" fillId="2" borderId="25" xfId="0" applyFont="1" applyFill="1" applyBorder="1" applyAlignment="1">
      <alignment horizontal="center" vertical="center"/>
    </xf>
    <xf numFmtId="0" fontId="6" fillId="2" borderId="25" xfId="0" applyFont="1" applyFill="1" applyBorder="1" applyAlignment="1">
      <alignment horizontal="center" vertical="center" wrapText="1"/>
    </xf>
    <xf numFmtId="0" fontId="6" fillId="2" borderId="26" xfId="0" applyFont="1" applyFill="1" applyBorder="1" applyAlignment="1">
      <alignment horizontal="center" vertical="center" wrapText="1"/>
    </xf>
    <xf numFmtId="0" fontId="5" fillId="0" borderId="2" xfId="0" applyFont="1" applyBorder="1"/>
    <xf numFmtId="0" fontId="7" fillId="5" borderId="1" xfId="0" applyFont="1" applyFill="1" applyBorder="1"/>
    <xf numFmtId="0" fontId="0" fillId="5" borderId="1" xfId="0" applyFill="1" applyBorder="1"/>
    <xf numFmtId="0" fontId="7" fillId="0" borderId="1" xfId="0" applyFont="1" applyBorder="1"/>
    <xf numFmtId="0" fontId="2" fillId="0" borderId="0" xfId="0" applyFont="1"/>
    <xf numFmtId="164" fontId="0" fillId="0" borderId="1" xfId="1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/>
    </xf>
    <xf numFmtId="0" fontId="6" fillId="2" borderId="27" xfId="0" applyFont="1" applyFill="1" applyBorder="1" applyAlignment="1">
      <alignment horizontal="center" vertical="center"/>
    </xf>
    <xf numFmtId="0" fontId="6" fillId="2" borderId="26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0" fontId="8" fillId="0" borderId="0" xfId="0" applyFont="1"/>
    <xf numFmtId="0" fontId="9" fillId="0" borderId="0" xfId="0" applyFont="1" applyAlignment="1">
      <alignment vertical="top" wrapText="1"/>
    </xf>
    <xf numFmtId="0" fontId="9" fillId="0" borderId="0" xfId="0" applyFont="1" applyAlignment="1">
      <alignment horizontal="center" vertical="top" wrapText="1"/>
    </xf>
    <xf numFmtId="0" fontId="9" fillId="0" borderId="0" xfId="0" applyFont="1" applyAlignment="1">
      <alignment vertical="top"/>
    </xf>
    <xf numFmtId="0" fontId="8" fillId="0" borderId="0" xfId="0" applyFont="1" applyAlignment="1">
      <alignment horizontal="right" vertical="center"/>
    </xf>
    <xf numFmtId="0" fontId="8" fillId="0" borderId="17" xfId="0" applyFont="1" applyBorder="1"/>
    <xf numFmtId="0" fontId="8" fillId="0" borderId="0" xfId="0" applyFont="1" applyAlignment="1">
      <alignment vertical="top" wrapText="1"/>
    </xf>
    <xf numFmtId="0" fontId="8" fillId="0" borderId="20" xfId="0" applyFont="1" applyBorder="1"/>
    <xf numFmtId="0" fontId="8" fillId="0" borderId="22" xfId="0" applyFont="1" applyBorder="1"/>
    <xf numFmtId="0" fontId="8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/>
    </xf>
    <xf numFmtId="44" fontId="8" fillId="0" borderId="0" xfId="1" applyFont="1" applyBorder="1" applyAlignment="1">
      <alignment horizontal="center"/>
    </xf>
    <xf numFmtId="44" fontId="8" fillId="0" borderId="3" xfId="1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44" fontId="8" fillId="0" borderId="7" xfId="1" applyFont="1" applyBorder="1" applyAlignment="1">
      <alignment horizontal="center"/>
    </xf>
    <xf numFmtId="44" fontId="8" fillId="0" borderId="5" xfId="1" applyFont="1" applyBorder="1" applyAlignment="1">
      <alignment horizontal="center"/>
    </xf>
    <xf numFmtId="0" fontId="8" fillId="0" borderId="2" xfId="0" applyFont="1" applyBorder="1"/>
    <xf numFmtId="0" fontId="8" fillId="0" borderId="3" xfId="0" applyFont="1" applyBorder="1"/>
    <xf numFmtId="44" fontId="8" fillId="0" borderId="8" xfId="0" applyNumberFormat="1" applyFont="1" applyBorder="1"/>
    <xf numFmtId="0" fontId="8" fillId="0" borderId="12" xfId="0" applyFont="1" applyBorder="1" applyAlignment="1">
      <alignment horizontal="left"/>
    </xf>
    <xf numFmtId="9" fontId="8" fillId="0" borderId="13" xfId="0" applyNumberFormat="1" applyFont="1" applyBorder="1" applyAlignment="1">
      <alignment horizontal="center"/>
    </xf>
    <xf numFmtId="44" fontId="8" fillId="0" borderId="11" xfId="0" applyNumberFormat="1" applyFont="1" applyBorder="1"/>
    <xf numFmtId="44" fontId="8" fillId="0" borderId="11" xfId="1" applyFont="1" applyBorder="1"/>
    <xf numFmtId="44" fontId="8" fillId="0" borderId="6" xfId="0" applyNumberFormat="1" applyFont="1" applyBorder="1"/>
    <xf numFmtId="0" fontId="8" fillId="0" borderId="15" xfId="0" applyFont="1" applyBorder="1"/>
    <xf numFmtId="0" fontId="8" fillId="0" borderId="14" xfId="0" applyFont="1" applyBorder="1"/>
    <xf numFmtId="0" fontId="8" fillId="0" borderId="16" xfId="0" applyFont="1" applyBorder="1"/>
    <xf numFmtId="0" fontId="8" fillId="0" borderId="4" xfId="0" applyFont="1" applyBorder="1"/>
    <xf numFmtId="0" fontId="8" fillId="0" borderId="7" xfId="0" applyFont="1" applyBorder="1"/>
    <xf numFmtId="0" fontId="8" fillId="0" borderId="5" xfId="0" applyFont="1" applyBorder="1"/>
    <xf numFmtId="0" fontId="9" fillId="0" borderId="4" xfId="0" applyFont="1" applyBorder="1" applyAlignment="1">
      <alignment vertical="top" wrapText="1"/>
    </xf>
    <xf numFmtId="0" fontId="9" fillId="0" borderId="7" xfId="0" applyFont="1" applyBorder="1" applyAlignment="1">
      <alignment vertical="top" wrapText="1"/>
    </xf>
    <xf numFmtId="0" fontId="9" fillId="0" borderId="5" xfId="0" applyFont="1" applyBorder="1" applyAlignment="1">
      <alignment horizontal="center" vertical="top" wrapText="1"/>
    </xf>
    <xf numFmtId="0" fontId="0" fillId="0" borderId="1" xfId="0" applyBorder="1" applyAlignment="1">
      <alignment horizontal="center" vertical="center"/>
    </xf>
    <xf numFmtId="0" fontId="0" fillId="4" borderId="1" xfId="0" applyFill="1" applyBorder="1"/>
    <xf numFmtId="0" fontId="0" fillId="4" borderId="1" xfId="0" applyFill="1" applyBorder="1" applyAlignment="1">
      <alignment horizontal="center"/>
    </xf>
    <xf numFmtId="0" fontId="0" fillId="4" borderId="1" xfId="0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/>
    </xf>
    <xf numFmtId="164" fontId="0" fillId="0" borderId="1" xfId="1" applyNumberFormat="1" applyFont="1" applyFill="1" applyBorder="1" applyAlignment="1">
      <alignment horizontal="center" vertical="center"/>
    </xf>
    <xf numFmtId="0" fontId="5" fillId="0" borderId="1" xfId="0" applyFont="1" applyBorder="1"/>
    <xf numFmtId="0" fontId="13" fillId="0" borderId="1" xfId="0" applyFont="1" applyBorder="1"/>
    <xf numFmtId="0" fontId="14" fillId="0" borderId="1" xfId="0" applyFont="1" applyBorder="1"/>
    <xf numFmtId="164" fontId="0" fillId="6" borderId="1" xfId="1" applyNumberFormat="1" applyFont="1" applyFill="1" applyBorder="1"/>
    <xf numFmtId="0" fontId="6" fillId="0" borderId="0" xfId="0" applyFont="1" applyAlignment="1">
      <alignment horizontal="center"/>
    </xf>
    <xf numFmtId="0" fontId="6" fillId="0" borderId="7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15" fillId="0" borderId="1" xfId="2" applyBorder="1" applyAlignment="1">
      <alignment vertical="center"/>
    </xf>
    <xf numFmtId="0" fontId="7" fillId="2" borderId="1" xfId="0" applyFont="1" applyFill="1" applyBorder="1"/>
    <xf numFmtId="0" fontId="15" fillId="0" borderId="4" xfId="2" applyBorder="1" applyAlignment="1">
      <alignment vertical="top" wrapText="1"/>
    </xf>
    <xf numFmtId="0" fontId="0" fillId="2" borderId="1" xfId="0" applyFill="1" applyBorder="1" applyAlignment="1">
      <alignment horizontal="center" vertical="center"/>
    </xf>
    <xf numFmtId="44" fontId="8" fillId="0" borderId="0" xfId="0" applyNumberFormat="1" applyFont="1"/>
    <xf numFmtId="44" fontId="16" fillId="0" borderId="3" xfId="1" applyFont="1" applyBorder="1" applyAlignment="1">
      <alignment horizontal="center"/>
    </xf>
    <xf numFmtId="0" fontId="16" fillId="0" borderId="0" xfId="0" applyFont="1"/>
    <xf numFmtId="0" fontId="12" fillId="0" borderId="1" xfId="0" applyFont="1" applyBorder="1"/>
    <xf numFmtId="0" fontId="17" fillId="0" borderId="2" xfId="0" applyFont="1" applyBorder="1" applyAlignment="1">
      <alignment horizontal="center"/>
    </xf>
    <xf numFmtId="0" fontId="18" fillId="0" borderId="0" xfId="0" applyFont="1"/>
    <xf numFmtId="0" fontId="18" fillId="0" borderId="17" xfId="0" applyFont="1" applyBorder="1"/>
    <xf numFmtId="0" fontId="18" fillId="0" borderId="20" xfId="0" applyFont="1" applyBorder="1"/>
    <xf numFmtId="0" fontId="18" fillId="0" borderId="22" xfId="0" applyFont="1" applyBorder="1"/>
    <xf numFmtId="0" fontId="18" fillId="0" borderId="0" xfId="0" applyFont="1" applyAlignment="1">
      <alignment horizontal="center"/>
    </xf>
    <xf numFmtId="0" fontId="19" fillId="0" borderId="0" xfId="0" applyFont="1"/>
    <xf numFmtId="0" fontId="18" fillId="0" borderId="14" xfId="0" applyFont="1" applyBorder="1"/>
    <xf numFmtId="0" fontId="18" fillId="0" borderId="7" xfId="0" applyFont="1" applyBorder="1"/>
    <xf numFmtId="44" fontId="16" fillId="0" borderId="5" xfId="1" applyFont="1" applyBorder="1" applyAlignment="1">
      <alignment horizontal="center"/>
    </xf>
    <xf numFmtId="0" fontId="16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20" fillId="0" borderId="2" xfId="0" applyFont="1" applyBorder="1" applyAlignment="1">
      <alignment horizontal="center"/>
    </xf>
    <xf numFmtId="0" fontId="15" fillId="0" borderId="0" xfId="2"/>
    <xf numFmtId="44" fontId="16" fillId="0" borderId="0" xfId="1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2" fontId="16" fillId="0" borderId="0" xfId="0" applyNumberFormat="1" applyFont="1"/>
    <xf numFmtId="0" fontId="22" fillId="0" borderId="0" xfId="0" applyFont="1" applyAlignment="1">
      <alignment horizontal="center"/>
    </xf>
    <xf numFmtId="44" fontId="16" fillId="0" borderId="0" xfId="1" applyFont="1" applyFill="1" applyBorder="1" applyAlignment="1">
      <alignment horizontal="center"/>
    </xf>
    <xf numFmtId="44" fontId="16" fillId="0" borderId="3" xfId="1" applyFont="1" applyFill="1" applyBorder="1" applyAlignment="1">
      <alignment horizontal="center"/>
    </xf>
    <xf numFmtId="0" fontId="23" fillId="0" borderId="0" xfId="0" applyFont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0" xfId="0" applyFont="1"/>
    <xf numFmtId="0" fontId="6" fillId="0" borderId="17" xfId="0" applyFont="1" applyBorder="1"/>
    <xf numFmtId="0" fontId="6" fillId="0" borderId="20" xfId="0" applyFont="1" applyBorder="1"/>
    <xf numFmtId="0" fontId="6" fillId="0" borderId="22" xfId="0" applyFont="1" applyBorder="1"/>
    <xf numFmtId="0" fontId="6" fillId="0" borderId="14" xfId="0" applyFont="1" applyBorder="1"/>
    <xf numFmtId="0" fontId="6" fillId="0" borderId="7" xfId="0" applyFont="1" applyBorder="1"/>
    <xf numFmtId="164" fontId="0" fillId="0" borderId="1" xfId="1" applyNumberFormat="1" applyFont="1" applyBorder="1"/>
    <xf numFmtId="164" fontId="0" fillId="8" borderId="1" xfId="1" applyNumberFormat="1" applyFont="1" applyFill="1" applyBorder="1"/>
    <xf numFmtId="164" fontId="0" fillId="2" borderId="1" xfId="1" applyNumberFormat="1" applyFont="1" applyFill="1" applyBorder="1"/>
    <xf numFmtId="164" fontId="0" fillId="9" borderId="1" xfId="1" applyNumberFormat="1" applyFont="1" applyFill="1" applyBorder="1"/>
    <xf numFmtId="164" fontId="0" fillId="7" borderId="1" xfId="1" applyNumberFormat="1" applyFont="1" applyFill="1" applyBorder="1"/>
    <xf numFmtId="164" fontId="0" fillId="10" borderId="1" xfId="1" applyNumberFormat="1" applyFont="1" applyFill="1" applyBorder="1"/>
    <xf numFmtId="164" fontId="0" fillId="11" borderId="1" xfId="1" applyNumberFormat="1" applyFont="1" applyFill="1" applyBorder="1"/>
    <xf numFmtId="164" fontId="0" fillId="12" borderId="1" xfId="1" applyNumberFormat="1" applyFont="1" applyFill="1" applyBorder="1"/>
    <xf numFmtId="0" fontId="15" fillId="0" borderId="1" xfId="2" applyBorder="1"/>
    <xf numFmtId="44" fontId="0" fillId="6" borderId="0" xfId="1" applyFont="1" applyFill="1"/>
    <xf numFmtId="44" fontId="3" fillId="6" borderId="1" xfId="1" applyFont="1" applyFill="1" applyBorder="1" applyAlignment="1">
      <alignment horizontal="center" vertical="center" wrapText="1"/>
    </xf>
    <xf numFmtId="164" fontId="0" fillId="0" borderId="0" xfId="1" applyNumberFormat="1" applyFont="1"/>
    <xf numFmtId="164" fontId="0" fillId="0" borderId="1" xfId="1" applyNumberFormat="1" applyFont="1" applyBorder="1" applyAlignment="1">
      <alignment horizontal="center" vertical="center" wrapText="1"/>
    </xf>
    <xf numFmtId="164" fontId="0" fillId="0" borderId="1" xfId="1" applyNumberFormat="1" applyFont="1" applyFill="1" applyBorder="1" applyAlignment="1">
      <alignment wrapText="1"/>
    </xf>
    <xf numFmtId="164" fontId="0" fillId="0" borderId="1" xfId="1" applyNumberFormat="1" applyFont="1" applyBorder="1" applyAlignment="1">
      <alignment horizontal="center"/>
    </xf>
    <xf numFmtId="44" fontId="17" fillId="0" borderId="3" xfId="1" applyFont="1" applyBorder="1" applyAlignment="1">
      <alignment horizontal="center"/>
    </xf>
    <xf numFmtId="0" fontId="15" fillId="13" borderId="1" xfId="2" applyFill="1" applyBorder="1" applyAlignment="1">
      <alignment vertical="center"/>
    </xf>
    <xf numFmtId="0" fontId="17" fillId="0" borderId="0" xfId="0" applyFont="1"/>
    <xf numFmtId="0" fontId="15" fillId="0" borderId="1" xfId="2" applyFill="1" applyBorder="1" applyAlignment="1">
      <alignment vertical="center"/>
    </xf>
    <xf numFmtId="0" fontId="0" fillId="0" borderId="14" xfId="0" applyBorder="1"/>
    <xf numFmtId="44" fontId="16" fillId="0" borderId="14" xfId="1" applyFont="1" applyFill="1" applyBorder="1" applyAlignment="1">
      <alignment horizontal="center"/>
    </xf>
    <xf numFmtId="0" fontId="0" fillId="0" borderId="1" xfId="0" applyBorder="1" applyAlignment="1">
      <alignment horizontal="left"/>
    </xf>
    <xf numFmtId="0" fontId="0" fillId="11" borderId="1" xfId="0" applyFill="1" applyBorder="1"/>
    <xf numFmtId="0" fontId="0" fillId="0" borderId="28" xfId="0" applyBorder="1" applyAlignment="1">
      <alignment horizontal="center"/>
    </xf>
    <xf numFmtId="0" fontId="25" fillId="0" borderId="0" xfId="0" applyFont="1"/>
    <xf numFmtId="44" fontId="17" fillId="0" borderId="3" xfId="1" applyFont="1" applyFill="1" applyBorder="1" applyAlignment="1">
      <alignment horizontal="center"/>
    </xf>
    <xf numFmtId="0" fontId="17" fillId="0" borderId="14" xfId="0" applyFont="1" applyBorder="1" applyAlignment="1">
      <alignment horizontal="center"/>
    </xf>
    <xf numFmtId="164" fontId="0" fillId="15" borderId="1" xfId="1" applyNumberFormat="1" applyFont="1" applyFill="1" applyBorder="1" applyAlignment="1">
      <alignment horizontal="center" vertical="center" wrapText="1"/>
    </xf>
    <xf numFmtId="44" fontId="0" fillId="0" borderId="1" xfId="1" applyFont="1" applyFill="1" applyBorder="1"/>
    <xf numFmtId="44" fontId="16" fillId="0" borderId="16" xfId="1" applyFont="1" applyFill="1" applyBorder="1" applyAlignment="1">
      <alignment horizontal="center"/>
    </xf>
    <xf numFmtId="164" fontId="0" fillId="14" borderId="1" xfId="1" applyNumberFormat="1" applyFont="1" applyFill="1" applyBorder="1" applyAlignment="1">
      <alignment horizontal="center" vertical="center" wrapText="1"/>
    </xf>
    <xf numFmtId="44" fontId="8" fillId="0" borderId="0" xfId="1" applyFont="1" applyFill="1" applyBorder="1" applyAlignment="1">
      <alignment horizontal="center"/>
    </xf>
    <xf numFmtId="44" fontId="0" fillId="16" borderId="1" xfId="1" applyFont="1" applyFill="1" applyBorder="1"/>
    <xf numFmtId="44" fontId="3" fillId="14" borderId="1" xfId="1" applyFont="1" applyFill="1" applyBorder="1" applyAlignment="1">
      <alignment horizontal="center"/>
    </xf>
    <xf numFmtId="0" fontId="27" fillId="0" borderId="0" xfId="0" applyFont="1"/>
    <xf numFmtId="0" fontId="27" fillId="0" borderId="0" xfId="0" applyFont="1" applyAlignment="1">
      <alignment horizontal="left" vertical="center"/>
    </xf>
    <xf numFmtId="0" fontId="27" fillId="0" borderId="0" xfId="0" applyFont="1" applyAlignment="1">
      <alignment horizontal="center" vertical="center"/>
    </xf>
    <xf numFmtId="0" fontId="12" fillId="0" borderId="1" xfId="0" applyFont="1" applyBorder="1" applyAlignment="1">
      <alignment horizontal="left"/>
    </xf>
    <xf numFmtId="164" fontId="0" fillId="13" borderId="1" xfId="1" applyNumberFormat="1" applyFont="1" applyFill="1" applyBorder="1"/>
    <xf numFmtId="0" fontId="8" fillId="13" borderId="0" xfId="0" applyFont="1" applyFill="1"/>
    <xf numFmtId="44" fontId="18" fillId="0" borderId="0" xfId="1" applyFont="1" applyBorder="1" applyAlignment="1">
      <alignment horizontal="center"/>
    </xf>
    <xf numFmtId="44" fontId="18" fillId="0" borderId="3" xfId="1" applyFont="1" applyBorder="1" applyAlignment="1">
      <alignment horizontal="center"/>
    </xf>
    <xf numFmtId="0" fontId="8" fillId="0" borderId="12" xfId="0" applyFont="1" applyBorder="1"/>
    <xf numFmtId="9" fontId="8" fillId="0" borderId="13" xfId="0" applyNumberFormat="1" applyFont="1" applyBorder="1"/>
    <xf numFmtId="44" fontId="0" fillId="0" borderId="1" xfId="1" applyFont="1" applyBorder="1"/>
    <xf numFmtId="0" fontId="8" fillId="3" borderId="0" xfId="0" applyFont="1" applyFill="1" applyAlignment="1">
      <alignment horizontal="center"/>
    </xf>
    <xf numFmtId="164" fontId="0" fillId="18" borderId="1" xfId="1" applyNumberFormat="1" applyFont="1" applyFill="1" applyBorder="1"/>
    <xf numFmtId="0" fontId="8" fillId="0" borderId="15" xfId="0" applyFont="1" applyBorder="1" applyAlignment="1">
      <alignment horizontal="center"/>
    </xf>
    <xf numFmtId="0" fontId="8" fillId="0" borderId="14" xfId="0" applyFont="1" applyBorder="1" applyAlignment="1">
      <alignment horizontal="center"/>
    </xf>
    <xf numFmtId="44" fontId="16" fillId="0" borderId="14" xfId="1" applyFont="1" applyBorder="1" applyAlignment="1">
      <alignment horizontal="center"/>
    </xf>
    <xf numFmtId="44" fontId="16" fillId="0" borderId="16" xfId="1" applyFont="1" applyBorder="1" applyAlignment="1">
      <alignment horizontal="center"/>
    </xf>
    <xf numFmtId="44" fontId="16" fillId="0" borderId="0" xfId="0" applyNumberFormat="1" applyFont="1"/>
    <xf numFmtId="0" fontId="6" fillId="3" borderId="0" xfId="0" applyFont="1" applyFill="1" applyAlignment="1">
      <alignment horizontal="center"/>
    </xf>
    <xf numFmtId="44" fontId="8" fillId="3" borderId="0" xfId="1" applyFont="1" applyFill="1" applyBorder="1" applyAlignment="1">
      <alignment horizontal="center"/>
    </xf>
    <xf numFmtId="44" fontId="8" fillId="3" borderId="3" xfId="1" applyFont="1" applyFill="1" applyBorder="1" applyAlignment="1">
      <alignment horizontal="center"/>
    </xf>
    <xf numFmtId="44" fontId="8" fillId="0" borderId="14" xfId="1" applyFont="1" applyBorder="1" applyAlignment="1">
      <alignment horizontal="center"/>
    </xf>
    <xf numFmtId="0" fontId="6" fillId="2" borderId="41" xfId="0" applyFont="1" applyFill="1" applyBorder="1" applyAlignment="1">
      <alignment horizontal="center" vertical="center"/>
    </xf>
    <xf numFmtId="0" fontId="6" fillId="2" borderId="42" xfId="0" applyFont="1" applyFill="1" applyBorder="1" applyAlignment="1">
      <alignment horizontal="center" vertical="center" wrapText="1"/>
    </xf>
    <xf numFmtId="0" fontId="6" fillId="2" borderId="43" xfId="0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3" borderId="1" xfId="0" applyFill="1" applyBorder="1"/>
    <xf numFmtId="0" fontId="0" fillId="0" borderId="36" xfId="0" applyBorder="1"/>
    <xf numFmtId="0" fontId="0" fillId="0" borderId="36" xfId="0" applyBorder="1" applyAlignment="1">
      <alignment horizontal="center"/>
    </xf>
    <xf numFmtId="0" fontId="0" fillId="0" borderId="40" xfId="0" applyBorder="1" applyAlignment="1">
      <alignment horizontal="center"/>
    </xf>
    <xf numFmtId="0" fontId="6" fillId="2" borderId="42" xfId="0" applyFont="1" applyFill="1" applyBorder="1" applyAlignment="1">
      <alignment horizontal="center" vertical="center"/>
    </xf>
    <xf numFmtId="0" fontId="16" fillId="0" borderId="7" xfId="0" applyFont="1" applyBorder="1" applyAlignment="1">
      <alignment horizontal="center"/>
    </xf>
    <xf numFmtId="44" fontId="8" fillId="0" borderId="7" xfId="1" applyFont="1" applyFill="1" applyBorder="1" applyAlignment="1">
      <alignment horizontal="center"/>
    </xf>
    <xf numFmtId="44" fontId="16" fillId="0" borderId="5" xfId="1" applyFont="1" applyFill="1" applyBorder="1" applyAlignment="1">
      <alignment horizontal="center"/>
    </xf>
    <xf numFmtId="0" fontId="8" fillId="6" borderId="0" xfId="0" applyFont="1" applyFill="1" applyAlignment="1">
      <alignment horizontal="center"/>
    </xf>
    <xf numFmtId="0" fontId="8" fillId="2" borderId="42" xfId="0" applyFont="1" applyFill="1" applyBorder="1" applyAlignment="1">
      <alignment horizontal="center" vertical="center" wrapText="1"/>
    </xf>
    <xf numFmtId="0" fontId="20" fillId="2" borderId="25" xfId="0" applyFont="1" applyFill="1" applyBorder="1" applyAlignment="1">
      <alignment horizontal="center" vertical="center" wrapText="1"/>
    </xf>
    <xf numFmtId="164" fontId="0" fillId="14" borderId="1" xfId="1" applyNumberFormat="1" applyFont="1" applyFill="1" applyBorder="1"/>
    <xf numFmtId="0" fontId="8" fillId="0" borderId="24" xfId="0" applyFont="1" applyBorder="1"/>
    <xf numFmtId="0" fontId="8" fillId="3" borderId="23" xfId="0" applyFont="1" applyFill="1" applyBorder="1" applyAlignment="1">
      <alignment horizontal="center"/>
    </xf>
    <xf numFmtId="44" fontId="8" fillId="0" borderId="14" xfId="1" applyFont="1" applyFill="1" applyBorder="1" applyAlignment="1">
      <alignment horizontal="center"/>
    </xf>
    <xf numFmtId="164" fontId="0" fillId="18" borderId="1" xfId="1" applyNumberFormat="1" applyFont="1" applyFill="1" applyBorder="1" applyAlignment="1">
      <alignment horizontal="center" vertical="center" wrapText="1"/>
    </xf>
    <xf numFmtId="44" fontId="8" fillId="0" borderId="44" xfId="0" applyNumberFormat="1" applyFont="1" applyBorder="1"/>
    <xf numFmtId="0" fontId="6" fillId="0" borderId="15" xfId="0" applyFont="1" applyBorder="1" applyAlignment="1">
      <alignment horizontal="center"/>
    </xf>
    <xf numFmtId="0" fontId="0" fillId="0" borderId="14" xfId="0" applyBorder="1" applyAlignment="1">
      <alignment horizontal="center"/>
    </xf>
    <xf numFmtId="0" fontId="8" fillId="0" borderId="46" xfId="0" applyFont="1" applyBorder="1"/>
    <xf numFmtId="0" fontId="6" fillId="0" borderId="14" xfId="0" applyFont="1" applyBorder="1" applyAlignment="1">
      <alignment horizontal="center"/>
    </xf>
    <xf numFmtId="44" fontId="8" fillId="0" borderId="16" xfId="1" applyFont="1" applyBorder="1" applyAlignment="1">
      <alignment horizontal="center"/>
    </xf>
    <xf numFmtId="0" fontId="8" fillId="0" borderId="45" xfId="0" applyFont="1" applyBorder="1"/>
    <xf numFmtId="164" fontId="7" fillId="0" borderId="1" xfId="1" applyNumberFormat="1" applyFont="1" applyFill="1" applyBorder="1"/>
    <xf numFmtId="44" fontId="16" fillId="19" borderId="3" xfId="1" applyFont="1" applyFill="1" applyBorder="1" applyAlignment="1">
      <alignment horizontal="center"/>
    </xf>
    <xf numFmtId="0" fontId="8" fillId="0" borderId="48" xfId="0" applyFont="1" applyBorder="1"/>
    <xf numFmtId="0" fontId="8" fillId="0" borderId="0" xfId="0" applyFont="1" applyAlignment="1">
      <alignment horizontal="left" vertical="center"/>
    </xf>
    <xf numFmtId="0" fontId="16" fillId="0" borderId="14" xfId="0" applyFont="1" applyBorder="1" applyAlignment="1">
      <alignment horizontal="center"/>
    </xf>
    <xf numFmtId="0" fontId="8" fillId="19" borderId="0" xfId="0" applyFont="1" applyFill="1" applyAlignment="1">
      <alignment horizontal="center"/>
    </xf>
    <xf numFmtId="0" fontId="8" fillId="3" borderId="23" xfId="0" applyFont="1" applyFill="1" applyBorder="1"/>
    <xf numFmtId="164" fontId="3" fillId="3" borderId="1" xfId="1" applyNumberFormat="1" applyFont="1" applyFill="1" applyBorder="1" applyAlignment="1">
      <alignment horizontal="center" vertical="center" wrapText="1"/>
    </xf>
    <xf numFmtId="0" fontId="3" fillId="0" borderId="1" xfId="0" applyFont="1" applyBorder="1"/>
    <xf numFmtId="9" fontId="8" fillId="0" borderId="0" xfId="3" applyFont="1"/>
    <xf numFmtId="16" fontId="0" fillId="11" borderId="1" xfId="0" applyNumberFormat="1" applyFill="1" applyBorder="1" applyAlignment="1">
      <alignment horizontal="center"/>
    </xf>
    <xf numFmtId="0" fontId="8" fillId="8" borderId="23" xfId="0" applyFont="1" applyFill="1" applyBorder="1" applyAlignment="1">
      <alignment horizontal="center"/>
    </xf>
    <xf numFmtId="0" fontId="13" fillId="0" borderId="1" xfId="0" applyFont="1" applyBorder="1" applyAlignment="1">
      <alignment horizontal="left"/>
    </xf>
    <xf numFmtId="0" fontId="32" fillId="0" borderId="0" xfId="0" applyFont="1"/>
    <xf numFmtId="0" fontId="12" fillId="0" borderId="0" xfId="0" applyFont="1" applyAlignment="1">
      <alignment horizontal="center"/>
    </xf>
    <xf numFmtId="0" fontId="12" fillId="0" borderId="0" xfId="0" applyFont="1"/>
    <xf numFmtId="0" fontId="0" fillId="0" borderId="0" xfId="0" applyAlignment="1">
      <alignment horizontal="left"/>
    </xf>
    <xf numFmtId="0" fontId="13" fillId="0" borderId="0" xfId="0" applyFont="1"/>
    <xf numFmtId="0" fontId="8" fillId="0" borderId="23" xfId="0" applyFont="1" applyBorder="1"/>
    <xf numFmtId="164" fontId="0" fillId="0" borderId="1" xfId="1" applyNumberFormat="1" applyFont="1" applyFill="1" applyBorder="1" applyAlignment="1">
      <alignment horizontal="center"/>
    </xf>
    <xf numFmtId="8" fontId="8" fillId="0" borderId="3" xfId="1" applyNumberFormat="1" applyFont="1" applyBorder="1" applyAlignment="1">
      <alignment horizontal="center"/>
    </xf>
    <xf numFmtId="8" fontId="8" fillId="0" borderId="16" xfId="1" applyNumberFormat="1" applyFont="1" applyBorder="1" applyAlignment="1">
      <alignment horizontal="center"/>
    </xf>
    <xf numFmtId="44" fontId="0" fillId="0" borderId="0" xfId="1" applyFont="1" applyFill="1" applyBorder="1"/>
    <xf numFmtId="8" fontId="8" fillId="3" borderId="3" xfId="1" applyNumberFormat="1" applyFont="1" applyFill="1" applyBorder="1" applyAlignment="1">
      <alignment horizontal="center"/>
    </xf>
    <xf numFmtId="44" fontId="22" fillId="0" borderId="3" xfId="1" applyFont="1" applyBorder="1" applyAlignment="1">
      <alignment horizontal="center"/>
    </xf>
    <xf numFmtId="0" fontId="22" fillId="0" borderId="14" xfId="0" applyFont="1" applyBorder="1" applyAlignment="1">
      <alignment horizontal="center"/>
    </xf>
    <xf numFmtId="0" fontId="22" fillId="0" borderId="15" xfId="0" applyFont="1" applyBorder="1" applyAlignment="1">
      <alignment horizontal="center"/>
    </xf>
    <xf numFmtId="0" fontId="16" fillId="0" borderId="14" xfId="0" applyFont="1" applyBorder="1"/>
    <xf numFmtId="0" fontId="22" fillId="0" borderId="2" xfId="0" applyFont="1" applyBorder="1"/>
    <xf numFmtId="0" fontId="12" fillId="0" borderId="2" xfId="0" applyFont="1" applyBorder="1"/>
    <xf numFmtId="44" fontId="16" fillId="0" borderId="8" xfId="0" applyNumberFormat="1" applyFont="1" applyBorder="1"/>
    <xf numFmtId="0" fontId="0" fillId="2" borderId="1" xfId="0" applyFill="1" applyBorder="1" applyAlignment="1">
      <alignment horizontal="center"/>
    </xf>
    <xf numFmtId="0" fontId="9" fillId="0" borderId="2" xfId="0" applyFont="1" applyBorder="1"/>
    <xf numFmtId="44" fontId="16" fillId="0" borderId="0" xfId="1" applyFont="1"/>
    <xf numFmtId="0" fontId="9" fillId="0" borderId="0" xfId="0" applyFont="1" applyAlignment="1">
      <alignment horizontal="center"/>
    </xf>
    <xf numFmtId="44" fontId="3" fillId="7" borderId="1" xfId="1" applyFont="1" applyFill="1" applyBorder="1" applyAlignment="1">
      <alignment horizontal="center"/>
    </xf>
    <xf numFmtId="44" fontId="8" fillId="0" borderId="10" xfId="0" applyNumberFormat="1" applyFont="1" applyBorder="1"/>
    <xf numFmtId="44" fontId="0" fillId="0" borderId="1" xfId="1" applyFont="1" applyBorder="1" applyAlignment="1">
      <alignment horizontal="center"/>
    </xf>
    <xf numFmtId="0" fontId="8" fillId="0" borderId="0" xfId="0" applyFont="1" applyAlignment="1">
      <alignment horizontal="left"/>
    </xf>
    <xf numFmtId="20" fontId="3" fillId="0" borderId="1" xfId="0" applyNumberFormat="1" applyFont="1" applyBorder="1" applyAlignment="1">
      <alignment horizontal="center"/>
    </xf>
    <xf numFmtId="0" fontId="3" fillId="6" borderId="1" xfId="0" applyFont="1" applyFill="1" applyBorder="1" applyAlignment="1">
      <alignment horizontal="center"/>
    </xf>
    <xf numFmtId="0" fontId="0" fillId="0" borderId="0" xfId="0" applyAlignment="1">
      <alignment horizontal="center" vertical="center"/>
    </xf>
    <xf numFmtId="0" fontId="3" fillId="0" borderId="36" xfId="0" applyFont="1" applyBorder="1" applyAlignment="1">
      <alignment horizontal="center"/>
    </xf>
    <xf numFmtId="0" fontId="0" fillId="9" borderId="1" xfId="0" applyFill="1" applyBorder="1" applyAlignment="1">
      <alignment horizontal="center" vertical="center" wrapText="1"/>
    </xf>
    <xf numFmtId="0" fontId="0" fillId="9" borderId="1" xfId="0" applyFill="1" applyBorder="1" applyAlignment="1">
      <alignment horizontal="center" vertical="center"/>
    </xf>
    <xf numFmtId="44" fontId="3" fillId="6" borderId="1" xfId="1" applyFont="1" applyFill="1" applyBorder="1" applyAlignment="1">
      <alignment horizontal="center"/>
    </xf>
    <xf numFmtId="164" fontId="3" fillId="0" borderId="1" xfId="1" applyNumberFormat="1" applyFont="1" applyFill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164" fontId="3" fillId="0" borderId="1" xfId="1" applyNumberFormat="1" applyFont="1" applyFill="1" applyBorder="1"/>
    <xf numFmtId="0" fontId="0" fillId="14" borderId="1" xfId="0" applyFill="1" applyBorder="1"/>
    <xf numFmtId="164" fontId="0" fillId="3" borderId="1" xfId="1" applyNumberFormat="1" applyFont="1" applyFill="1" applyBorder="1"/>
    <xf numFmtId="164" fontId="7" fillId="0" borderId="1" xfId="1" applyNumberFormat="1" applyFont="1" applyFill="1" applyBorder="1" applyAlignment="1">
      <alignment horizontal="center"/>
    </xf>
    <xf numFmtId="164" fontId="3" fillId="6" borderId="1" xfId="1" applyNumberFormat="1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164" fontId="7" fillId="13" borderId="1" xfId="1" applyNumberFormat="1" applyFont="1" applyFill="1" applyBorder="1"/>
    <xf numFmtId="44" fontId="3" fillId="16" borderId="1" xfId="1" applyFont="1" applyFill="1" applyBorder="1" applyAlignment="1">
      <alignment horizontal="center"/>
    </xf>
    <xf numFmtId="44" fontId="3" fillId="13" borderId="1" xfId="1" applyFont="1" applyFill="1" applyBorder="1" applyAlignment="1">
      <alignment horizontal="center"/>
    </xf>
    <xf numFmtId="0" fontId="0" fillId="13" borderId="1" xfId="0" applyFill="1" applyBorder="1"/>
    <xf numFmtId="164" fontId="0" fillId="17" borderId="1" xfId="1" applyNumberFormat="1" applyFont="1" applyFill="1" applyBorder="1"/>
    <xf numFmtId="44" fontId="0" fillId="6" borderId="1" xfId="1" applyFont="1" applyFill="1" applyBorder="1"/>
    <xf numFmtId="0" fontId="16" fillId="0" borderId="1" xfId="0" applyFont="1" applyBorder="1"/>
    <xf numFmtId="0" fontId="3" fillId="2" borderId="1" xfId="0" applyFont="1" applyFill="1" applyBorder="1"/>
    <xf numFmtId="0" fontId="3" fillId="6" borderId="1" xfId="0" applyFont="1" applyFill="1" applyBorder="1"/>
    <xf numFmtId="0" fontId="16" fillId="0" borderId="1" xfId="0" applyFont="1" applyBorder="1" applyAlignment="1">
      <alignment horizontal="center"/>
    </xf>
    <xf numFmtId="0" fontId="35" fillId="0" borderId="0" xfId="0" applyFont="1"/>
    <xf numFmtId="0" fontId="37" fillId="0" borderId="0" xfId="0" applyFont="1"/>
    <xf numFmtId="0" fontId="38" fillId="0" borderId="1" xfId="0" applyFont="1" applyBorder="1" applyAlignment="1">
      <alignment horizontal="center"/>
    </xf>
    <xf numFmtId="0" fontId="39" fillId="0" borderId="1" xfId="0" applyFont="1" applyBorder="1" applyAlignment="1">
      <alignment horizontal="center"/>
    </xf>
    <xf numFmtId="0" fontId="41" fillId="0" borderId="0" xfId="0" applyFont="1"/>
    <xf numFmtId="0" fontId="42" fillId="0" borderId="1" xfId="0" applyFont="1" applyBorder="1"/>
    <xf numFmtId="0" fontId="43" fillId="0" borderId="1" xfId="0" applyFont="1" applyBorder="1"/>
    <xf numFmtId="44" fontId="43" fillId="0" borderId="1" xfId="1" applyFont="1" applyBorder="1" applyAlignment="1"/>
    <xf numFmtId="0" fontId="40" fillId="0" borderId="1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35" fillId="0" borderId="0" xfId="0" applyFont="1" applyAlignment="1">
      <alignment horizontal="center"/>
    </xf>
    <xf numFmtId="0" fontId="42" fillId="0" borderId="51" xfId="0" applyFont="1" applyBorder="1"/>
    <xf numFmtId="0" fontId="42" fillId="0" borderId="52" xfId="0" applyFont="1" applyBorder="1"/>
    <xf numFmtId="0" fontId="38" fillId="0" borderId="52" xfId="0" applyFont="1" applyBorder="1" applyAlignment="1">
      <alignment horizontal="center"/>
    </xf>
    <xf numFmtId="0" fontId="34" fillId="0" borderId="53" xfId="0" applyFont="1" applyBorder="1" applyAlignment="1">
      <alignment horizontal="center"/>
    </xf>
    <xf numFmtId="0" fontId="42" fillId="0" borderId="54" xfId="0" applyFont="1" applyBorder="1"/>
    <xf numFmtId="0" fontId="34" fillId="0" borderId="55" xfId="0" applyFont="1" applyBorder="1" applyAlignment="1">
      <alignment horizontal="center"/>
    </xf>
    <xf numFmtId="0" fontId="35" fillId="0" borderId="55" xfId="0" applyFont="1" applyBorder="1" applyAlignment="1">
      <alignment horizontal="center"/>
    </xf>
    <xf numFmtId="0" fontId="36" fillId="0" borderId="55" xfId="0" applyFont="1" applyBorder="1" applyAlignment="1">
      <alignment horizontal="center"/>
    </xf>
    <xf numFmtId="0" fontId="0" fillId="0" borderId="55" xfId="0" applyBorder="1"/>
    <xf numFmtId="0" fontId="43" fillId="0" borderId="54" xfId="0" applyFont="1" applyBorder="1"/>
    <xf numFmtId="0" fontId="42" fillId="0" borderId="56" xfId="0" applyFont="1" applyBorder="1"/>
    <xf numFmtId="0" fontId="42" fillId="0" borderId="57" xfId="0" applyFont="1" applyBorder="1"/>
    <xf numFmtId="0" fontId="38" fillId="0" borderId="57" xfId="0" applyFont="1" applyBorder="1" applyAlignment="1">
      <alignment horizontal="center"/>
    </xf>
    <xf numFmtId="0" fontId="0" fillId="0" borderId="58" xfId="0" applyBorder="1"/>
    <xf numFmtId="0" fontId="3" fillId="0" borderId="55" xfId="0" applyFont="1" applyBorder="1" applyAlignment="1">
      <alignment horizontal="center"/>
    </xf>
    <xf numFmtId="0" fontId="3" fillId="0" borderId="58" xfId="0" applyFont="1" applyBorder="1" applyAlignment="1">
      <alignment horizontal="center"/>
    </xf>
    <xf numFmtId="0" fontId="0" fillId="0" borderId="53" xfId="0" applyBorder="1"/>
    <xf numFmtId="0" fontId="9" fillId="3" borderId="0" xfId="0" applyFont="1" applyFill="1" applyAlignment="1">
      <alignment horizontal="left"/>
    </xf>
    <xf numFmtId="44" fontId="8" fillId="0" borderId="0" xfId="1" applyFont="1" applyFill="1" applyAlignment="1">
      <alignment horizontal="center"/>
    </xf>
    <xf numFmtId="0" fontId="16" fillId="3" borderId="0" xfId="0" applyFont="1" applyFill="1" applyAlignment="1">
      <alignment horizontal="center"/>
    </xf>
    <xf numFmtId="44" fontId="3" fillId="18" borderId="1" xfId="1" applyFont="1" applyFill="1" applyBorder="1" applyAlignment="1">
      <alignment horizontal="center"/>
    </xf>
    <xf numFmtId="164" fontId="7" fillId="2" borderId="1" xfId="1" applyNumberFormat="1" applyFont="1" applyFill="1" applyBorder="1"/>
    <xf numFmtId="164" fontId="7" fillId="9" borderId="1" xfId="1" applyNumberFormat="1" applyFont="1" applyFill="1" applyBorder="1"/>
    <xf numFmtId="0" fontId="3" fillId="6" borderId="37" xfId="0" applyFont="1" applyFill="1" applyBorder="1" applyAlignment="1">
      <alignment horizontal="center"/>
    </xf>
    <xf numFmtId="0" fontId="3" fillId="6" borderId="37" xfId="0" applyFont="1" applyFill="1" applyBorder="1"/>
    <xf numFmtId="44" fontId="3" fillId="6" borderId="37" xfId="1" applyFont="1" applyFill="1" applyBorder="1" applyAlignment="1">
      <alignment horizontal="center"/>
    </xf>
    <xf numFmtId="164" fontId="0" fillId="6" borderId="37" xfId="1" applyNumberFormat="1" applyFont="1" applyFill="1" applyBorder="1"/>
    <xf numFmtId="164" fontId="3" fillId="6" borderId="37" xfId="1" applyNumberFormat="1" applyFont="1" applyFill="1" applyBorder="1" applyAlignment="1">
      <alignment horizontal="center"/>
    </xf>
    <xf numFmtId="164" fontId="0" fillId="0" borderId="37" xfId="1" applyNumberFormat="1" applyFont="1" applyFill="1" applyBorder="1"/>
    <xf numFmtId="0" fontId="0" fillId="0" borderId="37" xfId="0" applyBorder="1"/>
    <xf numFmtId="44" fontId="22" fillId="0" borderId="0" xfId="1" applyFont="1" applyBorder="1" applyAlignment="1">
      <alignment horizontal="center"/>
    </xf>
    <xf numFmtId="0" fontId="9" fillId="0" borderId="0" xfId="0" applyFont="1" applyAlignment="1">
      <alignment horizontal="left"/>
    </xf>
    <xf numFmtId="44" fontId="0" fillId="0" borderId="0" xfId="1" applyFont="1" applyFill="1"/>
    <xf numFmtId="44" fontId="0" fillId="9" borderId="1" xfId="1" applyFont="1" applyFill="1" applyBorder="1" applyAlignment="1">
      <alignment horizontal="center" vertical="center" wrapText="1"/>
    </xf>
    <xf numFmtId="44" fontId="0" fillId="0" borderId="37" xfId="1" applyFont="1" applyFill="1" applyBorder="1"/>
    <xf numFmtId="44" fontId="0" fillId="13" borderId="1" xfId="1" applyFont="1" applyFill="1" applyBorder="1"/>
    <xf numFmtId="44" fontId="3" fillId="9" borderId="1" xfId="1" applyFont="1" applyFill="1" applyBorder="1" applyAlignment="1">
      <alignment horizontal="center"/>
    </xf>
    <xf numFmtId="164" fontId="3" fillId="9" borderId="1" xfId="1" applyNumberFormat="1" applyFont="1" applyFill="1" applyBorder="1"/>
    <xf numFmtId="8" fontId="3" fillId="13" borderId="1" xfId="1" applyNumberFormat="1" applyFont="1" applyFill="1" applyBorder="1" applyAlignment="1">
      <alignment horizontal="center"/>
    </xf>
    <xf numFmtId="0" fontId="3" fillId="0" borderId="1" xfId="0" applyFont="1" applyBorder="1" applyAlignment="1">
      <alignment horizontal="left"/>
    </xf>
    <xf numFmtId="44" fontId="3" fillId="18" borderId="1" xfId="1" applyFont="1" applyFill="1" applyBorder="1"/>
    <xf numFmtId="0" fontId="0" fillId="3" borderId="1" xfId="0" applyFill="1" applyBorder="1" applyAlignment="1">
      <alignment horizontal="center" vertical="center"/>
    </xf>
    <xf numFmtId="0" fontId="27" fillId="0" borderId="0" xfId="0" applyFont="1" applyAlignment="1">
      <alignment horizontal="center"/>
    </xf>
    <xf numFmtId="44" fontId="16" fillId="0" borderId="7" xfId="1" applyFont="1" applyBorder="1" applyAlignment="1">
      <alignment horizontal="center"/>
    </xf>
    <xf numFmtId="0" fontId="44" fillId="0" borderId="0" xfId="0" applyFont="1" applyAlignment="1">
      <alignment horizontal="center"/>
    </xf>
    <xf numFmtId="164" fontId="3" fillId="6" borderId="1" xfId="1" applyNumberFormat="1" applyFont="1" applyFill="1" applyBorder="1"/>
    <xf numFmtId="44" fontId="6" fillId="0" borderId="7" xfId="1" applyFont="1" applyBorder="1" applyAlignment="1">
      <alignment horizontal="center"/>
    </xf>
    <xf numFmtId="44" fontId="6" fillId="0" borderId="5" xfId="1" applyFont="1" applyBorder="1" applyAlignment="1">
      <alignment horizontal="center"/>
    </xf>
    <xf numFmtId="0" fontId="0" fillId="11" borderId="1" xfId="0" applyFill="1" applyBorder="1" applyAlignment="1">
      <alignment horizontal="center" vertical="center"/>
    </xf>
    <xf numFmtId="0" fontId="0" fillId="11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16" fontId="0" fillId="0" borderId="1" xfId="0" applyNumberFormat="1" applyBorder="1" applyAlignment="1">
      <alignment horizontal="center"/>
    </xf>
    <xf numFmtId="16" fontId="0" fillId="11" borderId="1" xfId="0" applyNumberFormat="1" applyFill="1" applyBorder="1" applyAlignment="1">
      <alignment horizontal="center" vertical="center"/>
    </xf>
    <xf numFmtId="44" fontId="22" fillId="0" borderId="3" xfId="1" applyFont="1" applyFill="1" applyBorder="1" applyAlignment="1">
      <alignment horizontal="center"/>
    </xf>
    <xf numFmtId="0" fontId="3" fillId="3" borderId="41" xfId="0" applyFont="1" applyFill="1" applyBorder="1" applyAlignment="1">
      <alignment horizontal="center" vertical="center" wrapText="1"/>
    </xf>
    <xf numFmtId="0" fontId="3" fillId="3" borderId="42" xfId="0" applyFont="1" applyFill="1" applyBorder="1" applyAlignment="1">
      <alignment horizontal="center" vertical="center"/>
    </xf>
    <xf numFmtId="0" fontId="3" fillId="3" borderId="42" xfId="0" applyFont="1" applyFill="1" applyBorder="1" applyAlignment="1">
      <alignment horizontal="center" vertical="center" wrapText="1"/>
    </xf>
    <xf numFmtId="0" fontId="0" fillId="3" borderId="43" xfId="0" applyFill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34" fillId="0" borderId="1" xfId="0" applyFont="1" applyBorder="1" applyAlignment="1">
      <alignment horizontal="center"/>
    </xf>
    <xf numFmtId="0" fontId="34" fillId="0" borderId="1" xfId="0" applyFont="1" applyBorder="1" applyAlignment="1">
      <alignment horizontal="center" vertical="center"/>
    </xf>
    <xf numFmtId="0" fontId="34" fillId="0" borderId="1" xfId="0" applyFont="1" applyBorder="1"/>
    <xf numFmtId="20" fontId="34" fillId="0" borderId="1" xfId="0" applyNumberFormat="1" applyFont="1" applyBorder="1" applyAlignment="1">
      <alignment horizontal="center"/>
    </xf>
    <xf numFmtId="0" fontId="45" fillId="0" borderId="1" xfId="0" applyFont="1" applyBorder="1"/>
    <xf numFmtId="0" fontId="45" fillId="0" borderId="1" xfId="0" applyFont="1" applyBorder="1" applyAlignment="1">
      <alignment horizontal="center"/>
    </xf>
    <xf numFmtId="0" fontId="45" fillId="0" borderId="1" xfId="0" applyFont="1" applyBorder="1" applyAlignment="1">
      <alignment horizontal="center" vertical="center"/>
    </xf>
    <xf numFmtId="0" fontId="45" fillId="0" borderId="37" xfId="0" applyFont="1" applyBorder="1"/>
    <xf numFmtId="44" fontId="45" fillId="0" borderId="1" xfId="1" applyFont="1" applyFill="1" applyBorder="1"/>
    <xf numFmtId="0" fontId="45" fillId="0" borderId="0" xfId="0" applyFont="1"/>
    <xf numFmtId="0" fontId="45" fillId="0" borderId="1" xfId="0" applyFont="1" applyBorder="1" applyAlignment="1">
      <alignment horizontal="left"/>
    </xf>
    <xf numFmtId="44" fontId="45" fillId="0" borderId="1" xfId="1" applyFont="1" applyBorder="1"/>
    <xf numFmtId="0" fontId="34" fillId="0" borderId="1" xfId="0" applyFont="1" applyBorder="1" applyAlignment="1">
      <alignment horizontal="left"/>
    </xf>
    <xf numFmtId="44" fontId="0" fillId="0" borderId="0" xfId="1" applyFont="1"/>
    <xf numFmtId="44" fontId="0" fillId="3" borderId="42" xfId="1" applyFont="1" applyFill="1" applyBorder="1" applyAlignment="1">
      <alignment horizontal="center" vertical="center" wrapText="1"/>
    </xf>
    <xf numFmtId="44" fontId="45" fillId="0" borderId="0" xfId="1" applyFont="1" applyFill="1"/>
    <xf numFmtId="44" fontId="0" fillId="9" borderId="1" xfId="1" applyFont="1" applyFill="1" applyBorder="1" applyAlignment="1">
      <alignment horizontal="center" vertical="center"/>
    </xf>
    <xf numFmtId="164" fontId="7" fillId="18" borderId="1" xfId="1" applyNumberFormat="1" applyFont="1" applyFill="1" applyBorder="1"/>
    <xf numFmtId="44" fontId="0" fillId="3" borderId="1" xfId="1" applyFont="1" applyFill="1" applyBorder="1" applyAlignment="1">
      <alignment horizontal="center" vertical="center" wrapText="1"/>
    </xf>
    <xf numFmtId="0" fontId="46" fillId="0" borderId="0" xfId="0" applyFont="1" applyAlignment="1">
      <alignment horizontal="center"/>
    </xf>
    <xf numFmtId="44" fontId="26" fillId="9" borderId="1" xfId="1" applyFont="1" applyFill="1" applyBorder="1"/>
    <xf numFmtId="0" fontId="8" fillId="0" borderId="7" xfId="0" applyFont="1" applyBorder="1" applyAlignment="1">
      <alignment horizontal="left"/>
    </xf>
    <xf numFmtId="0" fontId="17" fillId="0" borderId="7" xfId="0" applyFont="1" applyBorder="1" applyAlignment="1">
      <alignment horizontal="center"/>
    </xf>
    <xf numFmtId="0" fontId="22" fillId="0" borderId="7" xfId="0" applyFont="1" applyBorder="1" applyAlignment="1">
      <alignment horizontal="center"/>
    </xf>
    <xf numFmtId="44" fontId="16" fillId="0" borderId="7" xfId="1" applyFont="1" applyFill="1" applyBorder="1" applyAlignment="1">
      <alignment horizontal="center"/>
    </xf>
    <xf numFmtId="44" fontId="7" fillId="13" borderId="1" xfId="1" applyFont="1" applyFill="1" applyBorder="1" applyAlignment="1">
      <alignment horizontal="center"/>
    </xf>
    <xf numFmtId="44" fontId="7" fillId="20" borderId="1" xfId="1" applyFont="1" applyFill="1" applyBorder="1" applyAlignment="1">
      <alignment horizontal="center"/>
    </xf>
    <xf numFmtId="44" fontId="17" fillId="0" borderId="0" xfId="0" applyNumberFormat="1" applyFont="1"/>
    <xf numFmtId="0" fontId="3" fillId="0" borderId="37" xfId="0" applyFont="1" applyBorder="1"/>
    <xf numFmtId="0" fontId="3" fillId="0" borderId="37" xfId="0" applyFont="1" applyBorder="1" applyAlignment="1">
      <alignment horizontal="center"/>
    </xf>
    <xf numFmtId="0" fontId="4" fillId="0" borderId="1" xfId="0" applyFont="1" applyBorder="1" applyAlignment="1">
      <alignment horizontal="left" vertical="center"/>
    </xf>
    <xf numFmtId="0" fontId="15" fillId="0" borderId="1" xfId="2" applyFill="1" applyBorder="1"/>
    <xf numFmtId="44" fontId="16" fillId="6" borderId="0" xfId="1" applyFont="1" applyFill="1" applyBorder="1" applyAlignment="1">
      <alignment horizontal="left"/>
    </xf>
    <xf numFmtId="44" fontId="17" fillId="6" borderId="3" xfId="1" applyFont="1" applyFill="1" applyBorder="1" applyAlignment="1">
      <alignment horizontal="left"/>
    </xf>
    <xf numFmtId="0" fontId="0" fillId="0" borderId="40" xfId="0" applyBorder="1"/>
    <xf numFmtId="16" fontId="8" fillId="0" borderId="0" xfId="0" applyNumberFormat="1" applyFont="1"/>
    <xf numFmtId="0" fontId="8" fillId="0" borderId="33" xfId="0" applyFont="1" applyBorder="1" applyAlignment="1">
      <alignment horizontal="center"/>
    </xf>
    <xf numFmtId="44" fontId="8" fillId="0" borderId="31" xfId="1" applyFont="1" applyBorder="1" applyAlignment="1">
      <alignment horizontal="center"/>
    </xf>
    <xf numFmtId="44" fontId="16" fillId="0" borderId="34" xfId="1" applyFont="1" applyBorder="1" applyAlignment="1">
      <alignment horizontal="center"/>
    </xf>
    <xf numFmtId="0" fontId="7" fillId="0" borderId="37" xfId="0" applyFont="1" applyBorder="1" applyAlignment="1">
      <alignment horizontal="center"/>
    </xf>
    <xf numFmtId="44" fontId="3" fillId="18" borderId="37" xfId="1" applyFont="1" applyFill="1" applyBorder="1" applyAlignment="1">
      <alignment horizontal="center"/>
    </xf>
    <xf numFmtId="164" fontId="0" fillId="0" borderId="37" xfId="1" applyNumberFormat="1" applyFont="1" applyBorder="1"/>
    <xf numFmtId="164" fontId="3" fillId="0" borderId="37" xfId="1" applyNumberFormat="1" applyFont="1" applyFill="1" applyBorder="1" applyAlignment="1">
      <alignment horizontal="center"/>
    </xf>
    <xf numFmtId="164" fontId="0" fillId="0" borderId="37" xfId="1" applyNumberFormat="1" applyFont="1" applyFill="1" applyBorder="1" applyAlignment="1">
      <alignment horizontal="center"/>
    </xf>
    <xf numFmtId="164" fontId="0" fillId="3" borderId="1" xfId="1" applyNumberFormat="1" applyFont="1" applyFill="1" applyBorder="1" applyAlignment="1">
      <alignment horizontal="center" vertical="center"/>
    </xf>
    <xf numFmtId="0" fontId="15" fillId="0" borderId="40" xfId="2" applyFill="1" applyBorder="1"/>
    <xf numFmtId="14" fontId="8" fillId="0" borderId="0" xfId="0" applyNumberFormat="1" applyFont="1"/>
    <xf numFmtId="44" fontId="8" fillId="6" borderId="0" xfId="0" applyNumberFormat="1" applyFont="1" applyFill="1" applyAlignment="1">
      <alignment horizontal="center"/>
    </xf>
    <xf numFmtId="165" fontId="8" fillId="0" borderId="0" xfId="1" applyNumberFormat="1" applyFont="1"/>
    <xf numFmtId="166" fontId="8" fillId="0" borderId="0" xfId="0" applyNumberFormat="1" applyFont="1"/>
    <xf numFmtId="1" fontId="8" fillId="0" borderId="0" xfId="0" applyNumberFormat="1" applyFont="1"/>
    <xf numFmtId="16" fontId="0" fillId="9" borderId="0" xfId="1" applyNumberFormat="1" applyFont="1" applyFill="1"/>
    <xf numFmtId="44" fontId="0" fillId="9" borderId="0" xfId="1" applyFont="1" applyFill="1"/>
    <xf numFmtId="44" fontId="8" fillId="0" borderId="0" xfId="1" applyFont="1"/>
    <xf numFmtId="44" fontId="8" fillId="0" borderId="0" xfId="1" applyFont="1" applyAlignment="1">
      <alignment horizontal="center" vertical="center"/>
    </xf>
    <xf numFmtId="44" fontId="17" fillId="0" borderId="0" xfId="1" applyFont="1"/>
    <xf numFmtId="44" fontId="16" fillId="9" borderId="1" xfId="1" applyFont="1" applyFill="1" applyBorder="1" applyAlignment="1">
      <alignment horizontal="center" vertical="center"/>
    </xf>
    <xf numFmtId="44" fontId="8" fillId="0" borderId="11" xfId="1" applyFont="1" applyFill="1" applyBorder="1"/>
    <xf numFmtId="44" fontId="3" fillId="0" borderId="1" xfId="1" applyFont="1" applyFill="1" applyBorder="1"/>
    <xf numFmtId="0" fontId="22" fillId="0" borderId="0" xfId="0" applyFont="1" applyAlignment="1">
      <alignment horizontal="left"/>
    </xf>
    <xf numFmtId="44" fontId="16" fillId="0" borderId="0" xfId="1" applyFont="1" applyFill="1" applyBorder="1" applyAlignment="1">
      <alignment horizontal="left"/>
    </xf>
    <xf numFmtId="16" fontId="8" fillId="0" borderId="2" xfId="0" applyNumberFormat="1" applyFont="1" applyBorder="1" applyAlignment="1">
      <alignment horizontal="center"/>
    </xf>
    <xf numFmtId="0" fontId="6" fillId="0" borderId="0" xfId="0" applyFont="1" applyAlignment="1">
      <alignment horizontal="left"/>
    </xf>
    <xf numFmtId="44" fontId="8" fillId="0" borderId="3" xfId="0" applyNumberFormat="1" applyFont="1" applyBorder="1"/>
    <xf numFmtId="0" fontId="26" fillId="0" borderId="0" xfId="0" applyFont="1" applyAlignment="1">
      <alignment horizontal="left"/>
    </xf>
    <xf numFmtId="0" fontId="9" fillId="3" borderId="0" xfId="0" applyFont="1" applyFill="1"/>
    <xf numFmtId="0" fontId="26" fillId="0" borderId="0" xfId="0" applyFont="1" applyAlignment="1">
      <alignment horizontal="center"/>
    </xf>
    <xf numFmtId="44" fontId="8" fillId="0" borderId="0" xfId="1" applyFont="1" applyAlignment="1">
      <alignment horizontal="center"/>
    </xf>
    <xf numFmtId="44" fontId="7" fillId="9" borderId="0" xfId="1" applyFont="1" applyFill="1"/>
    <xf numFmtId="0" fontId="47" fillId="0" borderId="0" xfId="0" applyFont="1"/>
    <xf numFmtId="44" fontId="48" fillId="9" borderId="0" xfId="1" applyFont="1" applyFill="1"/>
    <xf numFmtId="0" fontId="49" fillId="0" borderId="0" xfId="0" applyFont="1"/>
    <xf numFmtId="0" fontId="50" fillId="3" borderId="0" xfId="0" applyFont="1" applyFill="1" applyAlignment="1">
      <alignment horizontal="left"/>
    </xf>
    <xf numFmtId="0" fontId="8" fillId="3" borderId="0" xfId="0" applyFont="1" applyFill="1"/>
    <xf numFmtId="0" fontId="16" fillId="19" borderId="0" xfId="0" applyFont="1" applyFill="1" applyAlignment="1">
      <alignment horizontal="center"/>
    </xf>
    <xf numFmtId="0" fontId="16" fillId="0" borderId="0" xfId="0" applyFont="1" applyAlignment="1">
      <alignment horizontal="left"/>
    </xf>
    <xf numFmtId="0" fontId="50" fillId="0" borderId="0" xfId="0" applyFont="1" applyAlignment="1">
      <alignment horizontal="left"/>
    </xf>
    <xf numFmtId="44" fontId="8" fillId="0" borderId="0" xfId="1" applyFont="1" applyBorder="1"/>
    <xf numFmtId="0" fontId="8" fillId="0" borderId="0" xfId="0" applyFont="1" applyAlignment="1">
      <alignment horizontal="right"/>
    </xf>
    <xf numFmtId="0" fontId="0" fillId="0" borderId="37" xfId="0" applyBorder="1" applyAlignment="1">
      <alignment horizontal="center"/>
    </xf>
    <xf numFmtId="0" fontId="33" fillId="0" borderId="1" xfId="0" applyFont="1" applyBorder="1" applyAlignment="1">
      <alignment horizontal="center"/>
    </xf>
    <xf numFmtId="0" fontId="22" fillId="0" borderId="0" xfId="0" applyFont="1"/>
    <xf numFmtId="0" fontId="6" fillId="0" borderId="14" xfId="0" applyFont="1" applyBorder="1" applyAlignment="1">
      <alignment horizontal="left"/>
    </xf>
    <xf numFmtId="0" fontId="6" fillId="2" borderId="30" xfId="0" applyFont="1" applyFill="1" applyBorder="1" applyAlignment="1">
      <alignment horizontal="center" vertical="center" wrapText="1"/>
    </xf>
    <xf numFmtId="0" fontId="9" fillId="6" borderId="0" xfId="0" applyFont="1" applyFill="1" applyAlignment="1">
      <alignment horizontal="left"/>
    </xf>
    <xf numFmtId="44" fontId="7" fillId="6" borderId="0" xfId="1" applyFont="1" applyFill="1"/>
    <xf numFmtId="0" fontId="8" fillId="0" borderId="31" xfId="0" applyFont="1" applyBorder="1" applyAlignment="1">
      <alignment horizontal="center"/>
    </xf>
    <xf numFmtId="0" fontId="9" fillId="0" borderId="4" xfId="0" applyFont="1" applyBorder="1"/>
    <xf numFmtId="0" fontId="8" fillId="19" borderId="7" xfId="0" applyFont="1" applyFill="1" applyBorder="1" applyAlignment="1">
      <alignment horizontal="center"/>
    </xf>
    <xf numFmtId="44" fontId="16" fillId="0" borderId="0" xfId="1" applyFont="1" applyFill="1"/>
    <xf numFmtId="0" fontId="0" fillId="17" borderId="1" xfId="0" applyFill="1" applyBorder="1"/>
    <xf numFmtId="44" fontId="0" fillId="17" borderId="1" xfId="1" applyFont="1" applyFill="1" applyBorder="1"/>
    <xf numFmtId="164" fontId="3" fillId="17" borderId="1" xfId="1" applyNumberFormat="1" applyFont="1" applyFill="1" applyBorder="1"/>
    <xf numFmtId="164" fontId="7" fillId="17" borderId="1" xfId="1" applyNumberFormat="1" applyFont="1" applyFill="1" applyBorder="1"/>
    <xf numFmtId="0" fontId="22" fillId="0" borderId="1" xfId="0" applyFont="1" applyBorder="1" applyAlignment="1">
      <alignment horizontal="center"/>
    </xf>
    <xf numFmtId="0" fontId="6" fillId="0" borderId="31" xfId="0" applyFont="1" applyBorder="1"/>
    <xf numFmtId="0" fontId="7" fillId="0" borderId="1" xfId="0" applyFont="1" applyBorder="1" applyAlignment="1">
      <alignment horizontal="left"/>
    </xf>
    <xf numFmtId="0" fontId="33" fillId="0" borderId="0" xfId="0" applyFont="1" applyAlignment="1">
      <alignment horizontal="left"/>
    </xf>
    <xf numFmtId="44" fontId="0" fillId="11" borderId="29" xfId="1" applyFont="1" applyFill="1" applyBorder="1" applyAlignment="1">
      <alignment horizontal="center"/>
    </xf>
    <xf numFmtId="0" fontId="51" fillId="0" borderId="0" xfId="0" applyFont="1"/>
    <xf numFmtId="2" fontId="51" fillId="0" borderId="0" xfId="0" applyNumberFormat="1" applyFont="1"/>
    <xf numFmtId="0" fontId="51" fillId="0" borderId="0" xfId="0" applyFont="1" applyAlignment="1">
      <alignment horizontal="right"/>
    </xf>
    <xf numFmtId="0" fontId="20" fillId="0" borderId="0" xfId="0" applyFont="1" applyAlignment="1">
      <alignment horizontal="left"/>
    </xf>
    <xf numFmtId="0" fontId="16" fillId="6" borderId="0" xfId="0" applyFont="1" applyFill="1" applyAlignment="1">
      <alignment horizontal="center"/>
    </xf>
    <xf numFmtId="0" fontId="6" fillId="6" borderId="0" xfId="0" applyFont="1" applyFill="1" applyAlignment="1">
      <alignment horizontal="left"/>
    </xf>
    <xf numFmtId="44" fontId="8" fillId="0" borderId="0" xfId="1" applyFont="1" applyFill="1" applyAlignment="1">
      <alignment horizontal="left"/>
    </xf>
    <xf numFmtId="44" fontId="16" fillId="0" borderId="3" xfId="1" applyFont="1" applyFill="1" applyBorder="1" applyAlignment="1">
      <alignment horizontal="left"/>
    </xf>
    <xf numFmtId="44" fontId="16" fillId="0" borderId="3" xfId="1" applyFont="1" applyFill="1" applyBorder="1" applyAlignment="1"/>
    <xf numFmtId="44" fontId="16" fillId="0" borderId="0" xfId="1" applyFont="1" applyAlignment="1">
      <alignment horizontal="center"/>
    </xf>
    <xf numFmtId="0" fontId="52" fillId="0" borderId="0" xfId="0" applyFont="1"/>
    <xf numFmtId="44" fontId="16" fillId="0" borderId="0" xfId="1" applyFont="1" applyAlignment="1"/>
    <xf numFmtId="0" fontId="6" fillId="0" borderId="0" xfId="0" applyFont="1" applyAlignment="1">
      <alignment horizontal="left" indent="1"/>
    </xf>
    <xf numFmtId="0" fontId="22" fillId="0" borderId="0" xfId="0" applyFont="1" applyAlignment="1">
      <alignment horizontal="left" indent="1"/>
    </xf>
    <xf numFmtId="0" fontId="42" fillId="6" borderId="1" xfId="0" applyFont="1" applyFill="1" applyBorder="1"/>
    <xf numFmtId="0" fontId="26" fillId="0" borderId="0" xfId="0" applyFont="1" applyAlignment="1">
      <alignment horizontal="left" indent="1"/>
    </xf>
    <xf numFmtId="0" fontId="26" fillId="0" borderId="0" xfId="0" applyFont="1"/>
    <xf numFmtId="0" fontId="53" fillId="0" borderId="0" xfId="0" applyFont="1" applyAlignment="1">
      <alignment horizontal="left"/>
    </xf>
    <xf numFmtId="0" fontId="20" fillId="0" borderId="0" xfId="0" applyFont="1"/>
    <xf numFmtId="0" fontId="8" fillId="0" borderId="0" xfId="0" applyFont="1" applyAlignment="1">
      <alignment horizontal="left" indent="1"/>
    </xf>
    <xf numFmtId="0" fontId="33" fillId="6" borderId="0" xfId="0" applyFont="1" applyFill="1" applyAlignment="1">
      <alignment horizontal="left"/>
    </xf>
    <xf numFmtId="0" fontId="15" fillId="0" borderId="0" xfId="2" applyFill="1" applyBorder="1"/>
    <xf numFmtId="0" fontId="4" fillId="0" borderId="62" xfId="0" applyFont="1" applyBorder="1" applyAlignment="1">
      <alignment horizontal="left" vertical="center" wrapText="1"/>
    </xf>
    <xf numFmtId="0" fontId="4" fillId="0" borderId="62" xfId="0" applyFont="1" applyBorder="1" applyAlignment="1">
      <alignment horizontal="left" vertical="center"/>
    </xf>
    <xf numFmtId="0" fontId="8" fillId="0" borderId="0" xfId="0" applyFont="1" applyAlignment="1">
      <alignment horizontal="center"/>
    </xf>
    <xf numFmtId="0" fontId="8" fillId="0" borderId="7" xfId="0" applyFont="1" applyBorder="1" applyAlignment="1">
      <alignment horizontal="center"/>
    </xf>
    <xf numFmtId="0" fontId="8" fillId="0" borderId="18" xfId="0" applyFont="1" applyBorder="1" applyAlignment="1">
      <alignment horizontal="center"/>
    </xf>
    <xf numFmtId="0" fontId="8" fillId="0" borderId="19" xfId="0" applyFont="1" applyBorder="1" applyAlignment="1">
      <alignment horizontal="center"/>
    </xf>
    <xf numFmtId="0" fontId="8" fillId="0" borderId="33" xfId="0" applyFont="1" applyBorder="1" applyAlignment="1">
      <alignment vertical="top" wrapText="1"/>
    </xf>
    <xf numFmtId="0" fontId="8" fillId="0" borderId="31" xfId="0" applyFont="1" applyBorder="1" applyAlignment="1">
      <alignment vertical="top" wrapText="1"/>
    </xf>
    <xf numFmtId="0" fontId="8" fillId="0" borderId="34" xfId="0" applyFont="1" applyBorder="1" applyAlignment="1">
      <alignment vertical="top" wrapText="1"/>
    </xf>
    <xf numFmtId="0" fontId="8" fillId="0" borderId="33" xfId="0" applyFont="1" applyBorder="1" applyAlignment="1">
      <alignment horizontal="left" vertical="top" wrapText="1"/>
    </xf>
    <xf numFmtId="0" fontId="8" fillId="0" borderId="31" xfId="0" applyFont="1" applyBorder="1" applyAlignment="1">
      <alignment horizontal="left" vertical="top" wrapText="1"/>
    </xf>
    <xf numFmtId="0" fontId="8" fillId="0" borderId="34" xfId="0" applyFont="1" applyBorder="1" applyAlignment="1">
      <alignment horizontal="left" vertical="top" wrapText="1"/>
    </xf>
    <xf numFmtId="0" fontId="8" fillId="0" borderId="2" xfId="0" applyFont="1" applyBorder="1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0" fontId="8" fillId="0" borderId="3" xfId="0" applyFont="1" applyBorder="1" applyAlignment="1">
      <alignment horizontal="left" vertical="top" wrapText="1"/>
    </xf>
    <xf numFmtId="0" fontId="8" fillId="0" borderId="4" xfId="0" applyFont="1" applyBorder="1" applyAlignment="1">
      <alignment horizontal="left" vertical="top" wrapText="1"/>
    </xf>
    <xf numFmtId="0" fontId="8" fillId="0" borderId="7" xfId="0" applyFont="1" applyBorder="1" applyAlignment="1">
      <alignment horizontal="left" vertical="top" wrapText="1"/>
    </xf>
    <xf numFmtId="0" fontId="8" fillId="0" borderId="5" xfId="0" applyFont="1" applyBorder="1" applyAlignment="1">
      <alignment horizontal="left" vertical="top" wrapText="1"/>
    </xf>
    <xf numFmtId="168" fontId="8" fillId="0" borderId="1" xfId="0" applyNumberFormat="1" applyFont="1" applyBorder="1" applyAlignment="1">
      <alignment horizontal="center"/>
    </xf>
    <xf numFmtId="168" fontId="8" fillId="0" borderId="21" xfId="0" applyNumberFormat="1" applyFont="1" applyBorder="1" applyAlignment="1">
      <alignment horizontal="center"/>
    </xf>
    <xf numFmtId="0" fontId="8" fillId="0" borderId="2" xfId="0" applyFont="1" applyBorder="1" applyAlignment="1">
      <alignment vertical="top" wrapText="1"/>
    </xf>
    <xf numFmtId="0" fontId="8" fillId="0" borderId="0" xfId="0" applyFont="1" applyAlignment="1">
      <alignment vertical="top" wrapText="1"/>
    </xf>
    <xf numFmtId="0" fontId="8" fillId="0" borderId="3" xfId="0" applyFont="1" applyBorder="1" applyAlignment="1">
      <alignment vertical="top" wrapText="1"/>
    </xf>
    <xf numFmtId="0" fontId="8" fillId="0" borderId="1" xfId="0" applyFont="1" applyBorder="1" applyAlignment="1">
      <alignment horizontal="center"/>
    </xf>
    <xf numFmtId="0" fontId="8" fillId="0" borderId="21" xfId="0" applyFont="1" applyBorder="1" applyAlignment="1">
      <alignment horizontal="center"/>
    </xf>
    <xf numFmtId="0" fontId="15" fillId="0" borderId="4" xfId="2" applyBorder="1" applyAlignment="1">
      <alignment horizontal="left" vertical="top" wrapText="1"/>
    </xf>
    <xf numFmtId="0" fontId="9" fillId="0" borderId="7" xfId="0" applyFont="1" applyBorder="1" applyAlignment="1">
      <alignment horizontal="left" vertical="top" wrapText="1"/>
    </xf>
    <xf numFmtId="0" fontId="9" fillId="0" borderId="5" xfId="0" applyFont="1" applyBorder="1" applyAlignment="1">
      <alignment horizontal="left" vertical="top" wrapText="1"/>
    </xf>
    <xf numFmtId="0" fontId="8" fillId="0" borderId="23" xfId="0" applyFont="1" applyBorder="1" applyAlignment="1">
      <alignment horizontal="center"/>
    </xf>
    <xf numFmtId="0" fontId="8" fillId="0" borderId="24" xfId="0" applyFont="1" applyBorder="1" applyAlignment="1">
      <alignment horizontal="center"/>
    </xf>
    <xf numFmtId="0" fontId="6" fillId="2" borderId="30" xfId="0" applyFont="1" applyFill="1" applyBorder="1" applyAlignment="1">
      <alignment horizontal="center" vertical="center"/>
    </xf>
    <xf numFmtId="0" fontId="6" fillId="2" borderId="26" xfId="0" applyFont="1" applyFill="1" applyBorder="1" applyAlignment="1">
      <alignment horizontal="center" vertical="center"/>
    </xf>
    <xf numFmtId="0" fontId="8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 indent="1"/>
    </xf>
    <xf numFmtId="0" fontId="6" fillId="2" borderId="27" xfId="0" applyFont="1" applyFill="1" applyBorder="1" applyAlignment="1">
      <alignment horizontal="center" vertical="center"/>
    </xf>
    <xf numFmtId="0" fontId="8" fillId="0" borderId="15" xfId="0" applyFont="1" applyBorder="1" applyAlignment="1">
      <alignment horizontal="left"/>
    </xf>
    <xf numFmtId="0" fontId="8" fillId="0" borderId="16" xfId="0" applyFont="1" applyBorder="1" applyAlignment="1">
      <alignment horizontal="left"/>
    </xf>
    <xf numFmtId="0" fontId="8" fillId="0" borderId="12" xfId="0" applyFont="1" applyBorder="1" applyAlignment="1">
      <alignment horizontal="left"/>
    </xf>
    <xf numFmtId="0" fontId="8" fillId="0" borderId="13" xfId="0" applyFont="1" applyBorder="1" applyAlignment="1">
      <alignment horizontal="left"/>
    </xf>
    <xf numFmtId="0" fontId="8" fillId="0" borderId="4" xfId="0" applyFont="1" applyBorder="1" applyAlignment="1">
      <alignment horizontal="left"/>
    </xf>
    <xf numFmtId="0" fontId="8" fillId="0" borderId="5" xfId="0" applyFont="1" applyBorder="1" applyAlignment="1">
      <alignment horizontal="left"/>
    </xf>
    <xf numFmtId="0" fontId="8" fillId="0" borderId="14" xfId="0" applyFont="1" applyBorder="1" applyAlignment="1">
      <alignment horizontal="left"/>
    </xf>
    <xf numFmtId="0" fontId="6" fillId="0" borderId="14" xfId="0" applyFont="1" applyBorder="1" applyAlignment="1">
      <alignment horizontal="center"/>
    </xf>
    <xf numFmtId="0" fontId="3" fillId="0" borderId="1" xfId="0" applyFont="1" applyBorder="1"/>
    <xf numFmtId="0" fontId="4" fillId="0" borderId="1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0" fontId="0" fillId="4" borderId="1" xfId="0" applyFill="1" applyBorder="1" applyAlignment="1">
      <alignment horizontal="center"/>
    </xf>
    <xf numFmtId="0" fontId="4" fillId="2" borderId="1" xfId="0" applyFont="1" applyFill="1" applyBorder="1" applyAlignment="1">
      <alignment horizontal="left" vertical="center"/>
    </xf>
    <xf numFmtId="0" fontId="4" fillId="5" borderId="1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left" vertical="center"/>
    </xf>
    <xf numFmtId="0" fontId="0" fillId="0" borderId="1" xfId="0" applyBorder="1" applyAlignment="1">
      <alignment horizontal="left"/>
    </xf>
    <xf numFmtId="0" fontId="4" fillId="0" borderId="1" xfId="0" applyFont="1" applyBorder="1" applyAlignment="1">
      <alignment vertical="center"/>
    </xf>
    <xf numFmtId="0" fontId="0" fillId="0" borderId="28" xfId="0" applyBorder="1"/>
    <xf numFmtId="0" fontId="0" fillId="0" borderId="35" xfId="0" applyBorder="1"/>
    <xf numFmtId="0" fontId="0" fillId="0" borderId="29" xfId="0" applyBorder="1"/>
    <xf numFmtId="0" fontId="16" fillId="0" borderId="0" xfId="0" applyFont="1"/>
    <xf numFmtId="0" fontId="22" fillId="0" borderId="0" xfId="0" applyFont="1" applyAlignment="1">
      <alignment horizontal="center"/>
    </xf>
    <xf numFmtId="0" fontId="50" fillId="0" borderId="62" xfId="0" applyFont="1" applyBorder="1" applyAlignment="1">
      <alignment horizontal="center"/>
    </xf>
    <xf numFmtId="0" fontId="8" fillId="0" borderId="0" xfId="0" applyFont="1"/>
    <xf numFmtId="0" fontId="8" fillId="0" borderId="7" xfId="0" applyFont="1" applyBorder="1"/>
    <xf numFmtId="0" fontId="8" fillId="0" borderId="9" xfId="0" applyFont="1" applyBorder="1" applyAlignment="1">
      <alignment horizontal="left"/>
    </xf>
    <xf numFmtId="0" fontId="8" fillId="0" borderId="10" xfId="0" applyFont="1" applyBorder="1" applyAlignment="1">
      <alignment horizontal="left"/>
    </xf>
    <xf numFmtId="0" fontId="6" fillId="0" borderId="0" xfId="0" applyFont="1" applyAlignment="1">
      <alignment horizontal="left"/>
    </xf>
    <xf numFmtId="0" fontId="22" fillId="0" borderId="0" xfId="0" applyFont="1" applyAlignment="1">
      <alignment horizontal="left" indent="1"/>
    </xf>
    <xf numFmtId="0" fontId="6" fillId="0" borderId="31" xfId="0" applyFont="1" applyBorder="1" applyAlignment="1">
      <alignment horizontal="left" indent="1"/>
    </xf>
    <xf numFmtId="0" fontId="0" fillId="11" borderId="1" xfId="0" applyFill="1" applyBorder="1" applyAlignment="1">
      <alignment horizontal="center" vertical="center"/>
    </xf>
    <xf numFmtId="16" fontId="0" fillId="11" borderId="1" xfId="0" applyNumberFormat="1" applyFill="1" applyBorder="1" applyAlignment="1">
      <alignment horizontal="center"/>
    </xf>
    <xf numFmtId="0" fontId="0" fillId="11" borderId="1" xfId="0" applyFill="1" applyBorder="1" applyAlignment="1">
      <alignment horizontal="center" vertical="center" wrapText="1"/>
    </xf>
    <xf numFmtId="0" fontId="0" fillId="11" borderId="36" xfId="0" applyFill="1" applyBorder="1" applyAlignment="1">
      <alignment horizontal="center" vertical="center"/>
    </xf>
    <xf numFmtId="0" fontId="0" fillId="11" borderId="37" xfId="0" applyFill="1" applyBorder="1" applyAlignment="1">
      <alignment horizontal="center" vertical="center"/>
    </xf>
    <xf numFmtId="0" fontId="0" fillId="11" borderId="38" xfId="0" applyFill="1" applyBorder="1" applyAlignment="1">
      <alignment horizontal="center" vertical="center" wrapText="1"/>
    </xf>
    <xf numFmtId="0" fontId="0" fillId="11" borderId="39" xfId="0" applyFill="1" applyBorder="1" applyAlignment="1">
      <alignment horizontal="center" vertical="center" wrapText="1"/>
    </xf>
    <xf numFmtId="44" fontId="0" fillId="11" borderId="36" xfId="1" applyFont="1" applyFill="1" applyBorder="1" applyAlignment="1">
      <alignment horizontal="center" vertical="center" wrapText="1"/>
    </xf>
    <xf numFmtId="44" fontId="0" fillId="11" borderId="37" xfId="1" applyFont="1" applyFill="1" applyBorder="1" applyAlignment="1">
      <alignment horizontal="center" vertical="center" wrapText="1"/>
    </xf>
    <xf numFmtId="0" fontId="0" fillId="11" borderId="1" xfId="0" applyFill="1" applyBorder="1" applyAlignment="1">
      <alignment horizontal="center"/>
    </xf>
    <xf numFmtId="0" fontId="0" fillId="11" borderId="28" xfId="0" applyFill="1" applyBorder="1" applyAlignment="1">
      <alignment horizontal="center"/>
    </xf>
    <xf numFmtId="0" fontId="0" fillId="11" borderId="35" xfId="0" applyFill="1" applyBorder="1" applyAlignment="1">
      <alignment horizontal="center"/>
    </xf>
    <xf numFmtId="0" fontId="0" fillId="11" borderId="29" xfId="0" applyFill="1" applyBorder="1" applyAlignment="1">
      <alignment horizontal="center"/>
    </xf>
    <xf numFmtId="0" fontId="0" fillId="11" borderId="36" xfId="0" applyFill="1" applyBorder="1" applyAlignment="1">
      <alignment horizontal="center" vertical="center" wrapText="1"/>
    </xf>
    <xf numFmtId="0" fontId="0" fillId="11" borderId="37" xfId="0" applyFill="1" applyBorder="1" applyAlignment="1">
      <alignment horizontal="center" vertical="center" wrapText="1"/>
    </xf>
    <xf numFmtId="0" fontId="12" fillId="0" borderId="28" xfId="0" applyFont="1" applyBorder="1" applyAlignment="1">
      <alignment horizontal="left"/>
    </xf>
    <xf numFmtId="0" fontId="12" fillId="0" borderId="29" xfId="0" applyFont="1" applyBorder="1" applyAlignment="1">
      <alignment horizontal="left"/>
    </xf>
    <xf numFmtId="0" fontId="5" fillId="0" borderId="28" xfId="0" applyFont="1" applyBorder="1" applyAlignment="1">
      <alignment horizontal="left"/>
    </xf>
    <xf numFmtId="0" fontId="5" fillId="0" borderId="29" xfId="0" applyFont="1" applyBorder="1" applyAlignment="1">
      <alignment horizontal="left"/>
    </xf>
    <xf numFmtId="0" fontId="12" fillId="0" borderId="28" xfId="0" applyFont="1" applyBorder="1"/>
    <xf numFmtId="0" fontId="12" fillId="0" borderId="29" xfId="0" applyFont="1" applyBorder="1"/>
    <xf numFmtId="0" fontId="0" fillId="0" borderId="1" xfId="0" applyBorder="1"/>
    <xf numFmtId="0" fontId="12" fillId="0" borderId="1" xfId="0" applyFont="1" applyBorder="1" applyAlignment="1">
      <alignment horizontal="left"/>
    </xf>
    <xf numFmtId="0" fontId="12" fillId="0" borderId="1" xfId="0" applyFont="1" applyBorder="1"/>
    <xf numFmtId="0" fontId="12" fillId="0" borderId="0" xfId="0" applyFont="1" applyAlignment="1">
      <alignment horizontal="center"/>
    </xf>
    <xf numFmtId="0" fontId="5" fillId="0" borderId="28" xfId="0" applyFont="1" applyBorder="1"/>
    <xf numFmtId="0" fontId="5" fillId="0" borderId="29" xfId="0" applyFont="1" applyBorder="1"/>
    <xf numFmtId="0" fontId="0" fillId="0" borderId="1" xfId="0" applyBorder="1" applyAlignment="1">
      <alignment horizontal="center"/>
    </xf>
    <xf numFmtId="0" fontId="45" fillId="0" borderId="1" xfId="0" applyFont="1" applyBorder="1"/>
    <xf numFmtId="0" fontId="31" fillId="0" borderId="1" xfId="0" applyFont="1" applyBorder="1" applyAlignment="1">
      <alignment horizontal="center"/>
    </xf>
    <xf numFmtId="0" fontId="31" fillId="0" borderId="1" xfId="0" applyFont="1" applyBorder="1" applyAlignment="1">
      <alignment horizontal="left"/>
    </xf>
    <xf numFmtId="0" fontId="30" fillId="3" borderId="1" xfId="0" applyFont="1" applyFill="1" applyBorder="1" applyAlignment="1">
      <alignment horizontal="center"/>
    </xf>
    <xf numFmtId="0" fontId="28" fillId="0" borderId="1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left"/>
    </xf>
    <xf numFmtId="0" fontId="22" fillId="0" borderId="0" xfId="0" applyFont="1" applyAlignment="1">
      <alignment horizontal="left"/>
    </xf>
    <xf numFmtId="14" fontId="8" fillId="0" borderId="1" xfId="0" applyNumberFormat="1" applyFont="1" applyBorder="1" applyAlignment="1">
      <alignment horizontal="center"/>
    </xf>
    <xf numFmtId="0" fontId="9" fillId="0" borderId="4" xfId="0" applyFont="1" applyBorder="1" applyAlignment="1">
      <alignment horizontal="left" vertical="top" wrapText="1"/>
    </xf>
    <xf numFmtId="44" fontId="16" fillId="6" borderId="0" xfId="1" applyFont="1" applyFill="1" applyBorder="1" applyAlignment="1">
      <alignment horizontal="center"/>
    </xf>
    <xf numFmtId="44" fontId="16" fillId="6" borderId="3" xfId="1" applyFont="1" applyFill="1" applyBorder="1" applyAlignment="1">
      <alignment horizontal="center"/>
    </xf>
    <xf numFmtId="0" fontId="18" fillId="0" borderId="0" xfId="0" applyFont="1"/>
    <xf numFmtId="0" fontId="8" fillId="0" borderId="14" xfId="0" applyFont="1" applyBorder="1"/>
    <xf numFmtId="0" fontId="6" fillId="0" borderId="7" xfId="0" applyFont="1" applyBorder="1" applyAlignment="1">
      <alignment horizontal="center"/>
    </xf>
    <xf numFmtId="0" fontId="26" fillId="0" borderId="0" xfId="0" applyFont="1"/>
    <xf numFmtId="0" fontId="6" fillId="0" borderId="7" xfId="0" applyFont="1" applyBorder="1"/>
    <xf numFmtId="0" fontId="6" fillId="0" borderId="0" xfId="0" applyFont="1"/>
    <xf numFmtId="0" fontId="16" fillId="0" borderId="9" xfId="0" applyFont="1" applyBorder="1" applyAlignment="1">
      <alignment horizontal="left"/>
    </xf>
    <xf numFmtId="0" fontId="16" fillId="0" borderId="10" xfId="0" applyFont="1" applyBorder="1" applyAlignment="1">
      <alignment horizontal="left"/>
    </xf>
    <xf numFmtId="0" fontId="22" fillId="0" borderId="14" xfId="0" applyFont="1" applyBorder="1" applyAlignment="1">
      <alignment horizontal="center"/>
    </xf>
    <xf numFmtId="0" fontId="8" fillId="0" borderId="14" xfId="0" applyFont="1" applyBorder="1" applyAlignment="1">
      <alignment horizontal="center"/>
    </xf>
    <xf numFmtId="168" fontId="8" fillId="0" borderId="1" xfId="0" quotePrefix="1" applyNumberFormat="1" applyFont="1" applyBorder="1" applyAlignment="1">
      <alignment horizontal="center"/>
    </xf>
    <xf numFmtId="0" fontId="8" fillId="0" borderId="37" xfId="0" applyFont="1" applyBorder="1" applyAlignment="1">
      <alignment horizontal="center"/>
    </xf>
    <xf numFmtId="0" fontId="8" fillId="0" borderId="47" xfId="0" applyFont="1" applyBorder="1" applyAlignment="1">
      <alignment horizontal="center"/>
    </xf>
    <xf numFmtId="0" fontId="9" fillId="0" borderId="0" xfId="0" applyFont="1" applyAlignment="1">
      <alignment horizontal="left"/>
    </xf>
    <xf numFmtId="0" fontId="9" fillId="0" borderId="33" xfId="0" applyFont="1" applyBorder="1" applyAlignment="1">
      <alignment vertical="top" wrapText="1"/>
    </xf>
    <xf numFmtId="0" fontId="9" fillId="0" borderId="31" xfId="0" applyFont="1" applyBorder="1" applyAlignment="1">
      <alignment vertical="top" wrapText="1"/>
    </xf>
    <xf numFmtId="0" fontId="9" fillId="0" borderId="34" xfId="0" applyFont="1" applyBorder="1" applyAlignment="1">
      <alignment vertical="top" wrapText="1"/>
    </xf>
    <xf numFmtId="0" fontId="26" fillId="0" borderId="0" xfId="0" applyFont="1" applyAlignment="1">
      <alignment horizontal="left"/>
    </xf>
    <xf numFmtId="0" fontId="8" fillId="0" borderId="31" xfId="0" applyFont="1" applyBorder="1" applyAlignment="1">
      <alignment horizontal="left"/>
    </xf>
    <xf numFmtId="0" fontId="8" fillId="0" borderId="60" xfId="0" applyFont="1" applyBorder="1" applyAlignment="1">
      <alignment horizontal="left"/>
    </xf>
    <xf numFmtId="0" fontId="8" fillId="0" borderId="61" xfId="0" applyFont="1" applyBorder="1" applyAlignment="1">
      <alignment horizontal="left"/>
    </xf>
    <xf numFmtId="0" fontId="20" fillId="0" borderId="0" xfId="0" applyFont="1" applyAlignment="1">
      <alignment horizontal="left"/>
    </xf>
    <xf numFmtId="0" fontId="8" fillId="0" borderId="7" xfId="0" applyFont="1" applyBorder="1" applyAlignment="1">
      <alignment horizontal="left"/>
    </xf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left" indent="1"/>
    </xf>
    <xf numFmtId="0" fontId="18" fillId="0" borderId="31" xfId="0" applyFont="1" applyBorder="1" applyAlignment="1">
      <alignment horizontal="left"/>
    </xf>
    <xf numFmtId="0" fontId="22" fillId="0" borderId="0" xfId="0" applyFont="1"/>
    <xf numFmtId="0" fontId="16" fillId="0" borderId="0" xfId="0" applyFont="1" applyAlignment="1">
      <alignment horizontal="left"/>
    </xf>
    <xf numFmtId="0" fontId="16" fillId="0" borderId="7" xfId="0" applyFont="1" applyBorder="1"/>
    <xf numFmtId="0" fontId="9" fillId="3" borderId="0" xfId="0" applyFont="1" applyFill="1" applyAlignment="1">
      <alignment horizontal="center"/>
    </xf>
    <xf numFmtId="0" fontId="54" fillId="0" borderId="0" xfId="0" applyFont="1"/>
    <xf numFmtId="0" fontId="6" fillId="2" borderId="42" xfId="0" applyFont="1" applyFill="1" applyBorder="1" applyAlignment="1">
      <alignment horizontal="center" vertical="center"/>
    </xf>
    <xf numFmtId="0" fontId="22" fillId="0" borderId="31" xfId="0" applyFont="1" applyBorder="1" applyAlignment="1">
      <alignment horizontal="left" indent="1"/>
    </xf>
    <xf numFmtId="0" fontId="18" fillId="0" borderId="7" xfId="0" applyFont="1" applyBorder="1" applyAlignment="1">
      <alignment horizontal="center"/>
    </xf>
    <xf numFmtId="0" fontId="17" fillId="0" borderId="2" xfId="0" applyFont="1" applyBorder="1" applyAlignment="1">
      <alignment vertical="top" wrapText="1"/>
    </xf>
    <xf numFmtId="0" fontId="17" fillId="0" borderId="0" xfId="0" applyFont="1" applyAlignment="1">
      <alignment vertical="top" wrapText="1"/>
    </xf>
    <xf numFmtId="0" fontId="17" fillId="0" borderId="3" xfId="0" applyFont="1" applyBorder="1" applyAlignment="1">
      <alignment vertical="top" wrapText="1"/>
    </xf>
    <xf numFmtId="0" fontId="6" fillId="2" borderId="0" xfId="0" applyFont="1" applyFill="1" applyAlignment="1">
      <alignment horizontal="center"/>
    </xf>
    <xf numFmtId="0" fontId="8" fillId="0" borderId="49" xfId="0" applyFont="1" applyBorder="1" applyAlignment="1">
      <alignment horizontal="center"/>
    </xf>
    <xf numFmtId="0" fontId="8" fillId="0" borderId="50" xfId="0" applyFont="1" applyBorder="1" applyAlignment="1">
      <alignment horizontal="center"/>
    </xf>
    <xf numFmtId="0" fontId="9" fillId="3" borderId="0" xfId="0" applyFont="1" applyFill="1" applyAlignment="1">
      <alignment horizontal="left"/>
    </xf>
    <xf numFmtId="167" fontId="8" fillId="0" borderId="28" xfId="0" applyNumberFormat="1" applyFont="1" applyBorder="1" applyAlignment="1">
      <alignment horizontal="center"/>
    </xf>
    <xf numFmtId="167" fontId="8" fillId="0" borderId="59" xfId="0" applyNumberFormat="1" applyFont="1" applyBorder="1" applyAlignment="1">
      <alignment horizontal="center"/>
    </xf>
    <xf numFmtId="0" fontId="8" fillId="0" borderId="28" xfId="0" applyFont="1" applyBorder="1" applyAlignment="1">
      <alignment horizontal="center"/>
    </xf>
    <xf numFmtId="0" fontId="8" fillId="0" borderId="59" xfId="0" applyFont="1" applyBorder="1" applyAlignment="1">
      <alignment horizontal="center"/>
    </xf>
    <xf numFmtId="0" fontId="8" fillId="0" borderId="31" xfId="0" applyFont="1" applyBorder="1"/>
    <xf numFmtId="168" fontId="8" fillId="0" borderId="28" xfId="0" applyNumberFormat="1" applyFont="1" applyBorder="1" applyAlignment="1">
      <alignment horizontal="center"/>
    </xf>
    <xf numFmtId="168" fontId="8" fillId="0" borderId="59" xfId="0" applyNumberFormat="1" applyFont="1" applyBorder="1" applyAlignment="1">
      <alignment horizontal="center"/>
    </xf>
    <xf numFmtId="0" fontId="9" fillId="6" borderId="0" xfId="0" applyFont="1" applyFill="1" applyAlignment="1">
      <alignment horizontal="left"/>
    </xf>
    <xf numFmtId="0" fontId="18" fillId="0" borderId="0" xfId="0" applyFont="1" applyAlignment="1">
      <alignment horizontal="center"/>
    </xf>
    <xf numFmtId="0" fontId="18" fillId="2" borderId="30" xfId="0" applyFont="1" applyFill="1" applyBorder="1" applyAlignment="1">
      <alignment horizontal="center" vertical="center"/>
    </xf>
    <xf numFmtId="0" fontId="18" fillId="2" borderId="26" xfId="0" applyFont="1" applyFill="1" applyBorder="1" applyAlignment="1">
      <alignment horizontal="center" vertical="center"/>
    </xf>
    <xf numFmtId="44" fontId="16" fillId="0" borderId="0" xfId="1" applyFont="1" applyFill="1" applyBorder="1" applyAlignment="1">
      <alignment horizontal="center"/>
    </xf>
    <xf numFmtId="44" fontId="16" fillId="0" borderId="3" xfId="1" applyFont="1" applyFill="1" applyBorder="1" applyAlignment="1">
      <alignment horizontal="center"/>
    </xf>
    <xf numFmtId="0" fontId="9" fillId="0" borderId="2" xfId="0" applyFont="1" applyBorder="1" applyAlignment="1">
      <alignment vertical="top" wrapText="1"/>
    </xf>
    <xf numFmtId="0" fontId="9" fillId="0" borderId="0" xfId="0" applyFont="1" applyAlignment="1">
      <alignment vertical="top" wrapText="1"/>
    </xf>
    <xf numFmtId="0" fontId="9" fillId="0" borderId="3" xfId="0" applyFont="1" applyBorder="1" applyAlignment="1">
      <alignment vertical="top" wrapText="1"/>
    </xf>
    <xf numFmtId="0" fontId="6" fillId="2" borderId="12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/>
    </xf>
    <xf numFmtId="0" fontId="8" fillId="3" borderId="0" xfId="0" applyFont="1" applyFill="1"/>
    <xf numFmtId="0" fontId="6" fillId="3" borderId="0" xfId="0" applyFont="1" applyFill="1" applyAlignment="1">
      <alignment horizontal="center"/>
    </xf>
    <xf numFmtId="0" fontId="17" fillId="0" borderId="33" xfId="0" applyFont="1" applyBorder="1" applyAlignment="1">
      <alignment horizontal="left" vertical="top" wrapText="1"/>
    </xf>
    <xf numFmtId="0" fontId="17" fillId="0" borderId="31" xfId="0" applyFont="1" applyBorder="1" applyAlignment="1">
      <alignment horizontal="left" vertical="top" wrapText="1"/>
    </xf>
    <xf numFmtId="0" fontId="17" fillId="0" borderId="34" xfId="0" applyFont="1" applyBorder="1" applyAlignment="1">
      <alignment horizontal="left" vertical="top" wrapText="1"/>
    </xf>
    <xf numFmtId="0" fontId="17" fillId="0" borderId="2" xfId="0" applyFont="1" applyBorder="1" applyAlignment="1">
      <alignment horizontal="left" vertical="top" wrapText="1"/>
    </xf>
    <xf numFmtId="0" fontId="17" fillId="0" borderId="0" xfId="0" applyFont="1" applyAlignment="1">
      <alignment horizontal="left" vertical="top" wrapText="1"/>
    </xf>
    <xf numFmtId="0" fontId="17" fillId="0" borderId="3" xfId="0" applyFont="1" applyBorder="1" applyAlignment="1">
      <alignment horizontal="left" vertical="top" wrapText="1"/>
    </xf>
    <xf numFmtId="0" fontId="17" fillId="0" borderId="4" xfId="0" applyFont="1" applyBorder="1" applyAlignment="1">
      <alignment horizontal="left" vertical="top" wrapText="1"/>
    </xf>
    <xf numFmtId="0" fontId="17" fillId="0" borderId="7" xfId="0" applyFont="1" applyBorder="1" applyAlignment="1">
      <alignment horizontal="left" vertical="top" wrapText="1"/>
    </xf>
    <xf numFmtId="0" fontId="17" fillId="0" borderId="5" xfId="0" applyFont="1" applyBorder="1" applyAlignment="1">
      <alignment horizontal="left" vertical="top" wrapText="1"/>
    </xf>
    <xf numFmtId="0" fontId="8" fillId="3" borderId="0" xfId="0" applyFont="1" applyFill="1" applyAlignment="1">
      <alignment horizontal="center"/>
    </xf>
    <xf numFmtId="0" fontId="8" fillId="0" borderId="31" xfId="0" applyFont="1" applyBorder="1" applyAlignment="1">
      <alignment horizontal="center"/>
    </xf>
    <xf numFmtId="0" fontId="6" fillId="2" borderId="32" xfId="0" applyFont="1" applyFill="1" applyBorder="1" applyAlignment="1">
      <alignment horizontal="center" vertical="center"/>
    </xf>
  </cellXfs>
  <cellStyles count="4">
    <cellStyle name="Currency" xfId="1" builtinId="4"/>
    <cellStyle name="Hyperlink" xfId="2" builtinId="8"/>
    <cellStyle name="Normal" xfId="0" builtinId="0"/>
    <cellStyle name="Percent" xfId="3" builtinId="5"/>
  </cellStyles>
  <dxfs count="15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CC66"/>
      <color rgb="FF996600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sheetMetadata" Target="metadata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calcChain" Target="calcChain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styles" Target="styles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sharedStrings" Target="sharedStrings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externalLink" Target="externalLinks/externalLink1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2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theme" Target="theme/theme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1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1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1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1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1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1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1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1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1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1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1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1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1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1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1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1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1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1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1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1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1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539750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E9AAC3-C282-41C5-A92D-834AD4877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6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EDF2F8-ED79-4CC9-B67E-C11236A90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0</xdr:rowOff>
    </xdr:from>
    <xdr:to>
      <xdr:col>11</xdr:col>
      <xdr:colOff>501650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3E1FA55-FD28-F42D-187B-43CD95DFE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374650</xdr:colOff>
      <xdr:row>0</xdr:row>
      <xdr:rowOff>0</xdr:rowOff>
    </xdr:from>
    <xdr:to>
      <xdr:col>11</xdr:col>
      <xdr:colOff>508000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69F4DD7-893A-3592-0153-79308CF0A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09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425450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11B829D-CD29-A540-577A-6AFD577B9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425450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B4D0F4-3A53-43B2-B0F9-A8269D860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311150</xdr:colOff>
      <xdr:row>0</xdr:row>
      <xdr:rowOff>0</xdr:rowOff>
    </xdr:from>
    <xdr:to>
      <xdr:col>11</xdr:col>
      <xdr:colOff>577850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7C6DF39-EACA-0CD2-75FA-3C0A54A2D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482600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896C0CE-DFF2-834D-AA6C-C51E898F5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469900</xdr:colOff>
      <xdr:row>0</xdr:row>
      <xdr:rowOff>0</xdr:rowOff>
    </xdr:from>
    <xdr:to>
      <xdr:col>11</xdr:col>
      <xdr:colOff>425450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897B39F-9A55-FA0D-3658-01DA4E48E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0</xdr:rowOff>
    </xdr:from>
    <xdr:to>
      <xdr:col>11</xdr:col>
      <xdr:colOff>539750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8BBC1C6-6314-2C66-4F03-696EA1CB1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368300</xdr:colOff>
      <xdr:row>0</xdr:row>
      <xdr:rowOff>0</xdr:rowOff>
    </xdr:from>
    <xdr:to>
      <xdr:col>11</xdr:col>
      <xdr:colOff>501650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8EA754-0C51-313C-AE93-75EC65E6F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6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342900</xdr:colOff>
      <xdr:row>0</xdr:row>
      <xdr:rowOff>12700</xdr:rowOff>
    </xdr:from>
    <xdr:to>
      <xdr:col>11</xdr:col>
      <xdr:colOff>539750</xdr:colOff>
      <xdr:row>7</xdr:row>
      <xdr:rowOff>218852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46254FD-F962-CA18-846A-6BC4F4E93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12700"/>
          <a:ext cx="7772400" cy="185080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79DC70-6532-454D-B2DC-02B897679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0</xdr:rowOff>
    </xdr:from>
    <xdr:to>
      <xdr:col>11</xdr:col>
      <xdr:colOff>558800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E82B883-6357-8887-621E-8BCF7CE8A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342900</xdr:colOff>
      <xdr:row>0</xdr:row>
      <xdr:rowOff>0</xdr:rowOff>
    </xdr:from>
    <xdr:to>
      <xdr:col>11</xdr:col>
      <xdr:colOff>539750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680AAFE-68E0-40EE-300B-F4E394EE9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463550</xdr:colOff>
      <xdr:row>7</xdr:row>
      <xdr:rowOff>206152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9312A31-8841-9C53-4341-0E17961BD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349250</xdr:colOff>
      <xdr:row>0</xdr:row>
      <xdr:rowOff>0</xdr:rowOff>
    </xdr:from>
    <xdr:to>
      <xdr:col>11</xdr:col>
      <xdr:colOff>527050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6374438-957E-F46F-0D18-424A1BBA3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241300</xdr:colOff>
      <xdr:row>0</xdr:row>
      <xdr:rowOff>0</xdr:rowOff>
    </xdr:from>
    <xdr:to>
      <xdr:col>11</xdr:col>
      <xdr:colOff>603250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B5E99A8-022E-7C1D-9200-4F00EBD4B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6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431800</xdr:colOff>
      <xdr:row>0</xdr:row>
      <xdr:rowOff>0</xdr:rowOff>
    </xdr:from>
    <xdr:to>
      <xdr:col>11</xdr:col>
      <xdr:colOff>450850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3437363-1056-FD14-8B76-96B8A3610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81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311150</xdr:colOff>
      <xdr:row>0</xdr:row>
      <xdr:rowOff>0</xdr:rowOff>
    </xdr:from>
    <xdr:to>
      <xdr:col>11</xdr:col>
      <xdr:colOff>577850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7BD1D0E-98C9-F3AC-3C9A-56B9551C4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0</xdr:rowOff>
    </xdr:from>
    <xdr:to>
      <xdr:col>11</xdr:col>
      <xdr:colOff>571500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E71B278-F423-76F9-C742-1121127E9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1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7F3B8B3-DBDD-4904-9BDC-E104ACA747DF}"/>
            </a:ext>
          </a:extLst>
        </xdr:cNvPr>
        <xdr:cNvGrpSpPr/>
      </xdr:nvGrpSpPr>
      <xdr:grpSpPr>
        <a:xfrm>
          <a:off x="2406312" y="74381"/>
          <a:ext cx="6528137" cy="1675459"/>
          <a:chOff x="1936412" y="131531"/>
          <a:chExt cx="6656021" cy="1675459"/>
        </a:xfrm>
      </xdr:grpSpPr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EC7AD85C-9B24-4D1B-9A38-2D032AA41B79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32F13AA7-9504-4F38-B24E-BE53D2BD4DB7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5" name="Graphic 4" descr="Telephone outline">
            <a:extLst>
              <a:ext uri="{FF2B5EF4-FFF2-40B4-BE49-F238E27FC236}">
                <a16:creationId xmlns:a16="http://schemas.microsoft.com/office/drawing/2014/main" id="{7D7C480B-4CFF-4CE6-BD4C-3915A1BB6D4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6" name="Graphic 5" descr="Smart Phone outline">
            <a:extLst>
              <a:ext uri="{FF2B5EF4-FFF2-40B4-BE49-F238E27FC236}">
                <a16:creationId xmlns:a16="http://schemas.microsoft.com/office/drawing/2014/main" id="{6061C196-8C34-41A2-9CFA-1070E3A0253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7" name="Graphic 6" descr="Printer outline">
            <a:extLst>
              <a:ext uri="{FF2B5EF4-FFF2-40B4-BE49-F238E27FC236}">
                <a16:creationId xmlns:a16="http://schemas.microsoft.com/office/drawing/2014/main" id="{7A7D053F-1A14-4C20-B8E5-3D4C7206C49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190500</xdr:rowOff>
    </xdr:from>
    <xdr:to>
      <xdr:col>10</xdr:col>
      <xdr:colOff>507286</xdr:colOff>
      <xdr:row>7</xdr:row>
      <xdr:rowOff>88707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2156BE2-466C-4D97-822D-1A1DAE5CC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90500"/>
          <a:ext cx="5714286" cy="1542857"/>
        </a:xfrm>
        <a:prstGeom prst="rect">
          <a:avLst/>
        </a:prstGeom>
      </xdr:spPr>
    </xdr:pic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254000</xdr:colOff>
      <xdr:row>0</xdr:row>
      <xdr:rowOff>0</xdr:rowOff>
    </xdr:from>
    <xdr:to>
      <xdr:col>11</xdr:col>
      <xdr:colOff>622300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5B25C3D-4B9B-9AB9-0227-48958F719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3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FA4FF5-199D-4764-A066-4072F1ADB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355600</xdr:colOff>
      <xdr:row>0</xdr:row>
      <xdr:rowOff>0</xdr:rowOff>
    </xdr:from>
    <xdr:to>
      <xdr:col>11</xdr:col>
      <xdr:colOff>508000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4D5B246-072C-D716-023A-5D6439F9C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279400</xdr:colOff>
      <xdr:row>0</xdr:row>
      <xdr:rowOff>0</xdr:rowOff>
    </xdr:from>
    <xdr:to>
      <xdr:col>11</xdr:col>
      <xdr:colOff>615950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F3175B4-4D7B-D960-BA25-DCE1DB76A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5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393700</xdr:colOff>
      <xdr:row>0</xdr:row>
      <xdr:rowOff>0</xdr:rowOff>
    </xdr:from>
    <xdr:to>
      <xdr:col>11</xdr:col>
      <xdr:colOff>514350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99F0D1B-B2C9-BF33-1DF4-D5B4AB9C5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819150</xdr:colOff>
      <xdr:row>0</xdr:row>
      <xdr:rowOff>209550</xdr:rowOff>
    </xdr:from>
    <xdr:to>
      <xdr:col>10</xdr:col>
      <xdr:colOff>278686</xdr:colOff>
      <xdr:row>7</xdr:row>
      <xdr:rowOff>107757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35A84A-AB13-49E0-8639-E32A1F83D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0" y="209550"/>
          <a:ext cx="5714286" cy="1542857"/>
        </a:xfrm>
        <a:prstGeom prst="rect">
          <a:avLst/>
        </a:prstGeom>
      </xdr:spPr>
    </xdr:pic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819150</xdr:colOff>
      <xdr:row>0</xdr:row>
      <xdr:rowOff>209550</xdr:rowOff>
    </xdr:from>
    <xdr:to>
      <xdr:col>10</xdr:col>
      <xdr:colOff>278686</xdr:colOff>
      <xdr:row>7</xdr:row>
      <xdr:rowOff>107757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367132-348B-4982-9F2A-EBAFCD56D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0" y="209550"/>
          <a:ext cx="5714286" cy="1542857"/>
        </a:xfrm>
        <a:prstGeom prst="rect">
          <a:avLst/>
        </a:prstGeom>
      </xdr:spPr>
    </xdr:pic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819150</xdr:colOff>
      <xdr:row>0</xdr:row>
      <xdr:rowOff>209550</xdr:rowOff>
    </xdr:from>
    <xdr:to>
      <xdr:col>10</xdr:col>
      <xdr:colOff>412036</xdr:colOff>
      <xdr:row>7</xdr:row>
      <xdr:rowOff>107757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A22284-61CA-4030-92D9-1DC64AA6E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0" y="209550"/>
          <a:ext cx="5714286" cy="1542857"/>
        </a:xfrm>
        <a:prstGeom prst="rect">
          <a:avLst/>
        </a:prstGeom>
      </xdr:spPr>
    </xdr:pic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819150</xdr:colOff>
      <xdr:row>0</xdr:row>
      <xdr:rowOff>209550</xdr:rowOff>
    </xdr:from>
    <xdr:to>
      <xdr:col>10</xdr:col>
      <xdr:colOff>780336</xdr:colOff>
      <xdr:row>7</xdr:row>
      <xdr:rowOff>107757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F58705-C5AD-423E-93BB-7A5F49219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0" y="209550"/>
          <a:ext cx="5714286" cy="1542857"/>
        </a:xfrm>
        <a:prstGeom prst="rect">
          <a:avLst/>
        </a:prstGeom>
      </xdr:spPr>
    </xdr:pic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38E769A7-9117-46E4-B240-A5DF65B0B002}"/>
            </a:ext>
          </a:extLst>
        </xdr:cNvPr>
        <xdr:cNvGrpSpPr/>
      </xdr:nvGrpSpPr>
      <xdr:grpSpPr>
        <a:xfrm>
          <a:off x="2406312" y="74381"/>
          <a:ext cx="6636087" cy="1675459"/>
          <a:chOff x="1936412" y="131531"/>
          <a:chExt cx="6656021" cy="1675459"/>
        </a:xfrm>
      </xdr:grpSpPr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409FB2A1-885D-49AE-AC9D-87554F9A854E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4CA9B681-32C7-4D73-8A23-9AA8727A59CF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5" name="Graphic 4" descr="Telephone outline">
            <a:extLst>
              <a:ext uri="{FF2B5EF4-FFF2-40B4-BE49-F238E27FC236}">
                <a16:creationId xmlns:a16="http://schemas.microsoft.com/office/drawing/2014/main" id="{D64157A7-DE94-4A79-BE42-DA345704AFF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6" name="Graphic 5" descr="Smart Phone outline">
            <a:extLst>
              <a:ext uri="{FF2B5EF4-FFF2-40B4-BE49-F238E27FC236}">
                <a16:creationId xmlns:a16="http://schemas.microsoft.com/office/drawing/2014/main" id="{791C0D74-973C-4451-A9E2-D3A2085C123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7" name="Graphic 6" descr="Printer outline">
            <a:extLst>
              <a:ext uri="{FF2B5EF4-FFF2-40B4-BE49-F238E27FC236}">
                <a16:creationId xmlns:a16="http://schemas.microsoft.com/office/drawing/2014/main" id="{1DFD379C-E96A-4CDF-B7A4-4EA60EFD32A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190500</xdr:rowOff>
    </xdr:from>
    <xdr:to>
      <xdr:col>10</xdr:col>
      <xdr:colOff>539036</xdr:colOff>
      <xdr:row>7</xdr:row>
      <xdr:rowOff>88707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14AD187-DB0D-4026-8F18-F3CBEE649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90500"/>
          <a:ext cx="5714286" cy="1542857"/>
        </a:xfrm>
        <a:prstGeom prst="rect">
          <a:avLst/>
        </a:prstGeom>
      </xdr:spPr>
    </xdr:pic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DAAB8888-E173-4846-8EA6-E2D17C13B002}"/>
            </a:ext>
          </a:extLst>
        </xdr:cNvPr>
        <xdr:cNvGrpSpPr/>
      </xdr:nvGrpSpPr>
      <xdr:grpSpPr>
        <a:xfrm>
          <a:off x="2406312" y="74381"/>
          <a:ext cx="6623387" cy="1675459"/>
          <a:chOff x="1936412" y="131531"/>
          <a:chExt cx="6656021" cy="1675459"/>
        </a:xfrm>
      </xdr:grpSpPr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52400096-D9E6-4FAA-9B10-56A8582CDAE1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ABB2A197-8350-48A5-AE2B-0D1D100FCA59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5" name="Graphic 4" descr="Telephone outline">
            <a:extLst>
              <a:ext uri="{FF2B5EF4-FFF2-40B4-BE49-F238E27FC236}">
                <a16:creationId xmlns:a16="http://schemas.microsoft.com/office/drawing/2014/main" id="{733FAFF0-44C5-4586-844C-890D71F65F4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6" name="Graphic 5" descr="Smart Phone outline">
            <a:extLst>
              <a:ext uri="{FF2B5EF4-FFF2-40B4-BE49-F238E27FC236}">
                <a16:creationId xmlns:a16="http://schemas.microsoft.com/office/drawing/2014/main" id="{85D6379C-5E8F-4987-BBD4-E439E01F007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7" name="Graphic 6" descr="Printer outline">
            <a:extLst>
              <a:ext uri="{FF2B5EF4-FFF2-40B4-BE49-F238E27FC236}">
                <a16:creationId xmlns:a16="http://schemas.microsoft.com/office/drawing/2014/main" id="{FD115E90-BFE6-4234-9B1E-6CB8332D85A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190500</xdr:rowOff>
    </xdr:from>
    <xdr:to>
      <xdr:col>10</xdr:col>
      <xdr:colOff>412036</xdr:colOff>
      <xdr:row>7</xdr:row>
      <xdr:rowOff>88707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9FCA591-A488-4339-A355-BFBCE1BBE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90500"/>
          <a:ext cx="5714286" cy="1542857"/>
        </a:xfrm>
        <a:prstGeom prst="rect">
          <a:avLst/>
        </a:prstGeom>
      </xdr:spPr>
    </xdr:pic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583265BC-1601-4F7D-A50F-096394B9C220}"/>
            </a:ext>
          </a:extLst>
        </xdr:cNvPr>
        <xdr:cNvGrpSpPr/>
      </xdr:nvGrpSpPr>
      <xdr:grpSpPr>
        <a:xfrm>
          <a:off x="2406312" y="74381"/>
          <a:ext cx="6617037" cy="1675459"/>
          <a:chOff x="1936412" y="131531"/>
          <a:chExt cx="6656021" cy="1675459"/>
        </a:xfrm>
      </xdr:grpSpPr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F92253FB-3FE1-4293-9CF3-9400E37410D7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0D04DB88-9F7D-4312-A1E5-2D4733655B39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5" name="Graphic 4" descr="Telephone outline">
            <a:extLst>
              <a:ext uri="{FF2B5EF4-FFF2-40B4-BE49-F238E27FC236}">
                <a16:creationId xmlns:a16="http://schemas.microsoft.com/office/drawing/2014/main" id="{9DB21E70-C8B6-4390-93BD-C7874A25AE6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6" name="Graphic 5" descr="Smart Phone outline">
            <a:extLst>
              <a:ext uri="{FF2B5EF4-FFF2-40B4-BE49-F238E27FC236}">
                <a16:creationId xmlns:a16="http://schemas.microsoft.com/office/drawing/2014/main" id="{D16FA7A1-2A77-4117-AAC4-37B7A73F594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7" name="Graphic 6" descr="Printer outline">
            <a:extLst>
              <a:ext uri="{FF2B5EF4-FFF2-40B4-BE49-F238E27FC236}">
                <a16:creationId xmlns:a16="http://schemas.microsoft.com/office/drawing/2014/main" id="{D0556C7C-F384-4F31-ABF3-4589E6574C9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190500</xdr:rowOff>
    </xdr:from>
    <xdr:to>
      <xdr:col>10</xdr:col>
      <xdr:colOff>418386</xdr:colOff>
      <xdr:row>7</xdr:row>
      <xdr:rowOff>88707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F17A93C-0AC0-4FB1-806D-1458D4ED1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90500"/>
          <a:ext cx="5714286" cy="154285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469900</xdr:colOff>
      <xdr:row>0</xdr:row>
      <xdr:rowOff>0</xdr:rowOff>
    </xdr:from>
    <xdr:to>
      <xdr:col>11</xdr:col>
      <xdr:colOff>400050</xdr:colOff>
      <xdr:row>7</xdr:row>
      <xdr:rowOff>206152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1BE0614-C3DD-5627-72DF-2C170F56E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A543BA46-C789-4A50-A9C8-A841EF1A53F5}"/>
            </a:ext>
          </a:extLst>
        </xdr:cNvPr>
        <xdr:cNvGrpSpPr/>
      </xdr:nvGrpSpPr>
      <xdr:grpSpPr>
        <a:xfrm>
          <a:off x="2406312" y="74381"/>
          <a:ext cx="6528137" cy="1675459"/>
          <a:chOff x="1936412" y="131531"/>
          <a:chExt cx="6656021" cy="1675459"/>
        </a:xfrm>
      </xdr:grpSpPr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86A88F43-A039-4303-94D7-39A94E2DD59D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DFACA0C2-F927-4CA7-A6AB-41AE592B866F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5" name="Graphic 4" descr="Telephone outline">
            <a:extLst>
              <a:ext uri="{FF2B5EF4-FFF2-40B4-BE49-F238E27FC236}">
                <a16:creationId xmlns:a16="http://schemas.microsoft.com/office/drawing/2014/main" id="{431DCC0C-0B87-4783-BA56-63E6A610BED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6" name="Graphic 5" descr="Smart Phone outline">
            <a:extLst>
              <a:ext uri="{FF2B5EF4-FFF2-40B4-BE49-F238E27FC236}">
                <a16:creationId xmlns:a16="http://schemas.microsoft.com/office/drawing/2014/main" id="{2F5A48BE-F91D-40A7-A73A-8E7CDF4ABCB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7" name="Graphic 6" descr="Printer outline">
            <a:extLst>
              <a:ext uri="{FF2B5EF4-FFF2-40B4-BE49-F238E27FC236}">
                <a16:creationId xmlns:a16="http://schemas.microsoft.com/office/drawing/2014/main" id="{58BBF4A1-E82B-4BB7-A131-2FDE90D73E3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190500</xdr:rowOff>
    </xdr:from>
    <xdr:to>
      <xdr:col>10</xdr:col>
      <xdr:colOff>507286</xdr:colOff>
      <xdr:row>7</xdr:row>
      <xdr:rowOff>88707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985E5BC-90E6-43D3-98A6-6E167CA80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90500"/>
          <a:ext cx="5714286" cy="1542857"/>
        </a:xfrm>
        <a:prstGeom prst="rect">
          <a:avLst/>
        </a:prstGeom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6395DB7D-9088-48FB-AF9E-52AB048FF511}"/>
            </a:ext>
          </a:extLst>
        </xdr:cNvPr>
        <xdr:cNvGrpSpPr/>
      </xdr:nvGrpSpPr>
      <xdr:grpSpPr>
        <a:xfrm>
          <a:off x="2406312" y="74381"/>
          <a:ext cx="6528137" cy="1675459"/>
          <a:chOff x="1936412" y="131531"/>
          <a:chExt cx="6656021" cy="1675459"/>
        </a:xfrm>
      </xdr:grpSpPr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C346ACD8-F712-4C93-B2CD-03C57DC4E619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3E4A3DF8-39FF-4EA3-92F3-7FEB42C54681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5" name="Graphic 4" descr="Telephone outline">
            <a:extLst>
              <a:ext uri="{FF2B5EF4-FFF2-40B4-BE49-F238E27FC236}">
                <a16:creationId xmlns:a16="http://schemas.microsoft.com/office/drawing/2014/main" id="{67D3CDF9-2995-42D5-8ACD-9A2BCBECC42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6" name="Graphic 5" descr="Smart Phone outline">
            <a:extLst>
              <a:ext uri="{FF2B5EF4-FFF2-40B4-BE49-F238E27FC236}">
                <a16:creationId xmlns:a16="http://schemas.microsoft.com/office/drawing/2014/main" id="{7F11765B-0E33-45A5-B595-3DC17F6EA99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7" name="Graphic 6" descr="Printer outline">
            <a:extLst>
              <a:ext uri="{FF2B5EF4-FFF2-40B4-BE49-F238E27FC236}">
                <a16:creationId xmlns:a16="http://schemas.microsoft.com/office/drawing/2014/main" id="{267C2185-0273-4D69-87C6-2DE51D71228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165100</xdr:rowOff>
    </xdr:from>
    <xdr:to>
      <xdr:col>10</xdr:col>
      <xdr:colOff>507286</xdr:colOff>
      <xdr:row>7</xdr:row>
      <xdr:rowOff>63307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65CF0A1-31FE-4AFA-A65E-D26BD9EC0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65100"/>
          <a:ext cx="5714286" cy="1542857"/>
        </a:xfrm>
        <a:prstGeom prst="rect">
          <a:avLst/>
        </a:prstGeom>
      </xdr:spPr>
    </xdr:pic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0</xdr:rowOff>
    </xdr:from>
    <xdr:to>
      <xdr:col>11</xdr:col>
      <xdr:colOff>590550</xdr:colOff>
      <xdr:row>7</xdr:row>
      <xdr:rowOff>206152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26C8D40-22F6-7703-3512-74CD144FD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0B0497BC-AB54-4AFC-9A7F-5C43D698C123}"/>
            </a:ext>
          </a:extLst>
        </xdr:cNvPr>
        <xdr:cNvGrpSpPr/>
      </xdr:nvGrpSpPr>
      <xdr:grpSpPr>
        <a:xfrm>
          <a:off x="2406312" y="74381"/>
          <a:ext cx="6464637" cy="1675459"/>
          <a:chOff x="1936412" y="131531"/>
          <a:chExt cx="6656021" cy="1675459"/>
        </a:xfrm>
      </xdr:grpSpPr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3EDA1ACF-1C9C-438D-B3E0-1E7E78B1F271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13" name="Rectangle 12">
            <a:extLst>
              <a:ext uri="{FF2B5EF4-FFF2-40B4-BE49-F238E27FC236}">
                <a16:creationId xmlns:a16="http://schemas.microsoft.com/office/drawing/2014/main" id="{A846251C-4401-4866-AC2D-02C985AAB16C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14" name="Graphic 13" descr="Telephone outline">
            <a:extLst>
              <a:ext uri="{FF2B5EF4-FFF2-40B4-BE49-F238E27FC236}">
                <a16:creationId xmlns:a16="http://schemas.microsoft.com/office/drawing/2014/main" id="{31595E27-7950-4C4B-BAD1-8592F88A36E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15" name="Graphic 14" descr="Smart Phone outline">
            <a:extLst>
              <a:ext uri="{FF2B5EF4-FFF2-40B4-BE49-F238E27FC236}">
                <a16:creationId xmlns:a16="http://schemas.microsoft.com/office/drawing/2014/main" id="{BF084B05-E75C-483A-B12B-4AB84195338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16" name="Graphic 15" descr="Printer outline">
            <a:extLst>
              <a:ext uri="{FF2B5EF4-FFF2-40B4-BE49-F238E27FC236}">
                <a16:creationId xmlns:a16="http://schemas.microsoft.com/office/drawing/2014/main" id="{ED227E01-BC5A-419D-AAD8-CADEC748AFC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165100</xdr:rowOff>
    </xdr:from>
    <xdr:to>
      <xdr:col>10</xdr:col>
      <xdr:colOff>570786</xdr:colOff>
      <xdr:row>7</xdr:row>
      <xdr:rowOff>63307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A4F22B9F-DE7C-435E-B328-60F8DE985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65100"/>
          <a:ext cx="5714286" cy="1542857"/>
        </a:xfrm>
        <a:prstGeom prst="rect">
          <a:avLst/>
        </a:prstGeom>
      </xdr:spPr>
    </xdr:pic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C3068FDB-B46D-478C-A985-40C15DC82534}"/>
            </a:ext>
          </a:extLst>
        </xdr:cNvPr>
        <xdr:cNvGrpSpPr/>
      </xdr:nvGrpSpPr>
      <xdr:grpSpPr>
        <a:xfrm>
          <a:off x="2406312" y="74381"/>
          <a:ext cx="6464637" cy="1675459"/>
          <a:chOff x="1936412" y="131531"/>
          <a:chExt cx="6656021" cy="1675459"/>
        </a:xfrm>
      </xdr:grpSpPr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2A979D37-6E20-454C-92B4-4CCCF3BE5E3A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11C6DBA5-AB43-4BBF-9A5D-243C52A9D423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5" name="Graphic 4" descr="Telephone outline">
            <a:extLst>
              <a:ext uri="{FF2B5EF4-FFF2-40B4-BE49-F238E27FC236}">
                <a16:creationId xmlns:a16="http://schemas.microsoft.com/office/drawing/2014/main" id="{EBCB0482-C918-41A0-91B8-FEFD49B6651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6" name="Graphic 5" descr="Smart Phone outline">
            <a:extLst>
              <a:ext uri="{FF2B5EF4-FFF2-40B4-BE49-F238E27FC236}">
                <a16:creationId xmlns:a16="http://schemas.microsoft.com/office/drawing/2014/main" id="{A65143B4-C9E3-44C6-A106-E8ADE09B2AF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7" name="Graphic 6" descr="Printer outline">
            <a:extLst>
              <a:ext uri="{FF2B5EF4-FFF2-40B4-BE49-F238E27FC236}">
                <a16:creationId xmlns:a16="http://schemas.microsoft.com/office/drawing/2014/main" id="{F022E56A-5467-4DD3-B1EF-4FF628799D6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165100</xdr:rowOff>
    </xdr:from>
    <xdr:to>
      <xdr:col>10</xdr:col>
      <xdr:colOff>570786</xdr:colOff>
      <xdr:row>7</xdr:row>
      <xdr:rowOff>63307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B0D2693-5DE1-4AC2-BE55-E9AEDFFF3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65100"/>
          <a:ext cx="5714286" cy="1542857"/>
        </a:xfrm>
        <a:prstGeom prst="rect">
          <a:avLst/>
        </a:prstGeom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40A219F1-1E32-4DA2-9DF2-EF5B6E0023B5}"/>
            </a:ext>
          </a:extLst>
        </xdr:cNvPr>
        <xdr:cNvGrpSpPr/>
      </xdr:nvGrpSpPr>
      <xdr:grpSpPr>
        <a:xfrm>
          <a:off x="2406312" y="74381"/>
          <a:ext cx="6597987" cy="1675459"/>
          <a:chOff x="1936412" y="131531"/>
          <a:chExt cx="6656021" cy="1675459"/>
        </a:xfrm>
      </xdr:grpSpPr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B70661FD-C3D2-44C5-A0F5-6CB61F9C10D2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98A3F3F9-836C-46DE-A86F-E9FBBFD119A2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5" name="Graphic 4" descr="Telephone outline">
            <a:extLst>
              <a:ext uri="{FF2B5EF4-FFF2-40B4-BE49-F238E27FC236}">
                <a16:creationId xmlns:a16="http://schemas.microsoft.com/office/drawing/2014/main" id="{2FE359E0-3E13-46B9-9D33-79F509451F6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6" name="Graphic 5" descr="Smart Phone outline">
            <a:extLst>
              <a:ext uri="{FF2B5EF4-FFF2-40B4-BE49-F238E27FC236}">
                <a16:creationId xmlns:a16="http://schemas.microsoft.com/office/drawing/2014/main" id="{11882D24-9852-439E-92ED-D14F9076E66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7" name="Graphic 6" descr="Printer outline">
            <a:extLst>
              <a:ext uri="{FF2B5EF4-FFF2-40B4-BE49-F238E27FC236}">
                <a16:creationId xmlns:a16="http://schemas.microsoft.com/office/drawing/2014/main" id="{94548480-C489-4330-BC8A-750C18E7FDD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165100</xdr:rowOff>
    </xdr:from>
    <xdr:to>
      <xdr:col>10</xdr:col>
      <xdr:colOff>577136</xdr:colOff>
      <xdr:row>7</xdr:row>
      <xdr:rowOff>63307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49ED7EF-E4D3-429A-971F-552A1797E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65100"/>
          <a:ext cx="5714286" cy="1542857"/>
        </a:xfrm>
        <a:prstGeom prst="rect">
          <a:avLst/>
        </a:prstGeom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395A5A00-B70D-4F59-AA04-A08F4857A28F}"/>
            </a:ext>
          </a:extLst>
        </xdr:cNvPr>
        <xdr:cNvGrpSpPr/>
      </xdr:nvGrpSpPr>
      <xdr:grpSpPr>
        <a:xfrm>
          <a:off x="2406312" y="74381"/>
          <a:ext cx="6597987" cy="1675459"/>
          <a:chOff x="1936412" y="131531"/>
          <a:chExt cx="6656021" cy="1675459"/>
        </a:xfrm>
      </xdr:grpSpPr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8819F8C2-31FA-4B29-B14B-2A24C0ECC8F4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1D143B77-50E6-4E19-9A62-6FD1B1CB9BDD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5" name="Graphic 4" descr="Telephone outline">
            <a:extLst>
              <a:ext uri="{FF2B5EF4-FFF2-40B4-BE49-F238E27FC236}">
                <a16:creationId xmlns:a16="http://schemas.microsoft.com/office/drawing/2014/main" id="{F5CD9215-8B93-4C3E-AA76-DE0EFA91AC7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6" name="Graphic 5" descr="Smart Phone outline">
            <a:extLst>
              <a:ext uri="{FF2B5EF4-FFF2-40B4-BE49-F238E27FC236}">
                <a16:creationId xmlns:a16="http://schemas.microsoft.com/office/drawing/2014/main" id="{248FB933-1D80-4779-BE3A-2463E732DE5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7" name="Graphic 6" descr="Printer outline">
            <a:extLst>
              <a:ext uri="{FF2B5EF4-FFF2-40B4-BE49-F238E27FC236}">
                <a16:creationId xmlns:a16="http://schemas.microsoft.com/office/drawing/2014/main" id="{C9C8A65F-E657-4B9B-AE18-985A60A08B8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165100</xdr:rowOff>
    </xdr:from>
    <xdr:to>
      <xdr:col>10</xdr:col>
      <xdr:colOff>577136</xdr:colOff>
      <xdr:row>7</xdr:row>
      <xdr:rowOff>63307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601FF18-5656-4EE6-9A91-75F858177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65100"/>
          <a:ext cx="5714286" cy="1542857"/>
        </a:xfrm>
        <a:prstGeom prst="rect">
          <a:avLst/>
        </a:prstGeom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90285BA4-7F73-4279-B792-A1615AAEB032}"/>
            </a:ext>
          </a:extLst>
        </xdr:cNvPr>
        <xdr:cNvGrpSpPr/>
      </xdr:nvGrpSpPr>
      <xdr:grpSpPr>
        <a:xfrm>
          <a:off x="2406312" y="74381"/>
          <a:ext cx="6597987" cy="1675459"/>
          <a:chOff x="1936412" y="131531"/>
          <a:chExt cx="6656021" cy="1675459"/>
        </a:xfrm>
      </xdr:grpSpPr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19DA1FB2-CD6E-4121-B199-261D75095792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C0BA1729-AF08-4970-A182-3E409D3D7104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5" name="Graphic 4" descr="Telephone outline">
            <a:extLst>
              <a:ext uri="{FF2B5EF4-FFF2-40B4-BE49-F238E27FC236}">
                <a16:creationId xmlns:a16="http://schemas.microsoft.com/office/drawing/2014/main" id="{2ADF4A83-157B-4185-9BB3-7E8E57937E8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6" name="Graphic 5" descr="Smart Phone outline">
            <a:extLst>
              <a:ext uri="{FF2B5EF4-FFF2-40B4-BE49-F238E27FC236}">
                <a16:creationId xmlns:a16="http://schemas.microsoft.com/office/drawing/2014/main" id="{4D45C9B6-FD84-4BAA-B3AE-E46A9DFB75E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7" name="Graphic 6" descr="Printer outline">
            <a:extLst>
              <a:ext uri="{FF2B5EF4-FFF2-40B4-BE49-F238E27FC236}">
                <a16:creationId xmlns:a16="http://schemas.microsoft.com/office/drawing/2014/main" id="{D9E104C5-EF10-4BA2-B9D7-4216D725DB8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165100</xdr:rowOff>
    </xdr:from>
    <xdr:to>
      <xdr:col>10</xdr:col>
      <xdr:colOff>577136</xdr:colOff>
      <xdr:row>7</xdr:row>
      <xdr:rowOff>63307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E09D59F-3766-4A04-AB68-0EE7BA540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65100"/>
          <a:ext cx="5714286" cy="1542857"/>
        </a:xfrm>
        <a:prstGeom prst="rect">
          <a:avLst/>
        </a:prstGeom>
      </xdr:spPr>
    </xdr:pic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E6BF229A-CCCB-47FC-9D69-A91B69E10F38}"/>
            </a:ext>
          </a:extLst>
        </xdr:cNvPr>
        <xdr:cNvGrpSpPr/>
      </xdr:nvGrpSpPr>
      <xdr:grpSpPr>
        <a:xfrm>
          <a:off x="2406312" y="74381"/>
          <a:ext cx="6597987" cy="1675459"/>
          <a:chOff x="1936412" y="131531"/>
          <a:chExt cx="6656021" cy="1675459"/>
        </a:xfrm>
      </xdr:grpSpPr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B2364893-755D-4ED1-9CBD-FB071014FB5B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4EF769AF-FDA2-472D-BFE1-D3827D2F8C92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8" name="Graphic 7" descr="Telephone outline">
            <a:extLst>
              <a:ext uri="{FF2B5EF4-FFF2-40B4-BE49-F238E27FC236}">
                <a16:creationId xmlns:a16="http://schemas.microsoft.com/office/drawing/2014/main" id="{14C5F58C-8C29-4A35-802B-318203EAB7D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9" name="Graphic 8" descr="Smart Phone outline">
            <a:extLst>
              <a:ext uri="{FF2B5EF4-FFF2-40B4-BE49-F238E27FC236}">
                <a16:creationId xmlns:a16="http://schemas.microsoft.com/office/drawing/2014/main" id="{BA50185E-CB8B-420D-B451-3B9D05565C5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10" name="Graphic 9" descr="Printer outline">
            <a:extLst>
              <a:ext uri="{FF2B5EF4-FFF2-40B4-BE49-F238E27FC236}">
                <a16:creationId xmlns:a16="http://schemas.microsoft.com/office/drawing/2014/main" id="{65DC7729-7675-4F30-BB8E-43F78E6EB51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165100</xdr:rowOff>
    </xdr:from>
    <xdr:to>
      <xdr:col>10</xdr:col>
      <xdr:colOff>577136</xdr:colOff>
      <xdr:row>7</xdr:row>
      <xdr:rowOff>63307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C7A83EEB-3B68-4720-ABE3-8B91BF620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65100"/>
          <a:ext cx="5714286" cy="1542857"/>
        </a:xfrm>
        <a:prstGeom prst="rect">
          <a:avLst/>
        </a:prstGeom>
      </xdr:spPr>
    </xdr:pic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1F89FDD8-CAB1-4BA2-8788-24D1E12B88AF}"/>
            </a:ext>
          </a:extLst>
        </xdr:cNvPr>
        <xdr:cNvGrpSpPr/>
      </xdr:nvGrpSpPr>
      <xdr:grpSpPr>
        <a:xfrm>
          <a:off x="2406312" y="74381"/>
          <a:ext cx="6597987" cy="1675459"/>
          <a:chOff x="1936412" y="131531"/>
          <a:chExt cx="6656021" cy="1675459"/>
        </a:xfrm>
      </xdr:grpSpPr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7D96E86F-82D0-49BB-A0BF-71043A5698F0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B3C0BA4E-13FF-4C17-8E3B-C3BA6C76E70F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8" name="Graphic 7" descr="Telephone outline">
            <a:extLst>
              <a:ext uri="{FF2B5EF4-FFF2-40B4-BE49-F238E27FC236}">
                <a16:creationId xmlns:a16="http://schemas.microsoft.com/office/drawing/2014/main" id="{85F7C11D-76F4-4396-89EE-2444C212AAE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9" name="Graphic 8" descr="Smart Phone outline">
            <a:extLst>
              <a:ext uri="{FF2B5EF4-FFF2-40B4-BE49-F238E27FC236}">
                <a16:creationId xmlns:a16="http://schemas.microsoft.com/office/drawing/2014/main" id="{927678FA-561A-44E3-AA7E-2C7F0B22BEA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10" name="Graphic 9" descr="Printer outline">
            <a:extLst>
              <a:ext uri="{FF2B5EF4-FFF2-40B4-BE49-F238E27FC236}">
                <a16:creationId xmlns:a16="http://schemas.microsoft.com/office/drawing/2014/main" id="{08F9DF6F-2F8B-44AB-A5D6-239B9CE9E57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165100</xdr:rowOff>
    </xdr:from>
    <xdr:to>
      <xdr:col>10</xdr:col>
      <xdr:colOff>577136</xdr:colOff>
      <xdr:row>7</xdr:row>
      <xdr:rowOff>63307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656C997-CEAC-49D5-9E69-4A486B1B2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65100"/>
          <a:ext cx="5714286" cy="154285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0</xdr:rowOff>
    </xdr:from>
    <xdr:to>
      <xdr:col>11</xdr:col>
      <xdr:colOff>558800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CC0A457-2A6E-FC46-1F09-0BCF89A21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A853999C-8359-43A8-9579-897E7BAAB241}"/>
            </a:ext>
          </a:extLst>
        </xdr:cNvPr>
        <xdr:cNvGrpSpPr/>
      </xdr:nvGrpSpPr>
      <xdr:grpSpPr>
        <a:xfrm>
          <a:off x="2406312" y="74381"/>
          <a:ext cx="6839287" cy="1675459"/>
          <a:chOff x="1936412" y="131531"/>
          <a:chExt cx="6656021" cy="1675459"/>
        </a:xfrm>
      </xdr:grpSpPr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5AA6542A-3F5F-43BE-8E61-F6516DEC74A1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DCEEE326-AF74-45EE-B299-BF89303A0F7B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8" name="Graphic 7" descr="Telephone outline">
            <a:extLst>
              <a:ext uri="{FF2B5EF4-FFF2-40B4-BE49-F238E27FC236}">
                <a16:creationId xmlns:a16="http://schemas.microsoft.com/office/drawing/2014/main" id="{1843CC90-AE0C-4856-B12A-840904E1D42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9" name="Graphic 8" descr="Smart Phone outline">
            <a:extLst>
              <a:ext uri="{FF2B5EF4-FFF2-40B4-BE49-F238E27FC236}">
                <a16:creationId xmlns:a16="http://schemas.microsoft.com/office/drawing/2014/main" id="{716DC756-55D3-4A97-81C3-D27AFAFBB28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10" name="Graphic 9" descr="Printer outline">
            <a:extLst>
              <a:ext uri="{FF2B5EF4-FFF2-40B4-BE49-F238E27FC236}">
                <a16:creationId xmlns:a16="http://schemas.microsoft.com/office/drawing/2014/main" id="{A9B360AB-9BBF-4AC2-98E5-D760851C07E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165100</xdr:rowOff>
    </xdr:from>
    <xdr:to>
      <xdr:col>10</xdr:col>
      <xdr:colOff>335836</xdr:colOff>
      <xdr:row>7</xdr:row>
      <xdr:rowOff>63307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C6C465B-90C8-469C-AD77-061CFBF93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65100"/>
          <a:ext cx="5714286" cy="1542857"/>
        </a:xfrm>
        <a:prstGeom prst="rect">
          <a:avLst/>
        </a:prstGeom>
      </xdr:spPr>
    </xdr:pic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AE3F45F1-8D45-4186-BDE7-388909277DBA}"/>
            </a:ext>
          </a:extLst>
        </xdr:cNvPr>
        <xdr:cNvGrpSpPr/>
      </xdr:nvGrpSpPr>
      <xdr:grpSpPr>
        <a:xfrm>
          <a:off x="2406312" y="74381"/>
          <a:ext cx="6553537" cy="1675459"/>
          <a:chOff x="1936412" y="131531"/>
          <a:chExt cx="6656021" cy="1675459"/>
        </a:xfrm>
      </xdr:grpSpPr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7888B5F5-2965-4766-864F-E48D8A83E603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7697C00A-05B0-4AEF-836F-39D7E7530355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8" name="Graphic 7" descr="Telephone outline">
            <a:extLst>
              <a:ext uri="{FF2B5EF4-FFF2-40B4-BE49-F238E27FC236}">
                <a16:creationId xmlns:a16="http://schemas.microsoft.com/office/drawing/2014/main" id="{30213CF1-8942-400E-AAE0-02EA9264248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9" name="Graphic 8" descr="Smart Phone outline">
            <a:extLst>
              <a:ext uri="{FF2B5EF4-FFF2-40B4-BE49-F238E27FC236}">
                <a16:creationId xmlns:a16="http://schemas.microsoft.com/office/drawing/2014/main" id="{C63ECD04-3160-47D1-9A9E-9C4D35BA5AE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10" name="Graphic 9" descr="Printer outline">
            <a:extLst>
              <a:ext uri="{FF2B5EF4-FFF2-40B4-BE49-F238E27FC236}">
                <a16:creationId xmlns:a16="http://schemas.microsoft.com/office/drawing/2014/main" id="{CB6D7A36-DED3-4BDC-94F3-E733C8DBD3A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190500</xdr:rowOff>
    </xdr:from>
    <xdr:to>
      <xdr:col>10</xdr:col>
      <xdr:colOff>621586</xdr:colOff>
      <xdr:row>7</xdr:row>
      <xdr:rowOff>88707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E01DF10-3050-4CF7-A774-E89C70692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90500"/>
          <a:ext cx="5714286" cy="1542857"/>
        </a:xfrm>
        <a:prstGeom prst="rect">
          <a:avLst/>
        </a:prstGeom>
      </xdr:spPr>
    </xdr:pic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97C42942-3910-4A67-84C4-B6C4AA742E1A}"/>
            </a:ext>
          </a:extLst>
        </xdr:cNvPr>
        <xdr:cNvGrpSpPr/>
      </xdr:nvGrpSpPr>
      <xdr:grpSpPr>
        <a:xfrm>
          <a:off x="2406312" y="74381"/>
          <a:ext cx="6464637" cy="1675459"/>
          <a:chOff x="1936412" y="131531"/>
          <a:chExt cx="6656021" cy="1675459"/>
        </a:xfrm>
      </xdr:grpSpPr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ED33C420-94FA-46FD-9A93-41A311F43662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6B2F4F50-F018-40E8-AF6A-CA9DEFCD2DBC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8" name="Graphic 7" descr="Telephone outline">
            <a:extLst>
              <a:ext uri="{FF2B5EF4-FFF2-40B4-BE49-F238E27FC236}">
                <a16:creationId xmlns:a16="http://schemas.microsoft.com/office/drawing/2014/main" id="{1526CDB0-8E2A-49DE-8F21-CBEDBF6F257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9" name="Graphic 8" descr="Smart Phone outline">
            <a:extLst>
              <a:ext uri="{FF2B5EF4-FFF2-40B4-BE49-F238E27FC236}">
                <a16:creationId xmlns:a16="http://schemas.microsoft.com/office/drawing/2014/main" id="{912FB467-5BD6-4CEB-8F5A-533547336EA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10" name="Graphic 9" descr="Printer outline">
            <a:extLst>
              <a:ext uri="{FF2B5EF4-FFF2-40B4-BE49-F238E27FC236}">
                <a16:creationId xmlns:a16="http://schemas.microsoft.com/office/drawing/2014/main" id="{722CEF96-BF6E-4A52-AF78-367333CA97A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190500</xdr:rowOff>
    </xdr:from>
    <xdr:to>
      <xdr:col>10</xdr:col>
      <xdr:colOff>570786</xdr:colOff>
      <xdr:row>7</xdr:row>
      <xdr:rowOff>88707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674E2E58-B792-4897-9E97-D068505B5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90500"/>
          <a:ext cx="5714286" cy="1542857"/>
        </a:xfrm>
        <a:prstGeom prst="rect">
          <a:avLst/>
        </a:prstGeom>
      </xdr:spPr>
    </xdr:pic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6EF3B32F-7996-49D7-A1B1-8C48E2109925}"/>
            </a:ext>
          </a:extLst>
        </xdr:cNvPr>
        <xdr:cNvGrpSpPr/>
      </xdr:nvGrpSpPr>
      <xdr:grpSpPr>
        <a:xfrm>
          <a:off x="2406312" y="74381"/>
          <a:ext cx="6623387" cy="1675459"/>
          <a:chOff x="1936412" y="131531"/>
          <a:chExt cx="6656021" cy="1675459"/>
        </a:xfrm>
      </xdr:grpSpPr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4C98CB4A-4741-47F1-8777-8D56109C2913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8762CD39-8B6D-4FA9-BA80-99EFB2B49B37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8" name="Graphic 7" descr="Telephone outline">
            <a:extLst>
              <a:ext uri="{FF2B5EF4-FFF2-40B4-BE49-F238E27FC236}">
                <a16:creationId xmlns:a16="http://schemas.microsoft.com/office/drawing/2014/main" id="{3E7BE8DF-C34B-45A0-9DAF-DF41F72BE8B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9" name="Graphic 8" descr="Smart Phone outline">
            <a:extLst>
              <a:ext uri="{FF2B5EF4-FFF2-40B4-BE49-F238E27FC236}">
                <a16:creationId xmlns:a16="http://schemas.microsoft.com/office/drawing/2014/main" id="{1BBCADF4-6F1F-402F-A9FD-8E4E1B3CABA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10" name="Graphic 9" descr="Printer outline">
            <a:extLst>
              <a:ext uri="{FF2B5EF4-FFF2-40B4-BE49-F238E27FC236}">
                <a16:creationId xmlns:a16="http://schemas.microsoft.com/office/drawing/2014/main" id="{69C8D2CF-32BC-43DA-AF8F-7F73CF183E6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190500</xdr:rowOff>
    </xdr:from>
    <xdr:to>
      <xdr:col>10</xdr:col>
      <xdr:colOff>412036</xdr:colOff>
      <xdr:row>7</xdr:row>
      <xdr:rowOff>88707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5BB315B9-D690-451A-BE5D-7DCE9AA35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90500"/>
          <a:ext cx="5714286" cy="1542857"/>
        </a:xfrm>
        <a:prstGeom prst="rect">
          <a:avLst/>
        </a:prstGeom>
      </xdr:spPr>
    </xdr:pic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799E5CBF-A3DA-4A3D-AE4D-E777C1EA2098}"/>
            </a:ext>
          </a:extLst>
        </xdr:cNvPr>
        <xdr:cNvGrpSpPr/>
      </xdr:nvGrpSpPr>
      <xdr:grpSpPr>
        <a:xfrm>
          <a:off x="2406312" y="74381"/>
          <a:ext cx="6324937" cy="1675459"/>
          <a:chOff x="1936412" y="131531"/>
          <a:chExt cx="6656021" cy="1675459"/>
        </a:xfrm>
      </xdr:grpSpPr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2ACAF815-88B6-4F46-8CB5-3AF87623093B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347D81A6-8C00-41D2-96BB-6777672C082E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8" name="Graphic 7" descr="Telephone outline">
            <a:extLst>
              <a:ext uri="{FF2B5EF4-FFF2-40B4-BE49-F238E27FC236}">
                <a16:creationId xmlns:a16="http://schemas.microsoft.com/office/drawing/2014/main" id="{6D2961C6-99D5-448A-854D-FF533AA66B3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9" name="Graphic 8" descr="Smart Phone outline">
            <a:extLst>
              <a:ext uri="{FF2B5EF4-FFF2-40B4-BE49-F238E27FC236}">
                <a16:creationId xmlns:a16="http://schemas.microsoft.com/office/drawing/2014/main" id="{821A11DB-594A-4B9D-94A2-700FAD8381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10" name="Graphic 9" descr="Printer outline">
            <a:extLst>
              <a:ext uri="{FF2B5EF4-FFF2-40B4-BE49-F238E27FC236}">
                <a16:creationId xmlns:a16="http://schemas.microsoft.com/office/drawing/2014/main" id="{104B089B-83DB-464B-AB56-6052F004774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190500</xdr:rowOff>
    </xdr:from>
    <xdr:to>
      <xdr:col>10</xdr:col>
      <xdr:colOff>710486</xdr:colOff>
      <xdr:row>7</xdr:row>
      <xdr:rowOff>88707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C52EA55-87B4-4312-A1C7-DF59A2940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90500"/>
          <a:ext cx="5714286" cy="1542857"/>
        </a:xfrm>
        <a:prstGeom prst="rect">
          <a:avLst/>
        </a:prstGeom>
      </xdr:spPr>
    </xdr:pic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89C50B76-29C6-4A2F-9ADB-2A494BDF0D62}"/>
            </a:ext>
          </a:extLst>
        </xdr:cNvPr>
        <xdr:cNvGrpSpPr/>
      </xdr:nvGrpSpPr>
      <xdr:grpSpPr>
        <a:xfrm>
          <a:off x="2406312" y="74381"/>
          <a:ext cx="6528137" cy="1675459"/>
          <a:chOff x="1936412" y="131531"/>
          <a:chExt cx="6656021" cy="1675459"/>
        </a:xfrm>
      </xdr:grpSpPr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6F84EDC2-9A84-46E6-8B57-0D1E57F9D99F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8B87C738-4F95-451E-B092-3859229F76CE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8" name="Graphic 7" descr="Telephone outline">
            <a:extLst>
              <a:ext uri="{FF2B5EF4-FFF2-40B4-BE49-F238E27FC236}">
                <a16:creationId xmlns:a16="http://schemas.microsoft.com/office/drawing/2014/main" id="{575E8CF8-C3BF-41F2-945A-3221EC7AE29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9" name="Graphic 8" descr="Smart Phone outline">
            <a:extLst>
              <a:ext uri="{FF2B5EF4-FFF2-40B4-BE49-F238E27FC236}">
                <a16:creationId xmlns:a16="http://schemas.microsoft.com/office/drawing/2014/main" id="{76C69270-ECCC-41B5-8BD6-3532EDA639C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10" name="Graphic 9" descr="Printer outline">
            <a:extLst>
              <a:ext uri="{FF2B5EF4-FFF2-40B4-BE49-F238E27FC236}">
                <a16:creationId xmlns:a16="http://schemas.microsoft.com/office/drawing/2014/main" id="{06E7231A-A632-4FD7-ACF4-6C3201CAE1B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190500</xdr:rowOff>
    </xdr:from>
    <xdr:to>
      <xdr:col>10</xdr:col>
      <xdr:colOff>507286</xdr:colOff>
      <xdr:row>7</xdr:row>
      <xdr:rowOff>88707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6D38916F-4B0E-467A-BF4E-8A460E2AB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90500"/>
          <a:ext cx="5714286" cy="1542857"/>
        </a:xfrm>
        <a:prstGeom prst="rect">
          <a:avLst/>
        </a:prstGeom>
      </xdr:spPr>
    </xdr:pic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8AFAC32D-5818-4E0E-9878-DBA02AEAABAA}"/>
            </a:ext>
          </a:extLst>
        </xdr:cNvPr>
        <xdr:cNvGrpSpPr/>
      </xdr:nvGrpSpPr>
      <xdr:grpSpPr>
        <a:xfrm>
          <a:off x="2406312" y="74381"/>
          <a:ext cx="6337637" cy="1675459"/>
          <a:chOff x="1936412" y="131531"/>
          <a:chExt cx="6656021" cy="1675459"/>
        </a:xfrm>
      </xdr:grpSpPr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8E55AE78-9EC8-4353-BFBF-0982D3FFE60D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13" name="Rectangle 12">
            <a:extLst>
              <a:ext uri="{FF2B5EF4-FFF2-40B4-BE49-F238E27FC236}">
                <a16:creationId xmlns:a16="http://schemas.microsoft.com/office/drawing/2014/main" id="{01CD05FC-5EC8-4BDB-98C8-1117D75086E3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14" name="Graphic 13" descr="Telephone outline">
            <a:extLst>
              <a:ext uri="{FF2B5EF4-FFF2-40B4-BE49-F238E27FC236}">
                <a16:creationId xmlns:a16="http://schemas.microsoft.com/office/drawing/2014/main" id="{29233BDB-61B6-46F0-8138-C7618EDDE04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15" name="Graphic 14" descr="Smart Phone outline">
            <a:extLst>
              <a:ext uri="{FF2B5EF4-FFF2-40B4-BE49-F238E27FC236}">
                <a16:creationId xmlns:a16="http://schemas.microsoft.com/office/drawing/2014/main" id="{6E9AF965-D68E-4732-9457-845384D0131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16" name="Graphic 15" descr="Printer outline">
            <a:extLst>
              <a:ext uri="{FF2B5EF4-FFF2-40B4-BE49-F238E27FC236}">
                <a16:creationId xmlns:a16="http://schemas.microsoft.com/office/drawing/2014/main" id="{4B26CF5A-4CCB-4C5D-934C-E3A45EA911F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190500</xdr:rowOff>
    </xdr:from>
    <xdr:to>
      <xdr:col>10</xdr:col>
      <xdr:colOff>697786</xdr:colOff>
      <xdr:row>7</xdr:row>
      <xdr:rowOff>88707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2D3CDDDD-2B66-46C1-96E8-9327ADE7A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90500"/>
          <a:ext cx="5714286" cy="1542857"/>
        </a:xfrm>
        <a:prstGeom prst="rect">
          <a:avLst/>
        </a:prstGeom>
      </xdr:spPr>
    </xdr:pic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349250</xdr:colOff>
      <xdr:row>0</xdr:row>
      <xdr:rowOff>0</xdr:rowOff>
    </xdr:from>
    <xdr:to>
      <xdr:col>11</xdr:col>
      <xdr:colOff>527050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B79179B-BE46-1C15-3F19-05EB0B5A4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5F4AC04A-1CCA-422A-BB24-6B88395AB628}"/>
            </a:ext>
          </a:extLst>
        </xdr:cNvPr>
        <xdr:cNvGrpSpPr/>
      </xdr:nvGrpSpPr>
      <xdr:grpSpPr>
        <a:xfrm>
          <a:off x="2406312" y="74381"/>
          <a:ext cx="6712287" cy="1675459"/>
          <a:chOff x="1936412" y="131531"/>
          <a:chExt cx="6656021" cy="1675459"/>
        </a:xfrm>
      </xdr:grpSpPr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DFFA0C01-7C6A-44AC-B9AC-46503D1D6ED4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0AEEB6AC-A3D4-498F-9BC9-7917372A76D2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8" name="Graphic 7" descr="Telephone outline">
            <a:extLst>
              <a:ext uri="{FF2B5EF4-FFF2-40B4-BE49-F238E27FC236}">
                <a16:creationId xmlns:a16="http://schemas.microsoft.com/office/drawing/2014/main" id="{76000BCA-03F2-4BDD-BF00-4A284CB7220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9" name="Graphic 8" descr="Smart Phone outline">
            <a:extLst>
              <a:ext uri="{FF2B5EF4-FFF2-40B4-BE49-F238E27FC236}">
                <a16:creationId xmlns:a16="http://schemas.microsoft.com/office/drawing/2014/main" id="{944E723A-7337-49D0-96E0-30005D5534C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10" name="Graphic 9" descr="Printer outline">
            <a:extLst>
              <a:ext uri="{FF2B5EF4-FFF2-40B4-BE49-F238E27FC236}">
                <a16:creationId xmlns:a16="http://schemas.microsoft.com/office/drawing/2014/main" id="{7610D9EE-F99E-48DB-9A00-6EAA08A749C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165100</xdr:rowOff>
    </xdr:from>
    <xdr:to>
      <xdr:col>10</xdr:col>
      <xdr:colOff>462836</xdr:colOff>
      <xdr:row>7</xdr:row>
      <xdr:rowOff>63307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F5032A5-65A5-4DBA-B427-BB15A48D0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65100"/>
          <a:ext cx="5714286" cy="1542857"/>
        </a:xfrm>
        <a:prstGeom prst="rect">
          <a:avLst/>
        </a:prstGeom>
      </xdr:spPr>
    </xdr:pic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148841D3-C511-4619-8C4C-A75C9BBDBDAA}"/>
            </a:ext>
          </a:extLst>
        </xdr:cNvPr>
        <xdr:cNvGrpSpPr/>
      </xdr:nvGrpSpPr>
      <xdr:grpSpPr>
        <a:xfrm>
          <a:off x="2406312" y="74381"/>
          <a:ext cx="6597987" cy="1675459"/>
          <a:chOff x="1936412" y="131531"/>
          <a:chExt cx="6656021" cy="1675459"/>
        </a:xfrm>
      </xdr:grpSpPr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E51F521C-F383-4D50-B52B-5109EC0C4325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45F6D559-9227-4917-B788-E9E2825308EE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8" name="Graphic 7" descr="Telephone outline">
            <a:extLst>
              <a:ext uri="{FF2B5EF4-FFF2-40B4-BE49-F238E27FC236}">
                <a16:creationId xmlns:a16="http://schemas.microsoft.com/office/drawing/2014/main" id="{EFAD7679-6337-42CD-A65D-558B9992468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9" name="Graphic 8" descr="Smart Phone outline">
            <a:extLst>
              <a:ext uri="{FF2B5EF4-FFF2-40B4-BE49-F238E27FC236}">
                <a16:creationId xmlns:a16="http://schemas.microsoft.com/office/drawing/2014/main" id="{8BF9E26F-FE78-45B0-B64B-F3B0FC78E80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10" name="Graphic 9" descr="Printer outline">
            <a:extLst>
              <a:ext uri="{FF2B5EF4-FFF2-40B4-BE49-F238E27FC236}">
                <a16:creationId xmlns:a16="http://schemas.microsoft.com/office/drawing/2014/main" id="{36A5DA7C-1F52-41C6-BDEF-0ABF9FBAFAA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165100</xdr:rowOff>
    </xdr:from>
    <xdr:to>
      <xdr:col>10</xdr:col>
      <xdr:colOff>577136</xdr:colOff>
      <xdr:row>7</xdr:row>
      <xdr:rowOff>63307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3A4DACD-070A-4534-8E2E-49E9263C8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65100"/>
          <a:ext cx="5714286" cy="154285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355600</xdr:colOff>
      <xdr:row>0</xdr:row>
      <xdr:rowOff>0</xdr:rowOff>
    </xdr:from>
    <xdr:to>
      <xdr:col>11</xdr:col>
      <xdr:colOff>558800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FBBD766-0B6C-F893-4E9E-75BE76509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387350</xdr:colOff>
      <xdr:row>0</xdr:row>
      <xdr:rowOff>0</xdr:rowOff>
    </xdr:from>
    <xdr:to>
      <xdr:col>11</xdr:col>
      <xdr:colOff>501650</xdr:colOff>
      <xdr:row>7</xdr:row>
      <xdr:rowOff>206152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126BF06-6041-4E5A-9201-041BD0CF9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457200</xdr:colOff>
      <xdr:row>0</xdr:row>
      <xdr:rowOff>0</xdr:rowOff>
    </xdr:from>
    <xdr:to>
      <xdr:col>11</xdr:col>
      <xdr:colOff>406400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1721D34-D540-7703-17B9-35A87DCAB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FB84ED5C-CECF-4D92-9D46-126D65B031DC}"/>
            </a:ext>
          </a:extLst>
        </xdr:cNvPr>
        <xdr:cNvGrpSpPr/>
      </xdr:nvGrpSpPr>
      <xdr:grpSpPr>
        <a:xfrm>
          <a:off x="2406312" y="74381"/>
          <a:ext cx="6394787" cy="1675459"/>
          <a:chOff x="1936412" y="131531"/>
          <a:chExt cx="6656021" cy="1675459"/>
        </a:xfrm>
      </xdr:grpSpPr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2B270072-2623-4BE0-BA48-78EBCA82B07E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5B2DCAA2-FDCF-4F6D-B278-41C0BD1FDF51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5" name="Graphic 4" descr="Telephone outline">
            <a:extLst>
              <a:ext uri="{FF2B5EF4-FFF2-40B4-BE49-F238E27FC236}">
                <a16:creationId xmlns:a16="http://schemas.microsoft.com/office/drawing/2014/main" id="{EB5D0A23-D6CA-4AAD-8CF6-6293F77A6AD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6" name="Graphic 5" descr="Smart Phone outline">
            <a:extLst>
              <a:ext uri="{FF2B5EF4-FFF2-40B4-BE49-F238E27FC236}">
                <a16:creationId xmlns:a16="http://schemas.microsoft.com/office/drawing/2014/main" id="{9FFA5725-8642-4125-BC5B-AE446923BFA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7" name="Graphic 6" descr="Printer outline">
            <a:extLst>
              <a:ext uri="{FF2B5EF4-FFF2-40B4-BE49-F238E27FC236}">
                <a16:creationId xmlns:a16="http://schemas.microsoft.com/office/drawing/2014/main" id="{7568BF40-361E-4AE6-AEC1-7700D571BBA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165100</xdr:rowOff>
    </xdr:from>
    <xdr:to>
      <xdr:col>10</xdr:col>
      <xdr:colOff>780336</xdr:colOff>
      <xdr:row>7</xdr:row>
      <xdr:rowOff>63307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FFCDAD9-0D0F-48E7-BAC5-C30FA03D0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65100"/>
          <a:ext cx="5714286" cy="1542857"/>
        </a:xfrm>
        <a:prstGeom prst="rect">
          <a:avLst/>
        </a:prstGeom>
      </xdr:spPr>
    </xdr:pic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D5B5BF47-418E-47D7-A38E-3AE115B8C7C6}"/>
            </a:ext>
          </a:extLst>
        </xdr:cNvPr>
        <xdr:cNvGrpSpPr/>
      </xdr:nvGrpSpPr>
      <xdr:grpSpPr>
        <a:xfrm>
          <a:off x="2406312" y="74381"/>
          <a:ext cx="6255087" cy="1675459"/>
          <a:chOff x="1936412" y="131531"/>
          <a:chExt cx="6656021" cy="1675459"/>
        </a:xfrm>
      </xdr:grpSpPr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57C6356F-DB25-4A08-900C-26DA0D52CCAE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F16082D5-1350-4B70-91D1-1D2EA9E9190D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5" name="Graphic 4" descr="Telephone outline">
            <a:extLst>
              <a:ext uri="{FF2B5EF4-FFF2-40B4-BE49-F238E27FC236}">
                <a16:creationId xmlns:a16="http://schemas.microsoft.com/office/drawing/2014/main" id="{736D560B-5CBA-4F61-B1AE-61A1CBDEDD0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6" name="Graphic 5" descr="Smart Phone outline">
            <a:extLst>
              <a:ext uri="{FF2B5EF4-FFF2-40B4-BE49-F238E27FC236}">
                <a16:creationId xmlns:a16="http://schemas.microsoft.com/office/drawing/2014/main" id="{73899F2A-045E-4AE2-9BB1-E1096B52D10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7" name="Graphic 6" descr="Printer outline">
            <a:extLst>
              <a:ext uri="{FF2B5EF4-FFF2-40B4-BE49-F238E27FC236}">
                <a16:creationId xmlns:a16="http://schemas.microsoft.com/office/drawing/2014/main" id="{28BCB61F-AE2B-4A9F-88B0-AA1CD8934F9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165100</xdr:rowOff>
    </xdr:from>
    <xdr:to>
      <xdr:col>11</xdr:col>
      <xdr:colOff>43736</xdr:colOff>
      <xdr:row>7</xdr:row>
      <xdr:rowOff>63307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B3499A1-276F-453D-ACCE-D04CF0455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65100"/>
          <a:ext cx="5714286" cy="1542857"/>
        </a:xfrm>
        <a:prstGeom prst="rect">
          <a:avLst/>
        </a:prstGeom>
      </xdr:spPr>
    </xdr:pic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222D61D-968D-4044-80DB-37065E178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E8E728BC-D2F2-4A7F-B444-7CE6B2C65BF9}"/>
            </a:ext>
          </a:extLst>
        </xdr:cNvPr>
        <xdr:cNvGrpSpPr/>
      </xdr:nvGrpSpPr>
      <xdr:grpSpPr>
        <a:xfrm>
          <a:off x="2406312" y="74381"/>
          <a:ext cx="6496387" cy="1675459"/>
          <a:chOff x="1936412" y="131531"/>
          <a:chExt cx="6656021" cy="1675459"/>
        </a:xfrm>
      </xdr:grpSpPr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4BD5CD4B-ADE8-4971-9EF4-F03B1910DF69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16" name="Rectangle 15">
            <a:extLst>
              <a:ext uri="{FF2B5EF4-FFF2-40B4-BE49-F238E27FC236}">
                <a16:creationId xmlns:a16="http://schemas.microsoft.com/office/drawing/2014/main" id="{4C2C0ED1-4A56-4E30-8832-2CED8A9D7D26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17" name="Graphic 16" descr="Telephone outline">
            <a:extLst>
              <a:ext uri="{FF2B5EF4-FFF2-40B4-BE49-F238E27FC236}">
                <a16:creationId xmlns:a16="http://schemas.microsoft.com/office/drawing/2014/main" id="{27531A0C-BFEB-469B-905F-74CEAA1878D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18" name="Graphic 17" descr="Smart Phone outline">
            <a:extLst>
              <a:ext uri="{FF2B5EF4-FFF2-40B4-BE49-F238E27FC236}">
                <a16:creationId xmlns:a16="http://schemas.microsoft.com/office/drawing/2014/main" id="{2B840B8D-D322-491A-8026-BD06C4EFA2B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19" name="Graphic 18" descr="Printer outline">
            <a:extLst>
              <a:ext uri="{FF2B5EF4-FFF2-40B4-BE49-F238E27FC236}">
                <a16:creationId xmlns:a16="http://schemas.microsoft.com/office/drawing/2014/main" id="{EBB8117D-91F9-4AB4-A4B8-BBD58244567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165100</xdr:rowOff>
    </xdr:from>
    <xdr:to>
      <xdr:col>10</xdr:col>
      <xdr:colOff>678736</xdr:colOff>
      <xdr:row>7</xdr:row>
      <xdr:rowOff>63307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974CBD78-78A7-49C1-8BF1-3D7893773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65100"/>
          <a:ext cx="5714286" cy="1542857"/>
        </a:xfrm>
        <a:prstGeom prst="rect">
          <a:avLst/>
        </a:prstGeom>
      </xdr:spPr>
    </xdr:pic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E19FC169-27F5-4BA6-9A9B-8192B1620CCE}"/>
            </a:ext>
          </a:extLst>
        </xdr:cNvPr>
        <xdr:cNvGrpSpPr/>
      </xdr:nvGrpSpPr>
      <xdr:grpSpPr>
        <a:xfrm>
          <a:off x="2406312" y="74381"/>
          <a:ext cx="6731337" cy="1675459"/>
          <a:chOff x="1936412" y="131531"/>
          <a:chExt cx="6656021" cy="1675459"/>
        </a:xfrm>
      </xdr:grpSpPr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7B9F5B2D-6F49-4985-9EB5-104BBBB78D4E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16" name="Rectangle 15">
            <a:extLst>
              <a:ext uri="{FF2B5EF4-FFF2-40B4-BE49-F238E27FC236}">
                <a16:creationId xmlns:a16="http://schemas.microsoft.com/office/drawing/2014/main" id="{252618F8-25B5-403D-B300-603CD10A59F6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17" name="Graphic 16" descr="Telephone outline">
            <a:extLst>
              <a:ext uri="{FF2B5EF4-FFF2-40B4-BE49-F238E27FC236}">
                <a16:creationId xmlns:a16="http://schemas.microsoft.com/office/drawing/2014/main" id="{0BE03DBE-DF4F-45A6-9DAE-3173E5EF431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18" name="Graphic 17" descr="Smart Phone outline">
            <a:extLst>
              <a:ext uri="{FF2B5EF4-FFF2-40B4-BE49-F238E27FC236}">
                <a16:creationId xmlns:a16="http://schemas.microsoft.com/office/drawing/2014/main" id="{A0A60AFF-4A6E-4589-8B47-7D7DC40D189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19" name="Graphic 18" descr="Printer outline">
            <a:extLst>
              <a:ext uri="{FF2B5EF4-FFF2-40B4-BE49-F238E27FC236}">
                <a16:creationId xmlns:a16="http://schemas.microsoft.com/office/drawing/2014/main" id="{15A45AAD-29D1-4CEB-BAA4-DF02557362F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165100</xdr:rowOff>
    </xdr:from>
    <xdr:to>
      <xdr:col>10</xdr:col>
      <xdr:colOff>443786</xdr:colOff>
      <xdr:row>7</xdr:row>
      <xdr:rowOff>63307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DC6EDD3D-D28B-4E22-A338-58105F286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65100"/>
          <a:ext cx="5714286" cy="1542857"/>
        </a:xfrm>
        <a:prstGeom prst="rect">
          <a:avLst/>
        </a:prstGeom>
      </xdr:spPr>
    </xdr:pic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B69D754F-DA42-4C5B-B708-BF556C1F5867}"/>
            </a:ext>
          </a:extLst>
        </xdr:cNvPr>
        <xdr:cNvGrpSpPr/>
      </xdr:nvGrpSpPr>
      <xdr:grpSpPr>
        <a:xfrm>
          <a:off x="2406312" y="74381"/>
          <a:ext cx="6394787" cy="1675459"/>
          <a:chOff x="1936412" y="131531"/>
          <a:chExt cx="6656021" cy="1675459"/>
        </a:xfrm>
      </xdr:grpSpPr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7464756F-15A4-4320-99A4-5F64430CFAA9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16" name="Rectangle 15">
            <a:extLst>
              <a:ext uri="{FF2B5EF4-FFF2-40B4-BE49-F238E27FC236}">
                <a16:creationId xmlns:a16="http://schemas.microsoft.com/office/drawing/2014/main" id="{5F1F4892-E1EB-4DCC-9245-B661B9642653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17" name="Graphic 16" descr="Telephone outline">
            <a:extLst>
              <a:ext uri="{FF2B5EF4-FFF2-40B4-BE49-F238E27FC236}">
                <a16:creationId xmlns:a16="http://schemas.microsoft.com/office/drawing/2014/main" id="{F6A6E457-A827-4FF0-AA5D-938F18F32FB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18" name="Graphic 17" descr="Smart Phone outline">
            <a:extLst>
              <a:ext uri="{FF2B5EF4-FFF2-40B4-BE49-F238E27FC236}">
                <a16:creationId xmlns:a16="http://schemas.microsoft.com/office/drawing/2014/main" id="{9604E984-1E6C-4A3F-92A0-7DA9DABB6A8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19" name="Graphic 18" descr="Printer outline">
            <a:extLst>
              <a:ext uri="{FF2B5EF4-FFF2-40B4-BE49-F238E27FC236}">
                <a16:creationId xmlns:a16="http://schemas.microsoft.com/office/drawing/2014/main" id="{9EBA8E40-C2BD-49CB-967A-B715FA78039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165100</xdr:rowOff>
    </xdr:from>
    <xdr:to>
      <xdr:col>10</xdr:col>
      <xdr:colOff>780336</xdr:colOff>
      <xdr:row>7</xdr:row>
      <xdr:rowOff>63307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1EA1E499-FA47-4C44-8463-9ACD8377E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65100"/>
          <a:ext cx="5714286" cy="1542857"/>
        </a:xfrm>
        <a:prstGeom prst="rect">
          <a:avLst/>
        </a:prstGeom>
      </xdr:spPr>
    </xdr:pic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0A4DA932-4689-4F38-819C-0421385C19A7}"/>
            </a:ext>
          </a:extLst>
        </xdr:cNvPr>
        <xdr:cNvGrpSpPr/>
      </xdr:nvGrpSpPr>
      <xdr:grpSpPr>
        <a:xfrm>
          <a:off x="2406312" y="74381"/>
          <a:ext cx="6782137" cy="1675459"/>
          <a:chOff x="1936412" y="131531"/>
          <a:chExt cx="6656021" cy="1675459"/>
        </a:xfrm>
      </xdr:grpSpPr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14161D25-250E-4101-82D7-D41CBF7E5C9F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10" name="Rectangle 9">
            <a:extLst>
              <a:ext uri="{FF2B5EF4-FFF2-40B4-BE49-F238E27FC236}">
                <a16:creationId xmlns:a16="http://schemas.microsoft.com/office/drawing/2014/main" id="{D91BAF79-C683-4664-BAFF-25EE44C372E2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11" name="Graphic 10" descr="Telephone outline">
            <a:extLst>
              <a:ext uri="{FF2B5EF4-FFF2-40B4-BE49-F238E27FC236}">
                <a16:creationId xmlns:a16="http://schemas.microsoft.com/office/drawing/2014/main" id="{24658F01-8260-499C-BC4B-F07B82191FB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12" name="Graphic 11" descr="Smart Phone outline">
            <a:extLst>
              <a:ext uri="{FF2B5EF4-FFF2-40B4-BE49-F238E27FC236}">
                <a16:creationId xmlns:a16="http://schemas.microsoft.com/office/drawing/2014/main" id="{DA180610-0E9F-482B-A949-1D9430D403E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13" name="Graphic 12" descr="Printer outline">
            <a:extLst>
              <a:ext uri="{FF2B5EF4-FFF2-40B4-BE49-F238E27FC236}">
                <a16:creationId xmlns:a16="http://schemas.microsoft.com/office/drawing/2014/main" id="{CBFA94C3-EF20-44E1-9C25-ACE035388D4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165100</xdr:rowOff>
    </xdr:from>
    <xdr:to>
      <xdr:col>10</xdr:col>
      <xdr:colOff>392986</xdr:colOff>
      <xdr:row>7</xdr:row>
      <xdr:rowOff>63307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52778364-EAF7-4D4C-9B82-9D61B0330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65100"/>
          <a:ext cx="5714286" cy="1542857"/>
        </a:xfrm>
        <a:prstGeom prst="rect">
          <a:avLst/>
        </a:prstGeom>
      </xdr:spPr>
    </xdr:pic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122DDFFA-CE5B-45C4-A6D3-2AF34C366C13}"/>
            </a:ext>
          </a:extLst>
        </xdr:cNvPr>
        <xdr:cNvGrpSpPr/>
      </xdr:nvGrpSpPr>
      <xdr:grpSpPr>
        <a:xfrm>
          <a:off x="2406312" y="74381"/>
          <a:ext cx="6394787" cy="1675459"/>
          <a:chOff x="1936412" y="131531"/>
          <a:chExt cx="6656021" cy="1675459"/>
        </a:xfrm>
      </xdr:grpSpPr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6F0B3CFB-96EC-46E3-9B0B-D31D5CA92CD5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16" name="Rectangle 15">
            <a:extLst>
              <a:ext uri="{FF2B5EF4-FFF2-40B4-BE49-F238E27FC236}">
                <a16:creationId xmlns:a16="http://schemas.microsoft.com/office/drawing/2014/main" id="{1796AAFD-D2D4-4ED4-BA90-B86CA3B41743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17" name="Graphic 16" descr="Telephone outline">
            <a:extLst>
              <a:ext uri="{FF2B5EF4-FFF2-40B4-BE49-F238E27FC236}">
                <a16:creationId xmlns:a16="http://schemas.microsoft.com/office/drawing/2014/main" id="{690AB1A6-01FA-4CEC-A6CB-7985F2F6CBD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18" name="Graphic 17" descr="Smart Phone outline">
            <a:extLst>
              <a:ext uri="{FF2B5EF4-FFF2-40B4-BE49-F238E27FC236}">
                <a16:creationId xmlns:a16="http://schemas.microsoft.com/office/drawing/2014/main" id="{BD3DE44F-1469-4497-9BE2-597D7A18312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19" name="Graphic 18" descr="Printer outline">
            <a:extLst>
              <a:ext uri="{FF2B5EF4-FFF2-40B4-BE49-F238E27FC236}">
                <a16:creationId xmlns:a16="http://schemas.microsoft.com/office/drawing/2014/main" id="{6EF59040-1F1C-436B-9A67-4A7656BFCB6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165100</xdr:rowOff>
    </xdr:from>
    <xdr:to>
      <xdr:col>10</xdr:col>
      <xdr:colOff>780336</xdr:colOff>
      <xdr:row>7</xdr:row>
      <xdr:rowOff>63307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1D180AC3-C78B-4856-8F49-21CA5A307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65100"/>
          <a:ext cx="5714286" cy="154285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431800</xdr:colOff>
      <xdr:row>0</xdr:row>
      <xdr:rowOff>0</xdr:rowOff>
    </xdr:from>
    <xdr:to>
      <xdr:col>11</xdr:col>
      <xdr:colOff>457200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203685-FBD4-47E0-9D89-624DFADD9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81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BF6E2961-3102-4446-B1C1-9EF8180B162C}"/>
            </a:ext>
          </a:extLst>
        </xdr:cNvPr>
        <xdr:cNvGrpSpPr/>
      </xdr:nvGrpSpPr>
      <xdr:grpSpPr>
        <a:xfrm>
          <a:off x="2406312" y="74381"/>
          <a:ext cx="6394787" cy="1675459"/>
          <a:chOff x="1936412" y="131531"/>
          <a:chExt cx="6656021" cy="1675459"/>
        </a:xfrm>
      </xdr:grpSpPr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CAF7B4B2-6D99-4F92-884F-FC1BCD091331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10" name="Rectangle 9">
            <a:extLst>
              <a:ext uri="{FF2B5EF4-FFF2-40B4-BE49-F238E27FC236}">
                <a16:creationId xmlns:a16="http://schemas.microsoft.com/office/drawing/2014/main" id="{FAB8C582-FEA7-41D7-B194-DBFEB215A2AB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11" name="Graphic 10" descr="Telephone outline">
            <a:extLst>
              <a:ext uri="{FF2B5EF4-FFF2-40B4-BE49-F238E27FC236}">
                <a16:creationId xmlns:a16="http://schemas.microsoft.com/office/drawing/2014/main" id="{BE26D2FC-A1C1-4BEC-B834-8B87AF4A2B8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12" name="Graphic 11" descr="Smart Phone outline">
            <a:extLst>
              <a:ext uri="{FF2B5EF4-FFF2-40B4-BE49-F238E27FC236}">
                <a16:creationId xmlns:a16="http://schemas.microsoft.com/office/drawing/2014/main" id="{66BD9A82-BDBC-4846-8842-0C5F3BB2D05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13" name="Graphic 12" descr="Printer outline">
            <a:extLst>
              <a:ext uri="{FF2B5EF4-FFF2-40B4-BE49-F238E27FC236}">
                <a16:creationId xmlns:a16="http://schemas.microsoft.com/office/drawing/2014/main" id="{93962991-3552-4388-98D6-BF8129A7FAC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165100</xdr:rowOff>
    </xdr:from>
    <xdr:to>
      <xdr:col>10</xdr:col>
      <xdr:colOff>780336</xdr:colOff>
      <xdr:row>7</xdr:row>
      <xdr:rowOff>63307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14766B7B-E02D-4A3A-AAD9-D47249903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65100"/>
          <a:ext cx="5714286" cy="1542857"/>
        </a:xfrm>
        <a:prstGeom prst="rect">
          <a:avLst/>
        </a:prstGeom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342900</xdr:colOff>
      <xdr:row>0</xdr:row>
      <xdr:rowOff>0</xdr:rowOff>
    </xdr:from>
    <xdr:to>
      <xdr:col>11</xdr:col>
      <xdr:colOff>609600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98C56B2-AC1A-DF52-E2BD-DC502A1EC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477C4A8C-EE1E-4E58-BAA9-E1B7DBAC8760}"/>
            </a:ext>
          </a:extLst>
        </xdr:cNvPr>
        <xdr:cNvGrpSpPr/>
      </xdr:nvGrpSpPr>
      <xdr:grpSpPr>
        <a:xfrm>
          <a:off x="2406312" y="74381"/>
          <a:ext cx="6705937" cy="1675459"/>
          <a:chOff x="1936412" y="131531"/>
          <a:chExt cx="6656021" cy="1675459"/>
        </a:xfrm>
      </xdr:grpSpPr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2D4C7522-83BE-4F27-A50B-6E27EAB79244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F5D29CB9-3BEA-4676-9F2D-3D333E1D83F7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8" name="Graphic 7" descr="Telephone outline">
            <a:extLst>
              <a:ext uri="{FF2B5EF4-FFF2-40B4-BE49-F238E27FC236}">
                <a16:creationId xmlns:a16="http://schemas.microsoft.com/office/drawing/2014/main" id="{705CCF8B-371A-42C2-8DCA-6551A1E8CEC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9" name="Graphic 8" descr="Smart Phone outline">
            <a:extLst>
              <a:ext uri="{FF2B5EF4-FFF2-40B4-BE49-F238E27FC236}">
                <a16:creationId xmlns:a16="http://schemas.microsoft.com/office/drawing/2014/main" id="{14033921-B2C1-46D0-A507-6F5BF4DE13F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10" name="Graphic 9" descr="Printer outline">
            <a:extLst>
              <a:ext uri="{FF2B5EF4-FFF2-40B4-BE49-F238E27FC236}">
                <a16:creationId xmlns:a16="http://schemas.microsoft.com/office/drawing/2014/main" id="{49011E2D-8D70-4C32-854D-492CA09DE2D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165100</xdr:rowOff>
    </xdr:from>
    <xdr:to>
      <xdr:col>10</xdr:col>
      <xdr:colOff>469186</xdr:colOff>
      <xdr:row>7</xdr:row>
      <xdr:rowOff>63307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11054E3-A974-41E3-BDC4-7375B1F93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65100"/>
          <a:ext cx="5714286" cy="1542857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7C85EBE1-DF22-4CB6-970E-EDC5D290AB84}"/>
            </a:ext>
          </a:extLst>
        </xdr:cNvPr>
        <xdr:cNvGrpSpPr/>
      </xdr:nvGrpSpPr>
      <xdr:grpSpPr>
        <a:xfrm>
          <a:off x="2406312" y="74381"/>
          <a:ext cx="6458287" cy="1675459"/>
          <a:chOff x="1936412" y="131531"/>
          <a:chExt cx="6656021" cy="1675459"/>
        </a:xfrm>
      </xdr:grpSpPr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C7577225-2912-4A95-8A40-1D189AE2472E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13" name="Rectangle 12">
            <a:extLst>
              <a:ext uri="{FF2B5EF4-FFF2-40B4-BE49-F238E27FC236}">
                <a16:creationId xmlns:a16="http://schemas.microsoft.com/office/drawing/2014/main" id="{A5DDB7B5-E4CA-4386-BD36-C4F6DA87C7EF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14" name="Graphic 13" descr="Telephone outline">
            <a:extLst>
              <a:ext uri="{FF2B5EF4-FFF2-40B4-BE49-F238E27FC236}">
                <a16:creationId xmlns:a16="http://schemas.microsoft.com/office/drawing/2014/main" id="{AE2EA0AF-3B08-487A-AB05-BBCD6E67A13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15" name="Graphic 14" descr="Smart Phone outline">
            <a:extLst>
              <a:ext uri="{FF2B5EF4-FFF2-40B4-BE49-F238E27FC236}">
                <a16:creationId xmlns:a16="http://schemas.microsoft.com/office/drawing/2014/main" id="{1091796C-1A5A-4254-B5EB-9A694B56E49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16" name="Graphic 15" descr="Printer outline">
            <a:extLst>
              <a:ext uri="{FF2B5EF4-FFF2-40B4-BE49-F238E27FC236}">
                <a16:creationId xmlns:a16="http://schemas.microsoft.com/office/drawing/2014/main" id="{D24CA7D7-EA5B-4B02-9817-5CDFF24E709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165100</xdr:rowOff>
    </xdr:from>
    <xdr:to>
      <xdr:col>10</xdr:col>
      <xdr:colOff>716836</xdr:colOff>
      <xdr:row>7</xdr:row>
      <xdr:rowOff>63307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5EC7DAAE-CE67-4A06-B3AD-8E2F42D9C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65100"/>
          <a:ext cx="5714286" cy="1542857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400050</xdr:colOff>
      <xdr:row>0</xdr:row>
      <xdr:rowOff>0</xdr:rowOff>
    </xdr:from>
    <xdr:to>
      <xdr:col>11</xdr:col>
      <xdr:colOff>495300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9FEB04C-DC3A-D5FD-D966-11B5F8311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22F10786-A8E8-4D28-91FB-09AC035C8A4E}"/>
            </a:ext>
          </a:extLst>
        </xdr:cNvPr>
        <xdr:cNvGrpSpPr/>
      </xdr:nvGrpSpPr>
      <xdr:grpSpPr>
        <a:xfrm>
          <a:off x="2406312" y="74381"/>
          <a:ext cx="6394787" cy="1675459"/>
          <a:chOff x="1936412" y="131531"/>
          <a:chExt cx="6656021" cy="1675459"/>
        </a:xfrm>
      </xdr:grpSpPr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8F0BE88B-AA7C-467D-9062-6BAAF802B5D3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16" name="Rectangle 15">
            <a:extLst>
              <a:ext uri="{FF2B5EF4-FFF2-40B4-BE49-F238E27FC236}">
                <a16:creationId xmlns:a16="http://schemas.microsoft.com/office/drawing/2014/main" id="{FD0A2AEE-DD8D-4792-A7BE-D384D4DEB2E9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17" name="Graphic 16" descr="Telephone outline">
            <a:extLst>
              <a:ext uri="{FF2B5EF4-FFF2-40B4-BE49-F238E27FC236}">
                <a16:creationId xmlns:a16="http://schemas.microsoft.com/office/drawing/2014/main" id="{A77141BD-85E5-49DD-A968-08CEFCED3F7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18" name="Graphic 17" descr="Smart Phone outline">
            <a:extLst>
              <a:ext uri="{FF2B5EF4-FFF2-40B4-BE49-F238E27FC236}">
                <a16:creationId xmlns:a16="http://schemas.microsoft.com/office/drawing/2014/main" id="{4CF1A141-CF3B-4900-BA73-D19AF0615B1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19" name="Graphic 18" descr="Printer outline">
            <a:extLst>
              <a:ext uri="{FF2B5EF4-FFF2-40B4-BE49-F238E27FC236}">
                <a16:creationId xmlns:a16="http://schemas.microsoft.com/office/drawing/2014/main" id="{4DAA01AF-CC14-4BC7-B2EB-F2961816453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190500</xdr:rowOff>
    </xdr:from>
    <xdr:to>
      <xdr:col>10</xdr:col>
      <xdr:colOff>780336</xdr:colOff>
      <xdr:row>7</xdr:row>
      <xdr:rowOff>88707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EC041DE9-E665-48F5-B66E-753B32BF7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90500"/>
          <a:ext cx="5714286" cy="1542857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C3AA14B8-4FB1-4C8C-BC0D-C5B2AC6A37A9}"/>
            </a:ext>
          </a:extLst>
        </xdr:cNvPr>
        <xdr:cNvGrpSpPr/>
      </xdr:nvGrpSpPr>
      <xdr:grpSpPr>
        <a:xfrm>
          <a:off x="2406312" y="74381"/>
          <a:ext cx="6394787" cy="1675459"/>
          <a:chOff x="1936412" y="131531"/>
          <a:chExt cx="6656021" cy="1675459"/>
        </a:xfrm>
      </xdr:grpSpPr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FCB04013-1D1A-4254-A847-D031338700BA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96243B0E-B7BF-4148-B57C-5FFFCA12F80B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5" name="Graphic 4" descr="Telephone outline">
            <a:extLst>
              <a:ext uri="{FF2B5EF4-FFF2-40B4-BE49-F238E27FC236}">
                <a16:creationId xmlns:a16="http://schemas.microsoft.com/office/drawing/2014/main" id="{E4400818-A43B-4982-AC75-AF4561BC0EF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6" name="Graphic 5" descr="Smart Phone outline">
            <a:extLst>
              <a:ext uri="{FF2B5EF4-FFF2-40B4-BE49-F238E27FC236}">
                <a16:creationId xmlns:a16="http://schemas.microsoft.com/office/drawing/2014/main" id="{80A737D4-D23C-4C8C-851B-47E51046EFC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7" name="Graphic 6" descr="Printer outline">
            <a:extLst>
              <a:ext uri="{FF2B5EF4-FFF2-40B4-BE49-F238E27FC236}">
                <a16:creationId xmlns:a16="http://schemas.microsoft.com/office/drawing/2014/main" id="{1DE49B5D-C7AD-4734-AC05-F4AE4CB289C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190500</xdr:rowOff>
    </xdr:from>
    <xdr:to>
      <xdr:col>10</xdr:col>
      <xdr:colOff>780336</xdr:colOff>
      <xdr:row>7</xdr:row>
      <xdr:rowOff>88707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7F2B3E3-F19F-497A-8BF3-FD91458BD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90500"/>
          <a:ext cx="5714286" cy="1542857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4CAEF4F6-EC04-4D92-A670-4D02C28B2DFF}"/>
            </a:ext>
          </a:extLst>
        </xdr:cNvPr>
        <xdr:cNvGrpSpPr/>
      </xdr:nvGrpSpPr>
      <xdr:grpSpPr>
        <a:xfrm>
          <a:off x="2406312" y="74381"/>
          <a:ext cx="6483687" cy="1675459"/>
          <a:chOff x="1936412" y="131531"/>
          <a:chExt cx="6656021" cy="1675459"/>
        </a:xfrm>
      </xdr:grpSpPr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5E8A8704-143D-4BFD-9BCE-1FBCF6727280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8EB21EDA-884D-4376-B839-62C1F057B149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8" name="Graphic 7" descr="Telephone outline">
            <a:extLst>
              <a:ext uri="{FF2B5EF4-FFF2-40B4-BE49-F238E27FC236}">
                <a16:creationId xmlns:a16="http://schemas.microsoft.com/office/drawing/2014/main" id="{17BD7260-7BB8-4A34-A5BC-FAFE47F847F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9" name="Graphic 8" descr="Smart Phone outline">
            <a:extLst>
              <a:ext uri="{FF2B5EF4-FFF2-40B4-BE49-F238E27FC236}">
                <a16:creationId xmlns:a16="http://schemas.microsoft.com/office/drawing/2014/main" id="{63F61074-2A4C-4480-ADF6-8544BEB74A7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10" name="Graphic 9" descr="Printer outline">
            <a:extLst>
              <a:ext uri="{FF2B5EF4-FFF2-40B4-BE49-F238E27FC236}">
                <a16:creationId xmlns:a16="http://schemas.microsoft.com/office/drawing/2014/main" id="{6D9366A6-AA70-483E-963B-20073CD76B9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190500</xdr:rowOff>
    </xdr:from>
    <xdr:to>
      <xdr:col>10</xdr:col>
      <xdr:colOff>691436</xdr:colOff>
      <xdr:row>7</xdr:row>
      <xdr:rowOff>88707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3A01C992-4072-4312-9F18-9F4D7B5AE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90500"/>
          <a:ext cx="5714286" cy="1542857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292100</xdr:colOff>
      <xdr:row>0</xdr:row>
      <xdr:rowOff>0</xdr:rowOff>
    </xdr:from>
    <xdr:to>
      <xdr:col>11</xdr:col>
      <xdr:colOff>558800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92D2A75-7819-3843-AF3B-A38E8F41B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C2387707-894C-469A-BFF7-8644D4DCFE6C}"/>
            </a:ext>
          </a:extLst>
        </xdr:cNvPr>
        <xdr:cNvGrpSpPr/>
      </xdr:nvGrpSpPr>
      <xdr:grpSpPr>
        <a:xfrm>
          <a:off x="2406312" y="74381"/>
          <a:ext cx="6534487" cy="1675459"/>
          <a:chOff x="1936412" y="131531"/>
          <a:chExt cx="6656021" cy="1675459"/>
        </a:xfrm>
      </xdr:grpSpPr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D000E179-3D7D-48EE-9963-81DAB07CE0FE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F6BB2B40-06AA-40B8-9357-322DA5219BE7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8" name="Graphic 7" descr="Telephone outline">
            <a:extLst>
              <a:ext uri="{FF2B5EF4-FFF2-40B4-BE49-F238E27FC236}">
                <a16:creationId xmlns:a16="http://schemas.microsoft.com/office/drawing/2014/main" id="{B55079F8-4D0F-4B9D-9DE2-7226AFA79BF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9" name="Graphic 8" descr="Smart Phone outline">
            <a:extLst>
              <a:ext uri="{FF2B5EF4-FFF2-40B4-BE49-F238E27FC236}">
                <a16:creationId xmlns:a16="http://schemas.microsoft.com/office/drawing/2014/main" id="{2A99D60E-E8E6-45F7-8E2F-588406AB1BF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10" name="Graphic 9" descr="Printer outline">
            <a:extLst>
              <a:ext uri="{FF2B5EF4-FFF2-40B4-BE49-F238E27FC236}">
                <a16:creationId xmlns:a16="http://schemas.microsoft.com/office/drawing/2014/main" id="{722FF648-A1B5-4B98-8724-6DD201121A9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190500</xdr:rowOff>
    </xdr:from>
    <xdr:to>
      <xdr:col>10</xdr:col>
      <xdr:colOff>640636</xdr:colOff>
      <xdr:row>7</xdr:row>
      <xdr:rowOff>88707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DCD8F20-B44C-486C-8A46-74FFF4011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90500"/>
          <a:ext cx="5714286" cy="154285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431800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791A4E5D-C241-4D7A-A5F2-BEC33B56C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81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153DB089-FCDA-4A72-852E-74F72C932CAC}"/>
            </a:ext>
          </a:extLst>
        </xdr:cNvPr>
        <xdr:cNvGrpSpPr/>
      </xdr:nvGrpSpPr>
      <xdr:grpSpPr>
        <a:xfrm>
          <a:off x="2406312" y="74381"/>
          <a:ext cx="6394787" cy="1675459"/>
          <a:chOff x="1936412" y="131531"/>
          <a:chExt cx="6656021" cy="1675459"/>
        </a:xfrm>
      </xdr:grpSpPr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1715D259-230B-47B3-B55E-88C5F03E5DA8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AB774594-11E8-4E22-ACA7-A13442CE96B5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5" name="Graphic 4" descr="Telephone outline">
            <a:extLst>
              <a:ext uri="{FF2B5EF4-FFF2-40B4-BE49-F238E27FC236}">
                <a16:creationId xmlns:a16="http://schemas.microsoft.com/office/drawing/2014/main" id="{49B9C844-ADC5-4BB8-A023-D7399E4F752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6" name="Graphic 5" descr="Smart Phone outline">
            <a:extLst>
              <a:ext uri="{FF2B5EF4-FFF2-40B4-BE49-F238E27FC236}">
                <a16:creationId xmlns:a16="http://schemas.microsoft.com/office/drawing/2014/main" id="{6084B782-8BEF-4D5E-9254-0BC1648DC52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7" name="Graphic 6" descr="Printer outline">
            <a:extLst>
              <a:ext uri="{FF2B5EF4-FFF2-40B4-BE49-F238E27FC236}">
                <a16:creationId xmlns:a16="http://schemas.microsoft.com/office/drawing/2014/main" id="{D3932D7F-B919-4353-8486-2D3132BC4F1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190500</xdr:rowOff>
    </xdr:from>
    <xdr:to>
      <xdr:col>10</xdr:col>
      <xdr:colOff>780336</xdr:colOff>
      <xdr:row>7</xdr:row>
      <xdr:rowOff>88707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B44C9A9-7E9C-4626-800F-DE36CA066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90500"/>
          <a:ext cx="5714286" cy="1542857"/>
        </a:xfrm>
        <a:prstGeom prst="rect">
          <a:avLst/>
        </a:prstGeom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13CE8B21-A081-48F5-99D2-54C65BB355FD}"/>
            </a:ext>
          </a:extLst>
        </xdr:cNvPr>
        <xdr:cNvGrpSpPr/>
      </xdr:nvGrpSpPr>
      <xdr:grpSpPr>
        <a:xfrm>
          <a:off x="2406312" y="74381"/>
          <a:ext cx="6394787" cy="1675459"/>
          <a:chOff x="1936412" y="131531"/>
          <a:chExt cx="6656021" cy="1675459"/>
        </a:xfrm>
      </xdr:grpSpPr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A43996EF-44D3-42A1-91FA-974ABBFFC4B0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216C9AB5-2A02-4242-B292-66287AF95C66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5" name="Graphic 4" descr="Telephone outline">
            <a:extLst>
              <a:ext uri="{FF2B5EF4-FFF2-40B4-BE49-F238E27FC236}">
                <a16:creationId xmlns:a16="http://schemas.microsoft.com/office/drawing/2014/main" id="{9CAE3360-CACB-460B-9551-04970D3EFF7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6" name="Graphic 5" descr="Smart Phone outline">
            <a:extLst>
              <a:ext uri="{FF2B5EF4-FFF2-40B4-BE49-F238E27FC236}">
                <a16:creationId xmlns:a16="http://schemas.microsoft.com/office/drawing/2014/main" id="{61E51796-1652-4F1A-B6CD-6B4EB8B034C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7" name="Graphic 6" descr="Printer outline">
            <a:extLst>
              <a:ext uri="{FF2B5EF4-FFF2-40B4-BE49-F238E27FC236}">
                <a16:creationId xmlns:a16="http://schemas.microsoft.com/office/drawing/2014/main" id="{6064F0F6-2504-4C01-9B28-E3DF0FE2E7E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190500</xdr:rowOff>
    </xdr:from>
    <xdr:to>
      <xdr:col>10</xdr:col>
      <xdr:colOff>780336</xdr:colOff>
      <xdr:row>7</xdr:row>
      <xdr:rowOff>88707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A85B76E-C1D1-44BA-A87C-EB1D3EFAD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90500"/>
          <a:ext cx="5714286" cy="1542857"/>
        </a:xfrm>
        <a:prstGeom prst="rect">
          <a:avLst/>
        </a:prstGeom>
      </xdr:spPr>
    </xdr:pic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616858</xdr:colOff>
      <xdr:row>0</xdr:row>
      <xdr:rowOff>199571</xdr:rowOff>
    </xdr:from>
    <xdr:to>
      <xdr:col>11</xdr:col>
      <xdr:colOff>362874</xdr:colOff>
      <xdr:row>7</xdr:row>
      <xdr:rowOff>117929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2986D570-E065-4CE0-BDC7-90E82C8EC599}"/>
            </a:ext>
          </a:extLst>
        </xdr:cNvPr>
        <xdr:cNvGrpSpPr/>
      </xdr:nvGrpSpPr>
      <xdr:grpSpPr>
        <a:xfrm>
          <a:off x="1493158" y="199571"/>
          <a:ext cx="7251716" cy="1563008"/>
          <a:chOff x="1834595" y="633399"/>
          <a:chExt cx="5179765" cy="1275899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970FF604-1D7F-42A1-A6FA-4E4E92592AC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7334" t="7214" r="4455" b="5908"/>
          <a:stretch/>
        </xdr:blipFill>
        <xdr:spPr>
          <a:xfrm>
            <a:off x="1834595" y="633399"/>
            <a:ext cx="907259" cy="1106271"/>
          </a:xfrm>
          <a:prstGeom prst="rect">
            <a:avLst/>
          </a:prstGeom>
        </xdr:spPr>
      </xdr:pic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A970DF1B-3FF2-4804-AD2B-72500E14C4A3}"/>
              </a:ext>
            </a:extLst>
          </xdr:cNvPr>
          <xdr:cNvSpPr txBox="1"/>
        </xdr:nvSpPr>
        <xdr:spPr>
          <a:xfrm>
            <a:off x="2741874" y="681371"/>
            <a:ext cx="4272486" cy="1227927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ctr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Order Hotline: 9099 1368,  Office: 6756 1368   Fax: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</xdr:grp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819150</xdr:colOff>
      <xdr:row>0</xdr:row>
      <xdr:rowOff>209550</xdr:rowOff>
    </xdr:from>
    <xdr:to>
      <xdr:col>10</xdr:col>
      <xdr:colOff>570786</xdr:colOff>
      <xdr:row>7</xdr:row>
      <xdr:rowOff>107757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CC050E08-1B66-49B5-A85F-979576CD8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0" y="209550"/>
          <a:ext cx="5714286" cy="1542857"/>
        </a:xfrm>
        <a:prstGeom prst="rect">
          <a:avLst/>
        </a:prstGeom>
      </xdr:spPr>
    </xdr:pic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616858</xdr:colOff>
      <xdr:row>0</xdr:row>
      <xdr:rowOff>199571</xdr:rowOff>
    </xdr:from>
    <xdr:to>
      <xdr:col>11</xdr:col>
      <xdr:colOff>362874</xdr:colOff>
      <xdr:row>7</xdr:row>
      <xdr:rowOff>117929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12A90DA-89EA-47FF-9CBD-02068A83C549}"/>
            </a:ext>
          </a:extLst>
        </xdr:cNvPr>
        <xdr:cNvGrpSpPr/>
      </xdr:nvGrpSpPr>
      <xdr:grpSpPr>
        <a:xfrm>
          <a:off x="1493158" y="199571"/>
          <a:ext cx="7480316" cy="1563008"/>
          <a:chOff x="1834595" y="633399"/>
          <a:chExt cx="5179765" cy="1275899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DF4CE6AE-25EF-497C-AEDA-37C23C051ABC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7334" t="7214" r="4455" b="5908"/>
          <a:stretch/>
        </xdr:blipFill>
        <xdr:spPr>
          <a:xfrm>
            <a:off x="1834595" y="633399"/>
            <a:ext cx="907259" cy="1106271"/>
          </a:xfrm>
          <a:prstGeom prst="rect">
            <a:avLst/>
          </a:prstGeom>
        </xdr:spPr>
      </xdr:pic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BEE56DCB-9C62-4281-8D9C-6A563A202B4B}"/>
              </a:ext>
            </a:extLst>
          </xdr:cNvPr>
          <xdr:cNvSpPr txBox="1"/>
        </xdr:nvSpPr>
        <xdr:spPr>
          <a:xfrm>
            <a:off x="2741874" y="681371"/>
            <a:ext cx="4272486" cy="1227927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ctr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Order Hotline: 9099 1368,  Office: 6756 1368   Fax: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</xdr:grp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616858</xdr:colOff>
      <xdr:row>0</xdr:row>
      <xdr:rowOff>199571</xdr:rowOff>
    </xdr:from>
    <xdr:to>
      <xdr:col>11</xdr:col>
      <xdr:colOff>362874</xdr:colOff>
      <xdr:row>7</xdr:row>
      <xdr:rowOff>117929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D86FC05-1385-463A-8ECE-A4BFA3F5FEB1}"/>
            </a:ext>
          </a:extLst>
        </xdr:cNvPr>
        <xdr:cNvGrpSpPr/>
      </xdr:nvGrpSpPr>
      <xdr:grpSpPr>
        <a:xfrm>
          <a:off x="1493158" y="199571"/>
          <a:ext cx="7385066" cy="1563008"/>
          <a:chOff x="1834595" y="633399"/>
          <a:chExt cx="5179765" cy="1275899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9E975B74-BB59-48B2-9410-0637AE3AA55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7334" t="7214" r="4455" b="5908"/>
          <a:stretch/>
        </xdr:blipFill>
        <xdr:spPr>
          <a:xfrm>
            <a:off x="1834595" y="633399"/>
            <a:ext cx="907259" cy="1106271"/>
          </a:xfrm>
          <a:prstGeom prst="rect">
            <a:avLst/>
          </a:prstGeom>
        </xdr:spPr>
      </xdr:pic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37823474-27F7-4482-8927-EC7F9A19BB05}"/>
              </a:ext>
            </a:extLst>
          </xdr:cNvPr>
          <xdr:cNvSpPr txBox="1"/>
        </xdr:nvSpPr>
        <xdr:spPr>
          <a:xfrm>
            <a:off x="2741874" y="681371"/>
            <a:ext cx="4272486" cy="1227927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ctr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Order Hotline: 9099 1368,  Office: 6756 1368   Fax: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1897415-9F5E-546C-D103-985503088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482600</xdr:colOff>
      <xdr:row>0</xdr:row>
      <xdr:rowOff>0</xdr:rowOff>
    </xdr:from>
    <xdr:to>
      <xdr:col>11</xdr:col>
      <xdr:colOff>412750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03F7065-5E09-F7FF-35F7-B4F3D407A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8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4DEAC2-C4CE-4661-84DD-BDB741A7E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508000</xdr:colOff>
      <xdr:row>0</xdr:row>
      <xdr:rowOff>0</xdr:rowOff>
    </xdr:from>
    <xdr:to>
      <xdr:col>11</xdr:col>
      <xdr:colOff>565150</xdr:colOff>
      <xdr:row>7</xdr:row>
      <xdr:rowOff>206152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AB93D369-3CFE-C9E4-1E5D-3C220D1C0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3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514350</xdr:colOff>
      <xdr:row>0</xdr:row>
      <xdr:rowOff>0</xdr:rowOff>
    </xdr:from>
    <xdr:to>
      <xdr:col>11</xdr:col>
      <xdr:colOff>571500</xdr:colOff>
      <xdr:row>7</xdr:row>
      <xdr:rowOff>206152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28CDEDC1-2B26-1A38-B78D-E0641A0D5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488950</xdr:colOff>
      <xdr:row>7</xdr:row>
      <xdr:rowOff>206152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D8CF070C-9061-0C66-C321-FCE0E4076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0</xdr:rowOff>
    </xdr:from>
    <xdr:to>
      <xdr:col>11</xdr:col>
      <xdr:colOff>476250</xdr:colOff>
      <xdr:row>7</xdr:row>
      <xdr:rowOff>206152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F7EDCFA-CD9E-3DFC-86F2-A7826462C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8521F9E-AF0D-F8A9-E04B-998F697FB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508000</xdr:colOff>
      <xdr:row>0</xdr:row>
      <xdr:rowOff>0</xdr:rowOff>
    </xdr:from>
    <xdr:to>
      <xdr:col>11</xdr:col>
      <xdr:colOff>565150</xdr:colOff>
      <xdr:row>7</xdr:row>
      <xdr:rowOff>206152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7ED457F0-65A9-7411-A6C6-6222FF3EB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3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590550</xdr:colOff>
      <xdr:row>0</xdr:row>
      <xdr:rowOff>0</xdr:rowOff>
    </xdr:from>
    <xdr:to>
      <xdr:col>11</xdr:col>
      <xdr:colOff>385856</xdr:colOff>
      <xdr:row>7</xdr:row>
      <xdr:rowOff>206152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D7F200E-F51E-06BB-09D6-F065C7E5D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482600</xdr:colOff>
      <xdr:row>0</xdr:row>
      <xdr:rowOff>0</xdr:rowOff>
    </xdr:from>
    <xdr:to>
      <xdr:col>11</xdr:col>
      <xdr:colOff>539750</xdr:colOff>
      <xdr:row>7</xdr:row>
      <xdr:rowOff>206152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E74827AC-AE0E-49FE-9286-47AE9F0FC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8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488950</xdr:colOff>
      <xdr:row>7</xdr:row>
      <xdr:rowOff>206152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5B85FC87-19C6-C624-CD84-07E467A4C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2A0773E-01DA-5213-68CA-B6E8076F0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5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E86BF9-929A-4CFB-8660-60C8364FC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D55368-CEE3-4397-9DAD-00025A865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5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457200</xdr:colOff>
      <xdr:row>0</xdr:row>
      <xdr:rowOff>0</xdr:rowOff>
    </xdr:from>
    <xdr:to>
      <xdr:col>11</xdr:col>
      <xdr:colOff>501650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5D9A790-3DBA-549F-9FCA-BBB9B85A8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FDDA09A-9920-C838-A8A0-691FD7DA42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622300</xdr:colOff>
      <xdr:row>0</xdr:row>
      <xdr:rowOff>0</xdr:rowOff>
    </xdr:from>
    <xdr:to>
      <xdr:col>11</xdr:col>
      <xdr:colOff>266700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FB530AD-A7FA-FBCA-B710-F10FAB19A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86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622300</xdr:colOff>
      <xdr:row>0</xdr:row>
      <xdr:rowOff>0</xdr:rowOff>
    </xdr:from>
    <xdr:to>
      <xdr:col>11</xdr:col>
      <xdr:colOff>266700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0F77C6-450F-425F-8671-4D2F3B377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86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11</xdr:col>
      <xdr:colOff>247650</xdr:colOff>
      <xdr:row>7</xdr:row>
      <xdr:rowOff>206152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503A281-1FB8-4039-A22D-C1BC960CD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11</xdr:col>
      <xdr:colOff>247650</xdr:colOff>
      <xdr:row>7</xdr:row>
      <xdr:rowOff>206152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2B079751-AAC7-4043-BD9A-20061C921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B42A4BC6-2B59-4302-95D8-5E205A2D6B7C}"/>
            </a:ext>
          </a:extLst>
        </xdr:cNvPr>
        <xdr:cNvGrpSpPr/>
      </xdr:nvGrpSpPr>
      <xdr:grpSpPr>
        <a:xfrm>
          <a:off x="2406312" y="74381"/>
          <a:ext cx="6597987" cy="1675459"/>
          <a:chOff x="1936412" y="131531"/>
          <a:chExt cx="6656021" cy="1675459"/>
        </a:xfrm>
      </xdr:grpSpPr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8BDFD808-E228-418D-AC5C-3D0646E39684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38214FC1-29EC-4543-AEC4-4159BBD852D4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5" name="Graphic 4" descr="Telephone outline">
            <a:extLst>
              <a:ext uri="{FF2B5EF4-FFF2-40B4-BE49-F238E27FC236}">
                <a16:creationId xmlns:a16="http://schemas.microsoft.com/office/drawing/2014/main" id="{E4F0B1C6-DD40-4FB3-91A1-D241580119E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6" name="Graphic 5" descr="Smart Phone outline">
            <a:extLst>
              <a:ext uri="{FF2B5EF4-FFF2-40B4-BE49-F238E27FC236}">
                <a16:creationId xmlns:a16="http://schemas.microsoft.com/office/drawing/2014/main" id="{99625D0D-1B1F-4B98-8D5E-B1E980D9A23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7" name="Graphic 6" descr="Printer outline">
            <a:extLst>
              <a:ext uri="{FF2B5EF4-FFF2-40B4-BE49-F238E27FC236}">
                <a16:creationId xmlns:a16="http://schemas.microsoft.com/office/drawing/2014/main" id="{9CF72057-412B-4F16-8A9B-CB53A838227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165100</xdr:rowOff>
    </xdr:from>
    <xdr:to>
      <xdr:col>10</xdr:col>
      <xdr:colOff>437436</xdr:colOff>
      <xdr:row>7</xdr:row>
      <xdr:rowOff>63307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98594B2-0838-449D-8847-7A335F1D5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65100"/>
          <a:ext cx="5714286" cy="1542857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D58F32DA-9E40-4A72-9A9A-8358D361B698}"/>
            </a:ext>
          </a:extLst>
        </xdr:cNvPr>
        <xdr:cNvGrpSpPr/>
      </xdr:nvGrpSpPr>
      <xdr:grpSpPr>
        <a:xfrm>
          <a:off x="2406312" y="74381"/>
          <a:ext cx="6597987" cy="1675459"/>
          <a:chOff x="1936412" y="131531"/>
          <a:chExt cx="6656021" cy="1675459"/>
        </a:xfrm>
      </xdr:grpSpPr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6B78AE7D-45B9-4699-8CC6-9CB78BAC7B48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1DA52C62-908F-4568-98F8-D2A1AECE0EBF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5" name="Graphic 4" descr="Telephone outline">
            <a:extLst>
              <a:ext uri="{FF2B5EF4-FFF2-40B4-BE49-F238E27FC236}">
                <a16:creationId xmlns:a16="http://schemas.microsoft.com/office/drawing/2014/main" id="{D219E885-6846-4AED-8805-E7AB2C59E56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6" name="Graphic 5" descr="Smart Phone outline">
            <a:extLst>
              <a:ext uri="{FF2B5EF4-FFF2-40B4-BE49-F238E27FC236}">
                <a16:creationId xmlns:a16="http://schemas.microsoft.com/office/drawing/2014/main" id="{A75E5476-945E-4E78-B74F-F81403CBF05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7" name="Graphic 6" descr="Printer outline">
            <a:extLst>
              <a:ext uri="{FF2B5EF4-FFF2-40B4-BE49-F238E27FC236}">
                <a16:creationId xmlns:a16="http://schemas.microsoft.com/office/drawing/2014/main" id="{36438D7B-0FD1-4C45-8417-088AD020533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165100</xdr:rowOff>
    </xdr:from>
    <xdr:to>
      <xdr:col>10</xdr:col>
      <xdr:colOff>437436</xdr:colOff>
      <xdr:row>7</xdr:row>
      <xdr:rowOff>63307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69ACEB6-2CA2-4FCB-B61B-EEA49AEC3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65100"/>
          <a:ext cx="5714286" cy="1542857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552450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1A8AEB4-EBC4-5920-7A83-95FFA3351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D51D2F-5AF2-431E-832B-E676073E9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0</xdr:rowOff>
    </xdr:from>
    <xdr:to>
      <xdr:col>11</xdr:col>
      <xdr:colOff>482600</xdr:colOff>
      <xdr:row>7</xdr:row>
      <xdr:rowOff>206152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73C4F8A1-2421-9A7D-24D0-E513278F3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0</xdr:rowOff>
    </xdr:from>
    <xdr:to>
      <xdr:col>11</xdr:col>
      <xdr:colOff>482600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455D5B0-26A9-4EA3-9CFB-91188A5E2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488950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90428E0-7AF2-41F9-BB7A-1B9D1F59F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6350</xdr:rowOff>
    </xdr:from>
    <xdr:to>
      <xdr:col>11</xdr:col>
      <xdr:colOff>469900</xdr:colOff>
      <xdr:row>7</xdr:row>
      <xdr:rowOff>212502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8751D81-4909-4F16-8DBF-953A90A4D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6350"/>
          <a:ext cx="7772400" cy="1850802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0</xdr:rowOff>
    </xdr:from>
    <xdr:to>
      <xdr:col>11</xdr:col>
      <xdr:colOff>482600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8F2DF9-DEE6-4DF5-9443-8E1712801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431800</xdr:colOff>
      <xdr:row>0</xdr:row>
      <xdr:rowOff>0</xdr:rowOff>
    </xdr:from>
    <xdr:to>
      <xdr:col>11</xdr:col>
      <xdr:colOff>495300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9F6B920-4611-439B-AEAB-DFA527D5E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81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330200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D9F5D78-1718-18B0-845E-D73B8B1CA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311150</xdr:colOff>
      <xdr:row>0</xdr:row>
      <xdr:rowOff>0</xdr:rowOff>
    </xdr:from>
    <xdr:to>
      <xdr:col>11</xdr:col>
      <xdr:colOff>431800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936839E-7955-E487-9C0F-F922919C5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0</xdr:row>
      <xdr:rowOff>0</xdr:rowOff>
    </xdr:from>
    <xdr:to>
      <xdr:col>11</xdr:col>
      <xdr:colOff>603250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D422766-C416-E64A-0E82-41C6E41B6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482600</xdr:colOff>
      <xdr:row>0</xdr:row>
      <xdr:rowOff>0</xdr:rowOff>
    </xdr:from>
    <xdr:to>
      <xdr:col>11</xdr:col>
      <xdr:colOff>355600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2B8EB63-C01E-DCD5-4768-DE9A58E21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8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6E2DA4-BD4E-4C11-8A88-29EF6013F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819150</xdr:colOff>
      <xdr:row>0</xdr:row>
      <xdr:rowOff>209550</xdr:rowOff>
    </xdr:from>
    <xdr:to>
      <xdr:col>10</xdr:col>
      <xdr:colOff>278686</xdr:colOff>
      <xdr:row>7</xdr:row>
      <xdr:rowOff>107757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8458B6F-C6F8-40E0-9357-297D23883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0" y="209550"/>
          <a:ext cx="5714286" cy="1542857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819150</xdr:colOff>
      <xdr:row>0</xdr:row>
      <xdr:rowOff>209550</xdr:rowOff>
    </xdr:from>
    <xdr:to>
      <xdr:col>10</xdr:col>
      <xdr:colOff>278686</xdr:colOff>
      <xdr:row>7</xdr:row>
      <xdr:rowOff>107757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8B4223F-F2E0-4D5D-8BE1-557F22AD0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0" y="209550"/>
          <a:ext cx="5714286" cy="1542857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400050</xdr:colOff>
      <xdr:row>0</xdr:row>
      <xdr:rowOff>0</xdr:rowOff>
    </xdr:from>
    <xdr:to>
      <xdr:col>11</xdr:col>
      <xdr:colOff>463550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A525CDB-8829-497F-4E7E-E223AD2AC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330200</xdr:colOff>
      <xdr:row>0</xdr:row>
      <xdr:rowOff>0</xdr:rowOff>
    </xdr:from>
    <xdr:to>
      <xdr:col>11</xdr:col>
      <xdr:colOff>406400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6631E44-45BB-44E9-ABBB-A65E0C64A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0</xdr:rowOff>
    </xdr:from>
    <xdr:to>
      <xdr:col>11</xdr:col>
      <xdr:colOff>406400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C6E3C9-638F-43DE-A17D-EE5958782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0</xdr:rowOff>
    </xdr:from>
    <xdr:to>
      <xdr:col>11</xdr:col>
      <xdr:colOff>558800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2901555-E3C8-C131-D9AF-A7A5B8C60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0</xdr:rowOff>
    </xdr:from>
    <xdr:to>
      <xdr:col>11</xdr:col>
      <xdr:colOff>590550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A8C1C44-FC86-4BEE-4C62-4BCEBD4DD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819150</xdr:colOff>
      <xdr:row>0</xdr:row>
      <xdr:rowOff>209550</xdr:rowOff>
    </xdr:from>
    <xdr:to>
      <xdr:col>10</xdr:col>
      <xdr:colOff>450136</xdr:colOff>
      <xdr:row>7</xdr:row>
      <xdr:rowOff>107757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7E40DCD2-7297-49FA-BE42-E3DBAEF8D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0" y="209550"/>
          <a:ext cx="5714286" cy="1542857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508000</xdr:colOff>
      <xdr:row>0</xdr:row>
      <xdr:rowOff>0</xdr:rowOff>
    </xdr:from>
    <xdr:to>
      <xdr:col>11</xdr:col>
      <xdr:colOff>412750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72AAA41-420A-E131-A782-7C22573CB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3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508000</xdr:colOff>
      <xdr:row>0</xdr:row>
      <xdr:rowOff>0</xdr:rowOff>
    </xdr:from>
    <xdr:to>
      <xdr:col>11</xdr:col>
      <xdr:colOff>412750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C1EA46-9AA0-4BBE-A420-996B1AB3E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3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C3E0A1-376B-4604-BF25-AB3150499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463550</xdr:colOff>
      <xdr:row>0</xdr:row>
      <xdr:rowOff>0</xdr:rowOff>
    </xdr:from>
    <xdr:to>
      <xdr:col>11</xdr:col>
      <xdr:colOff>406400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2C6D0BF-95E4-B3C9-0089-FE7AD6D32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98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241300</xdr:colOff>
      <xdr:row>0</xdr:row>
      <xdr:rowOff>0</xdr:rowOff>
    </xdr:from>
    <xdr:to>
      <xdr:col>11</xdr:col>
      <xdr:colOff>609600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52A83E8-ABBF-C5EE-79C8-401164AC8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6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0</xdr:rowOff>
    </xdr:from>
    <xdr:to>
      <xdr:col>11</xdr:col>
      <xdr:colOff>615950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90EE382-1F62-0D15-29ED-4FA0458A8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9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0</xdr:rowOff>
    </xdr:from>
    <xdr:to>
      <xdr:col>11</xdr:col>
      <xdr:colOff>457200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76FA6A6-E87B-189B-ED6E-33E4B46CD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1DCA9608-B7DD-4098-9474-20D43A00C4AB}"/>
            </a:ext>
          </a:extLst>
        </xdr:cNvPr>
        <xdr:cNvGrpSpPr/>
      </xdr:nvGrpSpPr>
      <xdr:grpSpPr>
        <a:xfrm>
          <a:off x="2406312" y="74381"/>
          <a:ext cx="6293187" cy="1675459"/>
          <a:chOff x="1936412" y="131531"/>
          <a:chExt cx="6656021" cy="1675459"/>
        </a:xfrm>
      </xdr:grpSpPr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BAD3D2D2-A787-42CA-B63C-FE533FF333E6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10" name="Rectangle 9">
            <a:extLst>
              <a:ext uri="{FF2B5EF4-FFF2-40B4-BE49-F238E27FC236}">
                <a16:creationId xmlns:a16="http://schemas.microsoft.com/office/drawing/2014/main" id="{69F7E627-3D45-4C5B-925F-72CFB29A185A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11" name="Graphic 10" descr="Telephone outline">
            <a:extLst>
              <a:ext uri="{FF2B5EF4-FFF2-40B4-BE49-F238E27FC236}">
                <a16:creationId xmlns:a16="http://schemas.microsoft.com/office/drawing/2014/main" id="{44673557-0B72-4E07-8497-486C4848BFD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12" name="Graphic 11" descr="Smart Phone outline">
            <a:extLst>
              <a:ext uri="{FF2B5EF4-FFF2-40B4-BE49-F238E27FC236}">
                <a16:creationId xmlns:a16="http://schemas.microsoft.com/office/drawing/2014/main" id="{51308386-2B4A-4412-A77F-413DF674EA1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13" name="Graphic 12" descr="Printer outline">
            <a:extLst>
              <a:ext uri="{FF2B5EF4-FFF2-40B4-BE49-F238E27FC236}">
                <a16:creationId xmlns:a16="http://schemas.microsoft.com/office/drawing/2014/main" id="{EFFA5BED-A13B-48A5-88AF-ECDC37450EC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190500</xdr:rowOff>
    </xdr:from>
    <xdr:to>
      <xdr:col>11</xdr:col>
      <xdr:colOff>5636</xdr:colOff>
      <xdr:row>7</xdr:row>
      <xdr:rowOff>88707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6A083E89-4C2E-4D67-83C3-BDE6C35AC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90500"/>
          <a:ext cx="5714286" cy="1542857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393700</xdr:colOff>
      <xdr:row>0</xdr:row>
      <xdr:rowOff>0</xdr:rowOff>
    </xdr:from>
    <xdr:to>
      <xdr:col>11</xdr:col>
      <xdr:colOff>444500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C097BA7-DD7B-AFD4-1492-6368D757E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342900</xdr:colOff>
      <xdr:row>0</xdr:row>
      <xdr:rowOff>0</xdr:rowOff>
    </xdr:from>
    <xdr:to>
      <xdr:col>11</xdr:col>
      <xdr:colOff>520700</xdr:colOff>
      <xdr:row>7</xdr:row>
      <xdr:rowOff>206152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D85B4E9-D4F2-476F-87CC-0D98217EB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260350</xdr:colOff>
      <xdr:row>0</xdr:row>
      <xdr:rowOff>0</xdr:rowOff>
    </xdr:from>
    <xdr:to>
      <xdr:col>11</xdr:col>
      <xdr:colOff>596900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ACDD9FB-9E74-FF61-3E29-821FC66D7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819150</xdr:colOff>
      <xdr:row>0</xdr:row>
      <xdr:rowOff>209550</xdr:rowOff>
    </xdr:from>
    <xdr:to>
      <xdr:col>10</xdr:col>
      <xdr:colOff>507286</xdr:colOff>
      <xdr:row>7</xdr:row>
      <xdr:rowOff>107757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728DC0-0A14-4C08-AF1E-2CB65C67A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0" y="209550"/>
          <a:ext cx="5714286" cy="1542857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469900</xdr:colOff>
      <xdr:row>0</xdr:row>
      <xdr:rowOff>0</xdr:rowOff>
    </xdr:from>
    <xdr:to>
      <xdr:col>11</xdr:col>
      <xdr:colOff>400050</xdr:colOff>
      <xdr:row>7</xdr:row>
      <xdr:rowOff>206152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E42417D6-F33D-44B7-8D20-2E00B0D98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22CE90-664B-4F90-AF82-3D8E1AAAA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368300</xdr:colOff>
      <xdr:row>0</xdr:row>
      <xdr:rowOff>0</xdr:rowOff>
    </xdr:from>
    <xdr:to>
      <xdr:col>11</xdr:col>
      <xdr:colOff>501650</xdr:colOff>
      <xdr:row>7</xdr:row>
      <xdr:rowOff>206152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88C62A9-2E96-4264-916B-9874ED607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6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6D7C939C-1682-4D5E-A23B-6FDE1EB26CB1}"/>
            </a:ext>
          </a:extLst>
        </xdr:cNvPr>
        <xdr:cNvGrpSpPr/>
      </xdr:nvGrpSpPr>
      <xdr:grpSpPr>
        <a:xfrm>
          <a:off x="2406312" y="74381"/>
          <a:ext cx="6686887" cy="1675459"/>
          <a:chOff x="1936412" y="131531"/>
          <a:chExt cx="6656021" cy="1675459"/>
        </a:xfrm>
      </xdr:grpSpPr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B4C3A102-E931-442B-8778-D51C6E83C989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06254207-23E2-41BD-B689-731111C08AD1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5" name="Graphic 4" descr="Telephone outline">
            <a:extLst>
              <a:ext uri="{FF2B5EF4-FFF2-40B4-BE49-F238E27FC236}">
                <a16:creationId xmlns:a16="http://schemas.microsoft.com/office/drawing/2014/main" id="{738F1B79-D813-411B-A94A-9D5E511B695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6" name="Graphic 5" descr="Smart Phone outline">
            <a:extLst>
              <a:ext uri="{FF2B5EF4-FFF2-40B4-BE49-F238E27FC236}">
                <a16:creationId xmlns:a16="http://schemas.microsoft.com/office/drawing/2014/main" id="{55968566-35C9-4679-A75E-DF6446412EA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7" name="Graphic 6" descr="Printer outline">
            <a:extLst>
              <a:ext uri="{FF2B5EF4-FFF2-40B4-BE49-F238E27FC236}">
                <a16:creationId xmlns:a16="http://schemas.microsoft.com/office/drawing/2014/main" id="{FA79C628-A483-4E2F-B292-80A7796A39A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190500</xdr:rowOff>
    </xdr:from>
    <xdr:to>
      <xdr:col>10</xdr:col>
      <xdr:colOff>488236</xdr:colOff>
      <xdr:row>7</xdr:row>
      <xdr:rowOff>88707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751FF49-D673-4511-911D-3DA88B141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90500"/>
          <a:ext cx="5714286" cy="1542857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539750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ED2E084-2A73-E88D-0CB9-8D6C06177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6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463550</xdr:colOff>
      <xdr:row>0</xdr:row>
      <xdr:rowOff>0</xdr:rowOff>
    </xdr:from>
    <xdr:to>
      <xdr:col>11</xdr:col>
      <xdr:colOff>444500</xdr:colOff>
      <xdr:row>7</xdr:row>
      <xdr:rowOff>206152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8E75A3E-AF52-52F2-BCF9-6B3D73561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98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514350</xdr:colOff>
      <xdr:row>0</xdr:row>
      <xdr:rowOff>0</xdr:rowOff>
    </xdr:from>
    <xdr:to>
      <xdr:col>11</xdr:col>
      <xdr:colOff>355600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DCF1EDA-E0E0-895F-428C-0C280AA89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0</xdr:rowOff>
    </xdr:from>
    <xdr:to>
      <xdr:col>11</xdr:col>
      <xdr:colOff>425450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166909-4308-0668-6D07-07E5E2398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387350</xdr:colOff>
      <xdr:row>0</xdr:row>
      <xdr:rowOff>0</xdr:rowOff>
    </xdr:from>
    <xdr:to>
      <xdr:col>11</xdr:col>
      <xdr:colOff>457200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5937B99-781B-D8D3-B8A2-CFD089A64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457200</xdr:colOff>
      <xdr:row>0</xdr:row>
      <xdr:rowOff>0</xdr:rowOff>
    </xdr:from>
    <xdr:to>
      <xdr:col>11</xdr:col>
      <xdr:colOff>425450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59E6F56-59DD-272C-C5D6-E7DC7416B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336550</xdr:colOff>
      <xdr:row>0</xdr:row>
      <xdr:rowOff>0</xdr:rowOff>
    </xdr:from>
    <xdr:to>
      <xdr:col>11</xdr:col>
      <xdr:colOff>558800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66828C5-22FA-8476-F4B0-DEA1CBA23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28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565150</xdr:colOff>
      <xdr:row>0</xdr:row>
      <xdr:rowOff>0</xdr:rowOff>
    </xdr:from>
    <xdr:to>
      <xdr:col>11</xdr:col>
      <xdr:colOff>514350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27F9CE9-6105-419A-9F57-24A715595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14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D82094-8BC5-49F0-9038-6D1BE4BF3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450850</xdr:colOff>
      <xdr:row>7</xdr:row>
      <xdr:rowOff>206152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A18A0C2-EF96-6D02-4304-B52A3B52F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  <xdr:twoCellAnchor editAs="oneCell">
    <xdr:from>
      <xdr:col>1</xdr:col>
      <xdr:colOff>565150</xdr:colOff>
      <xdr:row>0</xdr:row>
      <xdr:rowOff>0</xdr:rowOff>
    </xdr:from>
    <xdr:to>
      <xdr:col>11</xdr:col>
      <xdr:colOff>571500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5FC179-C33D-40F1-8B9B-89E3F8FF7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14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349250</xdr:colOff>
      <xdr:row>7</xdr:row>
      <xdr:rowOff>206152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435E569-1DB6-9CBA-86C9-77AFDFEF2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469900</xdr:colOff>
      <xdr:row>0</xdr:row>
      <xdr:rowOff>0</xdr:rowOff>
    </xdr:from>
    <xdr:to>
      <xdr:col>11</xdr:col>
      <xdr:colOff>412750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49DD09-FF9A-4D78-A685-E77E42CDE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336550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F56720F-0D4F-54A1-D06E-479A65476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28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50EF1E8-531F-4FCC-B6DD-47D9D39C63AA}"/>
            </a:ext>
          </a:extLst>
        </xdr:cNvPr>
        <xdr:cNvGrpSpPr/>
      </xdr:nvGrpSpPr>
      <xdr:grpSpPr>
        <a:xfrm>
          <a:off x="2406312" y="74381"/>
          <a:ext cx="6394787" cy="1675459"/>
          <a:chOff x="1936412" y="131531"/>
          <a:chExt cx="6656021" cy="1675459"/>
        </a:xfrm>
      </xdr:grpSpPr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27D6F8D0-5E4E-4F9C-AB86-214054AAD8C6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A87E5A33-9327-488B-9B3E-E706363782C2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5" name="Graphic 4" descr="Telephone outline">
            <a:extLst>
              <a:ext uri="{FF2B5EF4-FFF2-40B4-BE49-F238E27FC236}">
                <a16:creationId xmlns:a16="http://schemas.microsoft.com/office/drawing/2014/main" id="{96B0FA83-8C6F-4A39-B86D-C1D2EFF9C94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6" name="Graphic 5" descr="Smart Phone outline">
            <a:extLst>
              <a:ext uri="{FF2B5EF4-FFF2-40B4-BE49-F238E27FC236}">
                <a16:creationId xmlns:a16="http://schemas.microsoft.com/office/drawing/2014/main" id="{E99F4121-BBE0-48C0-9D55-EE0C75FD562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7" name="Graphic 6" descr="Printer outline">
            <a:extLst>
              <a:ext uri="{FF2B5EF4-FFF2-40B4-BE49-F238E27FC236}">
                <a16:creationId xmlns:a16="http://schemas.microsoft.com/office/drawing/2014/main" id="{5E999DC1-B4A7-481D-BE41-7AD4DE235C8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190500</xdr:rowOff>
    </xdr:from>
    <xdr:to>
      <xdr:col>10</xdr:col>
      <xdr:colOff>780336</xdr:colOff>
      <xdr:row>7</xdr:row>
      <xdr:rowOff>88707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BB10C67-9A76-494C-AC8D-C82C6FA8E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90500"/>
          <a:ext cx="5714286" cy="1542857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E9FE6EBA-BC87-4A56-A923-DF154217C63D}"/>
            </a:ext>
          </a:extLst>
        </xdr:cNvPr>
        <xdr:cNvGrpSpPr/>
      </xdr:nvGrpSpPr>
      <xdr:grpSpPr>
        <a:xfrm>
          <a:off x="2406312" y="74381"/>
          <a:ext cx="6464637" cy="1675459"/>
          <a:chOff x="1936412" y="131531"/>
          <a:chExt cx="6656021" cy="1675459"/>
        </a:xfrm>
      </xdr:grpSpPr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6181D1FB-A0FD-423C-A8F1-1E59102F1D39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13" name="Rectangle 12">
            <a:extLst>
              <a:ext uri="{FF2B5EF4-FFF2-40B4-BE49-F238E27FC236}">
                <a16:creationId xmlns:a16="http://schemas.microsoft.com/office/drawing/2014/main" id="{113AA73A-8715-4908-A7C0-E99FB0D3EC14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14" name="Graphic 13" descr="Telephone outline">
            <a:extLst>
              <a:ext uri="{FF2B5EF4-FFF2-40B4-BE49-F238E27FC236}">
                <a16:creationId xmlns:a16="http://schemas.microsoft.com/office/drawing/2014/main" id="{8A69464D-D453-4027-A5D1-C647DFA1994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15" name="Graphic 14" descr="Smart Phone outline">
            <a:extLst>
              <a:ext uri="{FF2B5EF4-FFF2-40B4-BE49-F238E27FC236}">
                <a16:creationId xmlns:a16="http://schemas.microsoft.com/office/drawing/2014/main" id="{44BECDCF-45F0-4871-9E16-4921883196F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16" name="Graphic 15" descr="Printer outline">
            <a:extLst>
              <a:ext uri="{FF2B5EF4-FFF2-40B4-BE49-F238E27FC236}">
                <a16:creationId xmlns:a16="http://schemas.microsoft.com/office/drawing/2014/main" id="{B40F8DE1-EFB6-4052-BB69-4770C063509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190500</xdr:rowOff>
    </xdr:from>
    <xdr:to>
      <xdr:col>10</xdr:col>
      <xdr:colOff>710486</xdr:colOff>
      <xdr:row>7</xdr:row>
      <xdr:rowOff>88707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37433E5C-7D25-47CA-ADB1-8AA0ACC95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90500"/>
          <a:ext cx="5714286" cy="1542857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368300</xdr:colOff>
      <xdr:row>0</xdr:row>
      <xdr:rowOff>0</xdr:rowOff>
    </xdr:from>
    <xdr:to>
      <xdr:col>11</xdr:col>
      <xdr:colOff>546100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1D0E99B-47AB-46AF-F094-4070F72F5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6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368300</xdr:colOff>
      <xdr:row>0</xdr:row>
      <xdr:rowOff>0</xdr:rowOff>
    </xdr:from>
    <xdr:to>
      <xdr:col>11</xdr:col>
      <xdr:colOff>546100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711FFA2-3426-86D0-4AA6-9A979DFB7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6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C2916AA6-3217-4B6A-A6A5-44E55AFB7A25}"/>
            </a:ext>
          </a:extLst>
        </xdr:cNvPr>
        <xdr:cNvGrpSpPr/>
      </xdr:nvGrpSpPr>
      <xdr:grpSpPr>
        <a:xfrm>
          <a:off x="2406312" y="74381"/>
          <a:ext cx="6483687" cy="1675459"/>
          <a:chOff x="1936412" y="131531"/>
          <a:chExt cx="6656021" cy="1675459"/>
        </a:xfrm>
      </xdr:grpSpPr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A3537E92-CB26-4C12-8339-E23955789004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10" name="Rectangle 9">
            <a:extLst>
              <a:ext uri="{FF2B5EF4-FFF2-40B4-BE49-F238E27FC236}">
                <a16:creationId xmlns:a16="http://schemas.microsoft.com/office/drawing/2014/main" id="{3989CB60-59AA-49EF-A5CC-296FDF876AD6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11" name="Graphic 10" descr="Telephone outline">
            <a:extLst>
              <a:ext uri="{FF2B5EF4-FFF2-40B4-BE49-F238E27FC236}">
                <a16:creationId xmlns:a16="http://schemas.microsoft.com/office/drawing/2014/main" id="{4DE6DD7C-5420-461B-BD72-A83679A953B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12" name="Graphic 11" descr="Smart Phone outline">
            <a:extLst>
              <a:ext uri="{FF2B5EF4-FFF2-40B4-BE49-F238E27FC236}">
                <a16:creationId xmlns:a16="http://schemas.microsoft.com/office/drawing/2014/main" id="{FD74E6AA-6182-4A39-A7D9-92581B8C4BB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13" name="Graphic 12" descr="Printer outline">
            <a:extLst>
              <a:ext uri="{FF2B5EF4-FFF2-40B4-BE49-F238E27FC236}">
                <a16:creationId xmlns:a16="http://schemas.microsoft.com/office/drawing/2014/main" id="{80515C13-2E21-435A-A879-40619DC51ED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190500</xdr:rowOff>
    </xdr:from>
    <xdr:to>
      <xdr:col>10</xdr:col>
      <xdr:colOff>551736</xdr:colOff>
      <xdr:row>7</xdr:row>
      <xdr:rowOff>88707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6ECD301B-DB6A-4C83-8BD9-3524FD30D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90500"/>
          <a:ext cx="5714286" cy="1542857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ECF2B1D8-7BBF-4F44-A8AE-1A1864E81D45}"/>
            </a:ext>
          </a:extLst>
        </xdr:cNvPr>
        <xdr:cNvGrpSpPr/>
      </xdr:nvGrpSpPr>
      <xdr:grpSpPr>
        <a:xfrm>
          <a:off x="2406312" y="74381"/>
          <a:ext cx="6832937" cy="1675459"/>
          <a:chOff x="1936412" y="131531"/>
          <a:chExt cx="6656021" cy="1675459"/>
        </a:xfrm>
      </xdr:grpSpPr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7C4E6F79-061A-46E1-98BD-01B2AEE7A508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13" name="Rectangle 12">
            <a:extLst>
              <a:ext uri="{FF2B5EF4-FFF2-40B4-BE49-F238E27FC236}">
                <a16:creationId xmlns:a16="http://schemas.microsoft.com/office/drawing/2014/main" id="{DD33703A-C497-49C1-A01B-B80CA34F7AAC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14" name="Graphic 13" descr="Telephone outline">
            <a:extLst>
              <a:ext uri="{FF2B5EF4-FFF2-40B4-BE49-F238E27FC236}">
                <a16:creationId xmlns:a16="http://schemas.microsoft.com/office/drawing/2014/main" id="{9573E758-088A-4525-BBD7-F15A16E643F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15" name="Graphic 14" descr="Smart Phone outline">
            <a:extLst>
              <a:ext uri="{FF2B5EF4-FFF2-40B4-BE49-F238E27FC236}">
                <a16:creationId xmlns:a16="http://schemas.microsoft.com/office/drawing/2014/main" id="{7D48A7C8-9430-446C-9AA1-852A3B50D30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16" name="Graphic 15" descr="Printer outline">
            <a:extLst>
              <a:ext uri="{FF2B5EF4-FFF2-40B4-BE49-F238E27FC236}">
                <a16:creationId xmlns:a16="http://schemas.microsoft.com/office/drawing/2014/main" id="{9B69A9B9-0C4F-457E-BB09-09DB97906BA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190500</xdr:rowOff>
    </xdr:from>
    <xdr:to>
      <xdr:col>10</xdr:col>
      <xdr:colOff>272336</xdr:colOff>
      <xdr:row>7</xdr:row>
      <xdr:rowOff>88707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DA721C78-9998-4C78-9DF0-8A4957175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90500"/>
          <a:ext cx="5714286" cy="154285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545E2F-5F47-413D-8FE9-CED642144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DCA051B9-FEFD-499A-B3D4-9268B67C2287}"/>
            </a:ext>
          </a:extLst>
        </xdr:cNvPr>
        <xdr:cNvGrpSpPr/>
      </xdr:nvGrpSpPr>
      <xdr:grpSpPr>
        <a:xfrm>
          <a:off x="2406312" y="74381"/>
          <a:ext cx="6458287" cy="1675459"/>
          <a:chOff x="1936412" y="131531"/>
          <a:chExt cx="6656021" cy="1675459"/>
        </a:xfrm>
      </xdr:grpSpPr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4975DA8A-93CD-4E75-AEF9-210C0F67330F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13" name="Rectangle 12">
            <a:extLst>
              <a:ext uri="{FF2B5EF4-FFF2-40B4-BE49-F238E27FC236}">
                <a16:creationId xmlns:a16="http://schemas.microsoft.com/office/drawing/2014/main" id="{6A6A0337-EDE9-44DE-B698-7F6343084EAA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14" name="Graphic 13" descr="Telephone outline">
            <a:extLst>
              <a:ext uri="{FF2B5EF4-FFF2-40B4-BE49-F238E27FC236}">
                <a16:creationId xmlns:a16="http://schemas.microsoft.com/office/drawing/2014/main" id="{9B4026A5-5D2C-4787-8B4D-E3B56E636C1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15" name="Graphic 14" descr="Smart Phone outline">
            <a:extLst>
              <a:ext uri="{FF2B5EF4-FFF2-40B4-BE49-F238E27FC236}">
                <a16:creationId xmlns:a16="http://schemas.microsoft.com/office/drawing/2014/main" id="{4353E20D-D277-4B71-AA77-D1BFE8A31D3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16" name="Graphic 15" descr="Printer outline">
            <a:extLst>
              <a:ext uri="{FF2B5EF4-FFF2-40B4-BE49-F238E27FC236}">
                <a16:creationId xmlns:a16="http://schemas.microsoft.com/office/drawing/2014/main" id="{6C0DD740-BFFD-4349-9A7A-D0E3D806D82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190500</xdr:rowOff>
    </xdr:from>
    <xdr:to>
      <xdr:col>10</xdr:col>
      <xdr:colOff>716836</xdr:colOff>
      <xdr:row>7</xdr:row>
      <xdr:rowOff>88707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646B5EC0-8FAA-4D59-A21E-1D039A82D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90500"/>
          <a:ext cx="5714286" cy="1542857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514350</xdr:colOff>
      <xdr:row>0</xdr:row>
      <xdr:rowOff>0</xdr:rowOff>
    </xdr:from>
    <xdr:to>
      <xdr:col>11</xdr:col>
      <xdr:colOff>374650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28056D3-4C4B-B8D7-53F6-9C0FBFD84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0</xdr:row>
      <xdr:rowOff>0</xdr:rowOff>
    </xdr:from>
    <xdr:to>
      <xdr:col>11</xdr:col>
      <xdr:colOff>488950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2EC3B5E-033D-F1F2-7D4D-0CDA2D2F7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3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317500</xdr:colOff>
      <xdr:row>0</xdr:row>
      <xdr:rowOff>0</xdr:rowOff>
    </xdr:from>
    <xdr:to>
      <xdr:col>11</xdr:col>
      <xdr:colOff>565150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DB7E3AA-B05A-AB6E-2BB8-151B4A601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3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450850</xdr:colOff>
      <xdr:row>0</xdr:row>
      <xdr:rowOff>0</xdr:rowOff>
    </xdr:from>
    <xdr:to>
      <xdr:col>11</xdr:col>
      <xdr:colOff>412750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20427C0-E27E-107B-8AB0-52F1FB2E5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71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355600</xdr:colOff>
      <xdr:row>0</xdr:row>
      <xdr:rowOff>0</xdr:rowOff>
    </xdr:from>
    <xdr:to>
      <xdr:col>11</xdr:col>
      <xdr:colOff>577850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344DC0E-66F2-E72F-6561-E0A8FF891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488950</xdr:colOff>
      <xdr:row>0</xdr:row>
      <xdr:rowOff>0</xdr:rowOff>
    </xdr:from>
    <xdr:to>
      <xdr:col>11</xdr:col>
      <xdr:colOff>387350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EC7EB5A-5324-77D4-1A15-41F9536C2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52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292100</xdr:colOff>
      <xdr:row>0</xdr:row>
      <xdr:rowOff>0</xdr:rowOff>
    </xdr:from>
    <xdr:to>
      <xdr:col>11</xdr:col>
      <xdr:colOff>590550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ABA3EA8-985F-6625-A21F-45CF8B9EB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387350</xdr:colOff>
      <xdr:row>0</xdr:row>
      <xdr:rowOff>0</xdr:rowOff>
    </xdr:from>
    <xdr:to>
      <xdr:col>11</xdr:col>
      <xdr:colOff>577850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746AFF1-CA7F-49B0-85AC-16A15612B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317500</xdr:colOff>
      <xdr:row>0</xdr:row>
      <xdr:rowOff>0</xdr:rowOff>
    </xdr:from>
    <xdr:to>
      <xdr:col>11</xdr:col>
      <xdr:colOff>577850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E9E269C-5734-E86B-4E7A-9A3290B74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3800" y="0"/>
          <a:ext cx="7772400" cy="185080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essertorigin.sg:2078/Sales%20Invoice/Invoice%20(No%20GST)%20-%20new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essert%20Origin\Daily%20Job\Invoice%20(No%20GST%20-%20v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 Master"/>
      <sheetName val="Delivery Location"/>
      <sheetName val="CS"/>
      <sheetName val="NANCY"/>
      <sheetName val="PU EN SI FU"/>
      <sheetName val="JIA HUA"/>
      <sheetName val="#03-19 Springleaf"/>
      <sheetName val="#04-22 Lye Heng"/>
      <sheetName val="#04-41"/>
      <sheetName val="#04-43"/>
      <sheetName val="#04-46"/>
      <sheetName val="#04-48"/>
      <sheetName val="#04-53"/>
      <sheetName val="#04-61"/>
      <sheetName val="#04-52 Hup Seng Hng"/>
      <sheetName val="Sin Lian Fa"/>
      <sheetName val="JELLY - MR. NG"/>
      <sheetName val="Esther Khoo"/>
      <sheetName val="Siew Peng"/>
      <sheetName val="#144"/>
      <sheetName val="#143"/>
      <sheetName val="#142"/>
      <sheetName val="#93"/>
      <sheetName val="顺兴 (S)"/>
      <sheetName val="顺兴 (Other)"/>
      <sheetName val="#58"/>
      <sheetName val="#03"/>
      <sheetName val="#29"/>
      <sheetName val="#54"/>
      <sheetName val="#55"/>
      <sheetName val="#17"/>
      <sheetName val="#37"/>
      <sheetName val="#32"/>
      <sheetName val="#26"/>
      <sheetName val="#78"/>
      <sheetName val="#83"/>
      <sheetName val="#83 (2)"/>
      <sheetName val="珍姐_x0009__x0009_"/>
      <sheetName val="#52"/>
      <sheetName val="DeliveryNote"/>
      <sheetName val="staff"/>
      <sheetName val="NTUC Project"/>
      <sheetName val="Nusing Home"/>
      <sheetName val="#51"/>
      <sheetName val="#62"/>
      <sheetName val="#47"/>
      <sheetName val="#98"/>
      <sheetName val="#139"/>
      <sheetName val="#136"/>
      <sheetName val="#137"/>
      <sheetName val="#138"/>
      <sheetName val="#134"/>
      <sheetName val="#42"/>
      <sheetName val="#40"/>
      <sheetName val="#109"/>
      <sheetName val="#129"/>
      <sheetName val="#130"/>
      <sheetName val="#116"/>
      <sheetName val="#07"/>
      <sheetName val="#95"/>
      <sheetName val="#05"/>
      <sheetName val="#44"/>
      <sheetName val="#41"/>
      <sheetName val="#121"/>
      <sheetName val="#125"/>
      <sheetName val="#110"/>
      <sheetName val="#56"/>
      <sheetName val="#50"/>
      <sheetName val="#35"/>
      <sheetName val="#77"/>
      <sheetName val="#90"/>
      <sheetName val="#27 (2)"/>
      <sheetName val="#27"/>
      <sheetName val="#76"/>
      <sheetName val="凉凉"/>
      <sheetName val="#14"/>
      <sheetName val="#48"/>
      <sheetName val="#13"/>
      <sheetName val="#89"/>
      <sheetName val="#87"/>
      <sheetName val="#19"/>
      <sheetName val="#101"/>
      <sheetName val="#97"/>
      <sheetName val="#36"/>
      <sheetName val="#49"/>
      <sheetName val="#63"/>
      <sheetName val="#104"/>
      <sheetName val="#86"/>
      <sheetName val="#59"/>
      <sheetName val="#43"/>
      <sheetName val="#11"/>
      <sheetName val="#108"/>
      <sheetName val="#06"/>
      <sheetName val="#25"/>
      <sheetName val="#91"/>
      <sheetName val="#91 (2)"/>
      <sheetName val="#15"/>
      <sheetName val="#22"/>
      <sheetName val="#18"/>
      <sheetName val="#88"/>
      <sheetName val="#28"/>
      <sheetName val="#61"/>
      <sheetName val="118"/>
      <sheetName val="#120"/>
      <sheetName val="#53"/>
      <sheetName val="#30"/>
      <sheetName val="#107"/>
      <sheetName val="#09"/>
      <sheetName val="#71"/>
      <sheetName val="#75"/>
      <sheetName val="#114"/>
      <sheetName val="#113"/>
      <sheetName val="#94"/>
      <sheetName val="#34"/>
      <sheetName val="#57"/>
      <sheetName val="#85"/>
      <sheetName val="#74"/>
      <sheetName val="#99"/>
      <sheetName val="#80"/>
      <sheetName val="#39"/>
      <sheetName val="#102"/>
      <sheetName val="#38"/>
      <sheetName val="#10"/>
      <sheetName val="#106"/>
      <sheetName val="#103"/>
      <sheetName val="#92"/>
      <sheetName val="#16"/>
      <sheetName val="#66"/>
      <sheetName val="#31"/>
      <sheetName val="#79"/>
      <sheetName val="#112"/>
      <sheetName val="Micron"/>
      <sheetName val="#21"/>
      <sheetName val="#33"/>
      <sheetName val="#46"/>
      <sheetName val="#60"/>
      <sheetName val="#64"/>
      <sheetName val="#68"/>
      <sheetName val="#81"/>
      <sheetName val="#84"/>
      <sheetName val="#96"/>
      <sheetName val="#100"/>
      <sheetName val="#105"/>
      <sheetName val="源兴_x0009__x0009_"/>
      <sheetName val="#128"/>
      <sheetName val="#132"/>
      <sheetName val="#133"/>
      <sheetName val="#20"/>
      <sheetName val="WID#126"/>
    </sheetNames>
    <sheetDataSet>
      <sheetData sheetId="0">
        <row r="3">
          <cell r="B3" t="str">
            <v>M1001</v>
          </cell>
          <cell r="C3" t="str">
            <v xml:space="preserve">Fresh Soursop 红毛榴莲 </v>
          </cell>
          <cell r="D3" t="str">
            <v>Singapore</v>
          </cell>
          <cell r="E3" t="str">
            <v>DO!</v>
          </cell>
          <cell r="F3" t="str">
            <v>5 KG/PKT</v>
          </cell>
        </row>
        <row r="4">
          <cell r="B4" t="str">
            <v>M1001A</v>
          </cell>
          <cell r="C4" t="str">
            <v xml:space="preserve">Fresh Soursop 红毛榴莲 </v>
          </cell>
          <cell r="D4" t="str">
            <v>Singapore</v>
          </cell>
          <cell r="E4" t="str">
            <v>DO!</v>
          </cell>
          <cell r="F4" t="str">
            <v>5 KG/TUB</v>
          </cell>
        </row>
        <row r="5">
          <cell r="B5" t="str">
            <v>M1001B</v>
          </cell>
          <cell r="C5" t="str">
            <v xml:space="preserve">Fresh Soursop 红毛榴莲 </v>
          </cell>
          <cell r="D5" t="str">
            <v>Singapore</v>
          </cell>
          <cell r="E5" t="str">
            <v>DO!</v>
          </cell>
          <cell r="F5" t="str">
            <v>1 KG/BOX</v>
          </cell>
        </row>
        <row r="6">
          <cell r="B6" t="str">
            <v>M1001R</v>
          </cell>
          <cell r="C6" t="str">
            <v xml:space="preserve">Fresh Soursop 红毛榴莲 </v>
          </cell>
          <cell r="D6" t="str">
            <v>Singapore</v>
          </cell>
          <cell r="E6" t="str">
            <v>DO!</v>
          </cell>
          <cell r="F6" t="str">
            <v>5 KG/PKT</v>
          </cell>
        </row>
        <row r="7">
          <cell r="B7" t="str">
            <v>M1002</v>
          </cell>
          <cell r="C7" t="str">
            <v>Fresh Soursop 红毛榴莲(无)</v>
          </cell>
          <cell r="D7" t="str">
            <v>Singapore</v>
          </cell>
          <cell r="E7" t="str">
            <v>DO!</v>
          </cell>
          <cell r="F7" t="str">
            <v>5 KG/TUB</v>
          </cell>
        </row>
        <row r="8">
          <cell r="B8" t="str">
            <v>M1002A</v>
          </cell>
          <cell r="C8" t="str">
            <v>Fresh Soursop 红毛榴莲(无)</v>
          </cell>
          <cell r="D8" t="str">
            <v>Singapore</v>
          </cell>
          <cell r="E8" t="str">
            <v>DO!</v>
          </cell>
          <cell r="F8" t="str">
            <v>1 KG/BOX</v>
          </cell>
        </row>
        <row r="9">
          <cell r="B9" t="str">
            <v>M1002R</v>
          </cell>
          <cell r="C9" t="str">
            <v>Fresh Soursop 红毛榴莲(无)</v>
          </cell>
          <cell r="D9" t="str">
            <v>Singapore</v>
          </cell>
          <cell r="E9" t="str">
            <v>DO!</v>
          </cell>
          <cell r="F9" t="str">
            <v>5 KG/PKT</v>
          </cell>
        </row>
        <row r="10">
          <cell r="B10" t="str">
            <v>M1003</v>
          </cell>
          <cell r="C10" t="str">
            <v>Durian Puree 榴莲</v>
          </cell>
          <cell r="D10" t="str">
            <v>Singapore</v>
          </cell>
          <cell r="E10" t="str">
            <v>DO!</v>
          </cell>
          <cell r="F10" t="str">
            <v>1 KG/BOX</v>
          </cell>
        </row>
        <row r="11">
          <cell r="B11" t="str">
            <v>M1003R</v>
          </cell>
          <cell r="C11" t="str">
            <v>FRESH Durian  榴莲</v>
          </cell>
          <cell r="D11" t="str">
            <v>Singapore</v>
          </cell>
          <cell r="E11" t="str">
            <v>DO!</v>
          </cell>
          <cell r="F11" t="str">
            <v>2 KG/PKT</v>
          </cell>
        </row>
        <row r="12">
          <cell r="B12" t="str">
            <v>M1004</v>
          </cell>
          <cell r="C12" t="str">
            <v>Mango Puree芒果</v>
          </cell>
          <cell r="D12" t="str">
            <v>Singapore</v>
          </cell>
          <cell r="E12" t="str">
            <v>DO!</v>
          </cell>
          <cell r="F12" t="str">
            <v>1 KG/BOX</v>
          </cell>
        </row>
        <row r="13">
          <cell r="B13" t="str">
            <v>M1005</v>
          </cell>
          <cell r="C13" t="str">
            <v>Strawberry Puree草莓</v>
          </cell>
          <cell r="D13" t="str">
            <v>Singapore</v>
          </cell>
          <cell r="E13" t="str">
            <v>DO!</v>
          </cell>
          <cell r="F13" t="str">
            <v>1 KG/BOX</v>
          </cell>
        </row>
        <row r="14">
          <cell r="B14" t="str">
            <v>M1006</v>
          </cell>
          <cell r="C14" t="str">
            <v>Guava Puree番石榴</v>
          </cell>
          <cell r="D14" t="str">
            <v>Singapore</v>
          </cell>
          <cell r="E14" t="str">
            <v>-</v>
          </cell>
          <cell r="F14" t="str">
            <v>1 KG/BOX</v>
          </cell>
        </row>
        <row r="15">
          <cell r="B15" t="str">
            <v>M1007</v>
          </cell>
          <cell r="C15" t="str">
            <v>KIWI Syrup 奇异果</v>
          </cell>
          <cell r="D15" t="str">
            <v>Singapore</v>
          </cell>
          <cell r="E15" t="str">
            <v>DO!</v>
          </cell>
          <cell r="F15" t="str">
            <v>1 KG/BOX</v>
          </cell>
        </row>
        <row r="16">
          <cell r="B16" t="str">
            <v>M1008</v>
          </cell>
          <cell r="C16" t="str">
            <v>Avocodo 鳄梨酱</v>
          </cell>
          <cell r="D16" t="str">
            <v>Singapore</v>
          </cell>
          <cell r="E16" t="str">
            <v>DO!</v>
          </cell>
          <cell r="F16" t="str">
            <v>1 KG/BOX</v>
          </cell>
        </row>
        <row r="17">
          <cell r="B17" t="str">
            <v>M1009</v>
          </cell>
          <cell r="C17" t="str">
            <v>Blueberry 蓝莓酱</v>
          </cell>
          <cell r="D17" t="str">
            <v>Singapore</v>
          </cell>
          <cell r="E17" t="str">
            <v>-</v>
          </cell>
          <cell r="F17" t="str">
            <v>1 KG/BOX</v>
          </cell>
        </row>
        <row r="18">
          <cell r="B18" t="str">
            <v>M1010</v>
          </cell>
          <cell r="C18" t="str">
            <v>Passion Fruit Jam 百香果</v>
          </cell>
          <cell r="D18" t="str">
            <v>Singapore</v>
          </cell>
          <cell r="E18" t="str">
            <v>-</v>
          </cell>
          <cell r="F18" t="str">
            <v>1 KG/BOX</v>
          </cell>
        </row>
        <row r="19">
          <cell r="B19" t="str">
            <v>M1011</v>
          </cell>
          <cell r="C19" t="str">
            <v>Green Apple Jam  青苹果</v>
          </cell>
          <cell r="D19" t="str">
            <v>Singapore</v>
          </cell>
          <cell r="E19" t="str">
            <v>-</v>
          </cell>
          <cell r="F19" t="str">
            <v>1 KG/BOX</v>
          </cell>
        </row>
        <row r="20">
          <cell r="B20" t="str">
            <v>M1012</v>
          </cell>
          <cell r="C20" t="str">
            <v>海草 Coral Weed</v>
          </cell>
          <cell r="D20" t="str">
            <v>Singapore</v>
          </cell>
          <cell r="E20" t="str">
            <v>DA</v>
          </cell>
          <cell r="F20" t="str">
            <v>1kg</v>
          </cell>
        </row>
        <row r="21">
          <cell r="B21" t="str">
            <v>M1013</v>
          </cell>
          <cell r="C21" t="str">
            <v>Bobo Cha Cubes.摩摩喳喳</v>
          </cell>
          <cell r="D21" t="str">
            <v>Singapore</v>
          </cell>
          <cell r="E21" t="str">
            <v>DO!</v>
          </cell>
          <cell r="F21" t="str">
            <v>800 gms/Pkt</v>
          </cell>
        </row>
        <row r="22">
          <cell r="B22" t="str">
            <v>M1014</v>
          </cell>
          <cell r="C22" t="str">
            <v>Chendol浆咯</v>
          </cell>
          <cell r="D22" t="str">
            <v>Singapore</v>
          </cell>
          <cell r="E22" t="str">
            <v>DO!</v>
          </cell>
          <cell r="F22" t="str">
            <v>3 kgs</v>
          </cell>
        </row>
        <row r="23">
          <cell r="B23" t="str">
            <v>M1014A</v>
          </cell>
          <cell r="C23" t="str">
            <v>Custom Made Chendol浆咯</v>
          </cell>
          <cell r="D23" t="str">
            <v>Singapore</v>
          </cell>
          <cell r="E23" t="str">
            <v>DO!</v>
          </cell>
          <cell r="F23" t="str">
            <v>2 kgs (1.5:0.5)</v>
          </cell>
        </row>
        <row r="24">
          <cell r="B24" t="str">
            <v>M1015</v>
          </cell>
          <cell r="C24" t="str">
            <v>Chendol浆咯</v>
          </cell>
          <cell r="D24" t="str">
            <v>Singapore</v>
          </cell>
          <cell r="E24" t="str">
            <v>TSM</v>
          </cell>
          <cell r="F24" t="str">
            <v>3 kgs</v>
          </cell>
        </row>
        <row r="25">
          <cell r="B25" t="str">
            <v>M1016</v>
          </cell>
          <cell r="C25" t="str">
            <v>Coconut Sugar Syrup 椰糖汁</v>
          </cell>
          <cell r="D25" t="str">
            <v>Singapore</v>
          </cell>
          <cell r="E25" t="str">
            <v>DO!</v>
          </cell>
          <cell r="F25" t="str">
            <v>4L/支</v>
          </cell>
        </row>
        <row r="26">
          <cell r="B26" t="str">
            <v>M1017</v>
          </cell>
          <cell r="C26" t="str">
            <v>Coconut Sugar Syrup 椰糖汁G</v>
          </cell>
          <cell r="D26" t="str">
            <v>Singapore</v>
          </cell>
          <cell r="E26" t="str">
            <v>DO!</v>
          </cell>
          <cell r="F26" t="str">
            <v>4L/支</v>
          </cell>
        </row>
        <row r="27">
          <cell r="B27" t="str">
            <v>M1018</v>
          </cell>
          <cell r="C27" t="str">
            <v>Pong Thai Hai (Wet) 碰大海</v>
          </cell>
          <cell r="D27" t="str">
            <v>China</v>
          </cell>
          <cell r="E27" t="str">
            <v>DO!</v>
          </cell>
          <cell r="F27" t="str">
            <v>1 kg</v>
          </cell>
        </row>
        <row r="28">
          <cell r="B28" t="str">
            <v>M1019</v>
          </cell>
          <cell r="C28" t="str">
            <v>RICE BALL (PINK-PEANUT 花生)</v>
          </cell>
          <cell r="D28" t="str">
            <v>Singapore</v>
          </cell>
          <cell r="E28" t="str">
            <v>TYC</v>
          </cell>
          <cell r="F28" t="str">
            <v>15 PIECES/PKT</v>
          </cell>
        </row>
        <row r="29">
          <cell r="B29" t="str">
            <v>M1020</v>
          </cell>
          <cell r="C29" t="str">
            <v>RICE BALL (BLACK - SESAME 芝麻)</v>
          </cell>
          <cell r="D29" t="str">
            <v>Singapore</v>
          </cell>
          <cell r="E29" t="str">
            <v>TYC</v>
          </cell>
          <cell r="F29" t="str">
            <v>15 PIECES/PKT</v>
          </cell>
        </row>
        <row r="30">
          <cell r="B30" t="str">
            <v>M1021</v>
          </cell>
          <cell r="C30" t="str">
            <v>RICE BALL (WHITE - RED BEAN 红豆)</v>
          </cell>
          <cell r="D30" t="str">
            <v>Singapore</v>
          </cell>
          <cell r="E30" t="str">
            <v>TYC</v>
          </cell>
          <cell r="F30" t="str">
            <v>15 PIECES/PKT</v>
          </cell>
        </row>
        <row r="31">
          <cell r="B31" t="str">
            <v>M1022</v>
          </cell>
          <cell r="C31" t="str">
            <v>Lemongrass Ginger Concentrate Juice 香茅姜汁</v>
          </cell>
          <cell r="D31" t="str">
            <v>Malaysia</v>
          </cell>
          <cell r="E31" t="str">
            <v>T1</v>
          </cell>
          <cell r="F31" t="str">
            <v>80 GMS/PK</v>
          </cell>
        </row>
        <row r="32">
          <cell r="B32" t="str">
            <v>M1023</v>
          </cell>
          <cell r="C32" t="str">
            <v>Passion Fruit Concentrate Juice 百香果汁</v>
          </cell>
          <cell r="D32" t="str">
            <v>Malaysia</v>
          </cell>
          <cell r="E32" t="str">
            <v>T1</v>
          </cell>
          <cell r="F32" t="str">
            <v>100 GMS/PKT</v>
          </cell>
        </row>
        <row r="33">
          <cell r="B33" t="str">
            <v>M1023A</v>
          </cell>
          <cell r="C33" t="str">
            <v>Passion Fruit Concentrate Juice 百香果汁</v>
          </cell>
          <cell r="D33" t="str">
            <v>Malaysia</v>
          </cell>
          <cell r="E33" t="str">
            <v>T1</v>
          </cell>
          <cell r="F33" t="str">
            <v>1 KG/PKT</v>
          </cell>
        </row>
        <row r="34">
          <cell r="B34" t="str">
            <v>M1023B</v>
          </cell>
          <cell r="C34" t="str">
            <v>Passion Fruit Puree 百香果浆</v>
          </cell>
          <cell r="D34" t="str">
            <v>Malaysia</v>
          </cell>
          <cell r="E34" t="str">
            <v>T1</v>
          </cell>
          <cell r="F34" t="str">
            <v>1 KG/BOX</v>
          </cell>
        </row>
        <row r="35">
          <cell r="B35" t="str">
            <v>M1024</v>
          </cell>
          <cell r="C35" t="str">
            <v>Citrus Plum Concentrate Juice 柑桔梅子汁</v>
          </cell>
          <cell r="D35" t="str">
            <v>Malaysia</v>
          </cell>
          <cell r="E35" t="str">
            <v>T1</v>
          </cell>
          <cell r="F35" t="str">
            <v>80 GMS/PK</v>
          </cell>
        </row>
        <row r="36">
          <cell r="B36" t="str">
            <v>M1024A</v>
          </cell>
          <cell r="C36" t="str">
            <v>Citrus Plum Concentrate Juice 柑桔梅子汁</v>
          </cell>
          <cell r="D36" t="str">
            <v>Malaysia</v>
          </cell>
          <cell r="E36" t="str">
            <v>T1</v>
          </cell>
          <cell r="F36" t="str">
            <v>1 KG/PKT</v>
          </cell>
        </row>
        <row r="37">
          <cell r="B37" t="str">
            <v>M1025</v>
          </cell>
          <cell r="C37" t="str">
            <v>Sweet Potato Q - Orange番薯粉圆</v>
          </cell>
          <cell r="D37" t="str">
            <v>Singapore</v>
          </cell>
          <cell r="E37" t="str">
            <v>DO!</v>
          </cell>
          <cell r="F37" t="str">
            <v>700 GM/BOX</v>
          </cell>
        </row>
        <row r="38">
          <cell r="B38" t="str">
            <v>M1025A</v>
          </cell>
          <cell r="C38" t="str">
            <v>Mini Sweet Potato Q - Orange番薯粉圆</v>
          </cell>
          <cell r="D38" t="str">
            <v>Singapore</v>
          </cell>
          <cell r="E38" t="str">
            <v>DO!</v>
          </cell>
          <cell r="F38" t="str">
            <v>700 GM/BOX</v>
          </cell>
        </row>
        <row r="39">
          <cell r="B39" t="str">
            <v>M1026</v>
          </cell>
          <cell r="C39" t="str">
            <v>Sweet Potato Q - Purple紫番薯粉圆</v>
          </cell>
          <cell r="D39" t="str">
            <v>Singapore</v>
          </cell>
          <cell r="E39" t="str">
            <v>DO!</v>
          </cell>
          <cell r="F39" t="str">
            <v>700 GM/BOX</v>
          </cell>
        </row>
        <row r="40">
          <cell r="B40" t="str">
            <v>M1026A</v>
          </cell>
          <cell r="C40" t="str">
            <v>Mini Sweet Potato Q - Purple紫番薯粉圆</v>
          </cell>
          <cell r="D40" t="str">
            <v>Singapore</v>
          </cell>
          <cell r="E40" t="str">
            <v>DO!</v>
          </cell>
          <cell r="F40" t="str">
            <v>700 GM/BOX</v>
          </cell>
        </row>
        <row r="41">
          <cell r="B41" t="str">
            <v>M1027</v>
          </cell>
          <cell r="C41" t="str">
            <v>Taro Q - White芋头粉圆</v>
          </cell>
          <cell r="D41" t="str">
            <v>Singapore</v>
          </cell>
          <cell r="E41" t="str">
            <v>DO!</v>
          </cell>
          <cell r="F41" t="str">
            <v>700 GM/BOX</v>
          </cell>
        </row>
        <row r="42">
          <cell r="B42" t="str">
            <v>M1027A</v>
          </cell>
          <cell r="C42" t="str">
            <v>Mini Taro Q - White芋头粉圆</v>
          </cell>
          <cell r="D42" t="str">
            <v>Singapore</v>
          </cell>
          <cell r="E42" t="str">
            <v>DO!</v>
          </cell>
          <cell r="F42" t="str">
            <v>700 GM/BOX</v>
          </cell>
        </row>
        <row r="43">
          <cell r="B43" t="str">
            <v>M1028</v>
          </cell>
          <cell r="C43" t="str">
            <v>Tapioca Q - Green-木薯粉圆</v>
          </cell>
          <cell r="D43" t="str">
            <v>Singapore</v>
          </cell>
          <cell r="E43" t="str">
            <v>DO!</v>
          </cell>
          <cell r="F43" t="str">
            <v>700 GM/BOX</v>
          </cell>
        </row>
        <row r="44">
          <cell r="B44" t="str">
            <v>M1029</v>
          </cell>
          <cell r="C44" t="str">
            <v>GLASSJELLY 罗汉仙草冻</v>
          </cell>
          <cell r="D44" t="str">
            <v>Singapore</v>
          </cell>
          <cell r="E44" t="str">
            <v>DO!</v>
          </cell>
          <cell r="F44" t="str">
            <v>100 gm</v>
          </cell>
        </row>
        <row r="45">
          <cell r="B45" t="str">
            <v>M1030</v>
          </cell>
          <cell r="C45" t="str">
            <v>Pineapple Jam</v>
          </cell>
          <cell r="D45" t="str">
            <v>Singapore</v>
          </cell>
          <cell r="E45" t="str">
            <v>DO!</v>
          </cell>
          <cell r="F45" t="str">
            <v>200 gm</v>
          </cell>
        </row>
        <row r="46">
          <cell r="B46" t="str">
            <v>M1031</v>
          </cell>
          <cell r="C46" t="str">
            <v>Roselle Puree 洛神花浆</v>
          </cell>
          <cell r="D46" t="str">
            <v>Singapore</v>
          </cell>
          <cell r="E46" t="str">
            <v>DO!</v>
          </cell>
          <cell r="F46" t="str">
            <v>900 gm</v>
          </cell>
        </row>
        <row r="47">
          <cell r="B47" t="str">
            <v>M1032</v>
          </cell>
          <cell r="C47" t="str">
            <v>PANDAN BEAN CURD JELLY</v>
          </cell>
          <cell r="D47" t="str">
            <v>Singapore</v>
          </cell>
          <cell r="E47" t="str">
            <v>DO!</v>
          </cell>
          <cell r="F47" t="str">
            <v>150 GM</v>
          </cell>
        </row>
        <row r="48">
          <cell r="B48" t="str">
            <v>M1032A</v>
          </cell>
          <cell r="C48" t="str">
            <v>PANDAN BEAN CURD JELLY</v>
          </cell>
          <cell r="D48" t="str">
            <v>Singapore</v>
          </cell>
          <cell r="E48" t="str">
            <v>DO!</v>
          </cell>
          <cell r="F48" t="str">
            <v>100 GM</v>
          </cell>
        </row>
        <row r="49">
          <cell r="B49" t="str">
            <v>M1033</v>
          </cell>
          <cell r="C49" t="str">
            <v>Red Tea Jelly</v>
          </cell>
          <cell r="D49" t="str">
            <v>Singapore</v>
          </cell>
          <cell r="E49" t="str">
            <v>DO!</v>
          </cell>
          <cell r="F49" t="str">
            <v>150 GM</v>
          </cell>
        </row>
        <row r="50">
          <cell r="B50" t="str">
            <v>M1033A</v>
          </cell>
          <cell r="C50" t="str">
            <v>Red Tea Jelly</v>
          </cell>
          <cell r="D50" t="str">
            <v>Singapore</v>
          </cell>
          <cell r="E50" t="str">
            <v>DO!</v>
          </cell>
          <cell r="F50" t="str">
            <v>100 gm</v>
          </cell>
        </row>
        <row r="51">
          <cell r="B51" t="str">
            <v>M1034</v>
          </cell>
          <cell r="C51" t="str">
            <v>FEN YUAN JELLY</v>
          </cell>
          <cell r="D51" t="str">
            <v>Singapore</v>
          </cell>
          <cell r="E51" t="str">
            <v>DO!</v>
          </cell>
          <cell r="F51" t="str">
            <v>200 GM</v>
          </cell>
        </row>
        <row r="52">
          <cell r="B52" t="str">
            <v>M1035</v>
          </cell>
          <cell r="C52" t="str">
            <v>OSMANTHUS JELLY</v>
          </cell>
          <cell r="D52" t="str">
            <v>Singapore</v>
          </cell>
          <cell r="E52" t="str">
            <v>DO!</v>
          </cell>
          <cell r="F52" t="str">
            <v>150 GM</v>
          </cell>
        </row>
        <row r="53">
          <cell r="B53" t="str">
            <v>M1036</v>
          </cell>
          <cell r="C53" t="str">
            <v>SNOW ICE - MILK</v>
          </cell>
          <cell r="D53" t="str">
            <v>Malaysia</v>
          </cell>
          <cell r="E53" t="str">
            <v>T1</v>
          </cell>
          <cell r="F53" t="str">
            <v>2 kgs (1.5:0.5)</v>
          </cell>
        </row>
        <row r="54">
          <cell r="B54" t="str">
            <v>M1036A</v>
          </cell>
          <cell r="C54" t="str">
            <v>SNOW ICE - CHOCOLATE</v>
          </cell>
          <cell r="D54" t="str">
            <v>Malaysia</v>
          </cell>
          <cell r="E54" t="str">
            <v>T1</v>
          </cell>
          <cell r="F54" t="str">
            <v>2 kgs (1.5:0.5)</v>
          </cell>
        </row>
        <row r="55">
          <cell r="B55" t="str">
            <v>M1036B</v>
          </cell>
          <cell r="C55" t="str">
            <v>SNOW ICE - MANGO</v>
          </cell>
          <cell r="D55" t="str">
            <v>Malaysia</v>
          </cell>
          <cell r="E55" t="str">
            <v>T1</v>
          </cell>
          <cell r="F55" t="str">
            <v>2 kgs (1.5:0.5)</v>
          </cell>
        </row>
        <row r="56">
          <cell r="B56" t="str">
            <v>M1036C</v>
          </cell>
          <cell r="C56" t="str">
            <v>SNOW ICE - STRAWBERRY</v>
          </cell>
          <cell r="D56" t="str">
            <v>Malaysia</v>
          </cell>
          <cell r="E56" t="str">
            <v>T1</v>
          </cell>
          <cell r="F56" t="str">
            <v>2 kgs (1.5:0.5)</v>
          </cell>
        </row>
        <row r="57">
          <cell r="B57" t="str">
            <v>M1036D</v>
          </cell>
          <cell r="C57" t="str">
            <v>SNOW ICE - DURIAN</v>
          </cell>
          <cell r="D57" t="str">
            <v>Malaysia</v>
          </cell>
          <cell r="E57" t="str">
            <v>T1</v>
          </cell>
          <cell r="F57" t="str">
            <v>2 kgs (1.5:0.5)</v>
          </cell>
        </row>
        <row r="58">
          <cell r="B58" t="str">
            <v>M1036F</v>
          </cell>
          <cell r="C58" t="str">
            <v>SNOW ICE - MATCHA GREEN TEA</v>
          </cell>
          <cell r="D58" t="str">
            <v>Malaysia</v>
          </cell>
          <cell r="E58" t="str">
            <v>T1</v>
          </cell>
          <cell r="F58" t="str">
            <v>2 kgs (1.5:0.5)</v>
          </cell>
        </row>
        <row r="59">
          <cell r="B59" t="str">
            <v>M1037</v>
          </cell>
          <cell r="C59" t="str">
            <v>ROCK SUGAR SYRUP</v>
          </cell>
          <cell r="D59" t="str">
            <v>Singapore</v>
          </cell>
          <cell r="E59" t="str">
            <v>DO!</v>
          </cell>
          <cell r="F59" t="str">
            <v>4 KG</v>
          </cell>
        </row>
        <row r="60">
          <cell r="B60" t="str">
            <v>P1001</v>
          </cell>
          <cell r="C60" t="str">
            <v>3Q Jelly</v>
          </cell>
          <cell r="D60" t="str">
            <v>TAIWAN</v>
          </cell>
          <cell r="E60" t="str">
            <v>TW</v>
          </cell>
          <cell r="F60" t="str">
            <v>4 KGS X 4TUB</v>
          </cell>
        </row>
        <row r="61">
          <cell r="B61" t="str">
            <v>P1001A</v>
          </cell>
          <cell r="C61" t="str">
            <v>3Q Jelly</v>
          </cell>
          <cell r="D61" t="str">
            <v>TAIWAN</v>
          </cell>
          <cell r="E61" t="str">
            <v>TW</v>
          </cell>
          <cell r="F61" t="str">
            <v>4 KGS/TUB</v>
          </cell>
        </row>
        <row r="62">
          <cell r="B62" t="str">
            <v>P1002</v>
          </cell>
          <cell r="C62" t="str">
            <v>Tadpole蝌蚪</v>
          </cell>
          <cell r="D62" t="str">
            <v>Malaysia</v>
          </cell>
          <cell r="E62" t="str">
            <v>FJ</v>
          </cell>
          <cell r="F62" t="str">
            <v>1 kg</v>
          </cell>
        </row>
        <row r="63">
          <cell r="B63" t="str">
            <v>P1003</v>
          </cell>
          <cell r="C63" t="str">
            <v>Q Ball Q圆</v>
          </cell>
          <cell r="D63" t="str">
            <v>Malaysia</v>
          </cell>
          <cell r="E63" t="str">
            <v>FJ</v>
          </cell>
          <cell r="F63" t="str">
            <v>1 KGS/包</v>
          </cell>
        </row>
        <row r="64">
          <cell r="B64" t="str">
            <v>P1004</v>
          </cell>
          <cell r="C64" t="str">
            <v>Honey Pearl - Black 蜜糖珍珠</v>
          </cell>
          <cell r="D64" t="str">
            <v>Singapore</v>
          </cell>
          <cell r="E64" t="str">
            <v>-</v>
          </cell>
          <cell r="F64" t="str">
            <v>黑/Bag</v>
          </cell>
        </row>
        <row r="65">
          <cell r="B65" t="str">
            <v>P1005</v>
          </cell>
          <cell r="C65" t="str">
            <v>Honey Pearl - GOLDEN 蜜糖珍珠</v>
          </cell>
          <cell r="D65" t="str">
            <v>Singapore</v>
          </cell>
          <cell r="E65" t="str">
            <v>-</v>
          </cell>
          <cell r="F65" t="str">
            <v>黄金/Bag</v>
          </cell>
        </row>
        <row r="66">
          <cell r="B66" t="str">
            <v>P1006</v>
          </cell>
          <cell r="C66" t="str">
            <v>Magic Pop Ball - Mango</v>
          </cell>
          <cell r="D66" t="str">
            <v>Taiwan</v>
          </cell>
          <cell r="E66" t="str">
            <v>TW</v>
          </cell>
          <cell r="F66" t="str">
            <v>3.2 kg/Tub</v>
          </cell>
        </row>
        <row r="67">
          <cell r="B67" t="str">
            <v>P1006A</v>
          </cell>
          <cell r="C67" t="str">
            <v>Magic Pop Ball - Mango</v>
          </cell>
          <cell r="D67" t="str">
            <v>Taiwan</v>
          </cell>
          <cell r="E67" t="str">
            <v>TW</v>
          </cell>
          <cell r="F67" t="str">
            <v>1 KG/PKT</v>
          </cell>
        </row>
        <row r="68">
          <cell r="B68" t="str">
            <v>P1007</v>
          </cell>
          <cell r="C68" t="str">
            <v>Magic Pop Ball - Strawberry</v>
          </cell>
          <cell r="D68" t="str">
            <v>Taiwan</v>
          </cell>
          <cell r="E68" t="str">
            <v>TW</v>
          </cell>
          <cell r="F68" t="str">
            <v>3.2 kg/tub</v>
          </cell>
        </row>
        <row r="69">
          <cell r="B69" t="str">
            <v>P1007A</v>
          </cell>
          <cell r="C69" t="str">
            <v>Magic Pop Ball - Strawberry</v>
          </cell>
          <cell r="D69" t="str">
            <v>Taiwan</v>
          </cell>
          <cell r="E69" t="str">
            <v>TW</v>
          </cell>
          <cell r="F69" t="str">
            <v>1 KG/PKT</v>
          </cell>
        </row>
        <row r="70">
          <cell r="B70" t="str">
            <v>P1008</v>
          </cell>
          <cell r="C70" t="str">
            <v>Magic Pop Ball - Lychee</v>
          </cell>
          <cell r="D70" t="str">
            <v>Taiwan</v>
          </cell>
          <cell r="E70" t="str">
            <v>TW</v>
          </cell>
          <cell r="F70" t="str">
            <v>3.2 kg/tub</v>
          </cell>
        </row>
        <row r="71">
          <cell r="B71" t="str">
            <v>P1008A</v>
          </cell>
          <cell r="C71" t="str">
            <v>Magic Pop Ball - Lychee</v>
          </cell>
          <cell r="D71" t="str">
            <v>Taiwan</v>
          </cell>
          <cell r="E71" t="str">
            <v>TW</v>
          </cell>
          <cell r="F71" t="str">
            <v>1 KG/PKT</v>
          </cell>
        </row>
        <row r="72">
          <cell r="B72" t="str">
            <v>P1009</v>
          </cell>
          <cell r="C72" t="str">
            <v>Original Konjac Ball</v>
          </cell>
          <cell r="D72" t="str">
            <v>Taiwan</v>
          </cell>
          <cell r="E72" t="str">
            <v>-</v>
          </cell>
          <cell r="F72" t="str">
            <v>1 kg</v>
          </cell>
        </row>
        <row r="73">
          <cell r="B73" t="str">
            <v>P1010</v>
          </cell>
          <cell r="C73" t="str">
            <v>Black Sugar Konjac Ball</v>
          </cell>
          <cell r="D73" t="str">
            <v>Taiwan</v>
          </cell>
          <cell r="E73" t="str">
            <v>-</v>
          </cell>
          <cell r="F73" t="str">
            <v>1 kg</v>
          </cell>
        </row>
        <row r="74">
          <cell r="B74" t="str">
            <v>P2001</v>
          </cell>
          <cell r="C74" t="str">
            <v>Chin Chow powder 仙 草粉</v>
          </cell>
          <cell r="D74" t="str">
            <v>China</v>
          </cell>
          <cell r="E74" t="str">
            <v>-</v>
          </cell>
          <cell r="F74" t="str">
            <v>500g x 20pkt</v>
          </cell>
        </row>
        <row r="75">
          <cell r="B75" t="str">
            <v>P2001A</v>
          </cell>
          <cell r="C75" t="str">
            <v>Chin Chow powder 仙 草粉</v>
          </cell>
          <cell r="D75" t="str">
            <v>China</v>
          </cell>
          <cell r="E75" t="str">
            <v>-</v>
          </cell>
          <cell r="F75" t="str">
            <v>2 kgs</v>
          </cell>
        </row>
        <row r="76">
          <cell r="B76" t="str">
            <v>P2001B</v>
          </cell>
          <cell r="C76" t="str">
            <v>Chin Chow powder 仙 草粉</v>
          </cell>
          <cell r="D76" t="str">
            <v>China</v>
          </cell>
          <cell r="E76" t="str">
            <v>-</v>
          </cell>
          <cell r="F76" t="str">
            <v>500 gm</v>
          </cell>
        </row>
        <row r="77">
          <cell r="B77" t="str">
            <v>P2002</v>
          </cell>
          <cell r="C77" t="str">
            <v>Jelly Powder 文头雪粉</v>
          </cell>
          <cell r="D77" t="str">
            <v>Japan</v>
          </cell>
          <cell r="E77" t="str">
            <v>500/4000</v>
          </cell>
          <cell r="F77" t="str">
            <v>1 kg</v>
          </cell>
        </row>
        <row r="78">
          <cell r="B78" t="str">
            <v>P2002A</v>
          </cell>
          <cell r="C78" t="str">
            <v>Jelly Powder 文头雪粉</v>
          </cell>
          <cell r="D78" t="str">
            <v>Japan</v>
          </cell>
          <cell r="E78" t="str">
            <v>500/4000</v>
          </cell>
          <cell r="F78" t="str">
            <v>42gmx10Pkt</v>
          </cell>
        </row>
        <row r="79">
          <cell r="B79" t="str">
            <v>P2002B</v>
          </cell>
          <cell r="C79" t="str">
            <v>Almond Power- Yellow- Jelly A 杏仁粉</v>
          </cell>
          <cell r="D79" t="str">
            <v>Japan</v>
          </cell>
          <cell r="E79" t="str">
            <v>500/4000</v>
          </cell>
          <cell r="F79" t="str">
            <v>30gm x 10pkt</v>
          </cell>
        </row>
        <row r="80">
          <cell r="B80" t="str">
            <v>P2003</v>
          </cell>
          <cell r="C80" t="str">
            <v>Agar Powder菜燕粉</v>
          </cell>
          <cell r="D80" t="str">
            <v>Japan</v>
          </cell>
          <cell r="E80" t="str">
            <v>No 1</v>
          </cell>
          <cell r="F80" t="str">
            <v>1 kg</v>
          </cell>
        </row>
        <row r="81">
          <cell r="B81" t="str">
            <v>P2003A</v>
          </cell>
          <cell r="C81" t="str">
            <v>Agar Powder菜燕粉</v>
          </cell>
          <cell r="D81" t="str">
            <v>Japan</v>
          </cell>
          <cell r="E81" t="str">
            <v>No 1</v>
          </cell>
          <cell r="F81" t="str">
            <v>43gmx10Pkt</v>
          </cell>
        </row>
        <row r="82">
          <cell r="B82" t="str">
            <v>P2004</v>
          </cell>
          <cell r="C82" t="str">
            <v>Agar Agar Powder (Rose)菜燕粉</v>
          </cell>
          <cell r="D82" t="str">
            <v>Malaysia</v>
          </cell>
          <cell r="E82" t="str">
            <v>Rose</v>
          </cell>
          <cell r="F82" t="str">
            <v>20 box/carton</v>
          </cell>
        </row>
        <row r="83">
          <cell r="B83" t="str">
            <v>P2004A</v>
          </cell>
          <cell r="C83" t="str">
            <v>Agar Agar Powder (Rose)菜燕粉</v>
          </cell>
          <cell r="D83" t="str">
            <v>Malaysia</v>
          </cell>
          <cell r="E83" t="str">
            <v>Rose</v>
          </cell>
          <cell r="F83" t="str">
            <v>(12g x 12pkt)/盒</v>
          </cell>
        </row>
        <row r="84">
          <cell r="B84" t="str">
            <v>P2005</v>
          </cell>
          <cell r="C84" t="str">
            <v>Agar Strip 菜燕条</v>
          </cell>
          <cell r="D84" t="str">
            <v>China</v>
          </cell>
          <cell r="E84" t="str">
            <v>-</v>
          </cell>
          <cell r="F84" t="str">
            <v>1 kg</v>
          </cell>
        </row>
        <row r="85">
          <cell r="B85" t="str">
            <v>P2006</v>
          </cell>
          <cell r="C85" t="str">
            <v>Mango Pudding芒果布丁</v>
          </cell>
          <cell r="D85" t="str">
            <v>Malaysia</v>
          </cell>
          <cell r="E85" t="str">
            <v>Pudding</v>
          </cell>
          <cell r="F85" t="str">
            <v>6 Box/(5pkt x 200gm)</v>
          </cell>
        </row>
        <row r="86">
          <cell r="B86" t="str">
            <v>P2006A</v>
          </cell>
          <cell r="C86" t="str">
            <v>Mango Pudding芒果布丁</v>
          </cell>
          <cell r="D86" t="str">
            <v>Malaysia</v>
          </cell>
          <cell r="E86" t="str">
            <v>Pudding</v>
          </cell>
          <cell r="F86" t="str">
            <v>10pkt x 200 gms/Bag</v>
          </cell>
        </row>
        <row r="87">
          <cell r="B87" t="str">
            <v>P2006B</v>
          </cell>
          <cell r="C87" t="str">
            <v>Mango Pudding芒果布丁</v>
          </cell>
          <cell r="D87" t="str">
            <v>Malaysia</v>
          </cell>
          <cell r="E87" t="str">
            <v>Pudding</v>
          </cell>
          <cell r="F87" t="str">
            <v>200 GM/PKT</v>
          </cell>
        </row>
        <row r="88">
          <cell r="B88" t="str">
            <v>P2007</v>
          </cell>
          <cell r="C88" t="str">
            <v>Almond Powder-White 杏仁粉</v>
          </cell>
          <cell r="D88" t="str">
            <v>Japan</v>
          </cell>
          <cell r="E88" t="str">
            <v>110088/5</v>
          </cell>
          <cell r="F88" t="str">
            <v>1 kg</v>
          </cell>
        </row>
        <row r="89">
          <cell r="B89" t="str">
            <v>P2007A</v>
          </cell>
          <cell r="C89" t="str">
            <v>Almond Powder-White 杏仁粉</v>
          </cell>
          <cell r="D89" t="str">
            <v>Japan</v>
          </cell>
          <cell r="E89" t="str">
            <v>110088/5</v>
          </cell>
          <cell r="F89" t="str">
            <v>70gms x 10 pkt</v>
          </cell>
        </row>
        <row r="90">
          <cell r="B90" t="str">
            <v>P2007B</v>
          </cell>
          <cell r="C90" t="str">
            <v>Almond Powder-White 杏仁粉</v>
          </cell>
          <cell r="D90" t="str">
            <v>Japan</v>
          </cell>
          <cell r="E90" t="str">
            <v>110088/5</v>
          </cell>
          <cell r="F90" t="str">
            <v>140 gms x 10 pkt</v>
          </cell>
        </row>
        <row r="91">
          <cell r="B91" t="str">
            <v>P2007C</v>
          </cell>
          <cell r="C91" t="str">
            <v>Almond Powder-White 杏仁粉</v>
          </cell>
          <cell r="D91" t="str">
            <v>Japan</v>
          </cell>
          <cell r="E91" t="str">
            <v>110088/5</v>
          </cell>
          <cell r="F91" t="str">
            <v>35gms x 10 pkt</v>
          </cell>
        </row>
        <row r="92">
          <cell r="B92" t="str">
            <v>P2008</v>
          </cell>
          <cell r="C92" t="str">
            <v>Almond Powder 杏仁粉 - Yelow</v>
          </cell>
          <cell r="D92" t="str">
            <v>Japan</v>
          </cell>
          <cell r="E92" t="str">
            <v>PH</v>
          </cell>
          <cell r="F92" t="str">
            <v>1 kg</v>
          </cell>
        </row>
        <row r="93">
          <cell r="B93" t="str">
            <v>P2008A</v>
          </cell>
          <cell r="C93" t="str">
            <v>Almond Powder 杏仁粉 - Yelow</v>
          </cell>
          <cell r="D93" t="str">
            <v>Japan</v>
          </cell>
          <cell r="E93" t="str">
            <v>PH</v>
          </cell>
          <cell r="F93" t="str">
            <v>150gm x 10 pkt</v>
          </cell>
        </row>
        <row r="94">
          <cell r="B94" t="str">
            <v>P2008B</v>
          </cell>
          <cell r="C94" t="str">
            <v>Almond Powder 杏仁粉 - Yelow</v>
          </cell>
          <cell r="D94" t="str">
            <v>Japan</v>
          </cell>
          <cell r="E94" t="str">
            <v>PH</v>
          </cell>
          <cell r="F94" t="str">
            <v>150gm x 4 pkt</v>
          </cell>
        </row>
        <row r="95">
          <cell r="B95" t="str">
            <v>P2008C</v>
          </cell>
          <cell r="C95" t="str">
            <v>Almond Powder 杏仁粉 - Yelow</v>
          </cell>
          <cell r="D95" t="str">
            <v>Japan</v>
          </cell>
          <cell r="E95" t="str">
            <v>PH</v>
          </cell>
          <cell r="F95" t="str">
            <v>150 GM</v>
          </cell>
        </row>
        <row r="96">
          <cell r="B96" t="str">
            <v>P2009</v>
          </cell>
          <cell r="C96" t="str">
            <v>Herbal Jelly Powder</v>
          </cell>
          <cell r="E96" t="str">
            <v>-</v>
          </cell>
          <cell r="F96" t="str">
            <v>500 GM/BAG</v>
          </cell>
        </row>
        <row r="97">
          <cell r="B97" t="str">
            <v>P2010</v>
          </cell>
          <cell r="C97" t="str">
            <v>NESTLE COFFEEMATE</v>
          </cell>
          <cell r="D97" t="str">
            <v>-</v>
          </cell>
          <cell r="E97" t="str">
            <v>NESTLE</v>
          </cell>
          <cell r="F97" t="str">
            <v>12KGS/CARTON</v>
          </cell>
        </row>
        <row r="98">
          <cell r="B98" t="str">
            <v>P2010A</v>
          </cell>
          <cell r="C98" t="str">
            <v>NESTLE COFFEEMATE</v>
          </cell>
          <cell r="D98" t="str">
            <v>-</v>
          </cell>
          <cell r="E98" t="str">
            <v>NESTLE</v>
          </cell>
          <cell r="F98" t="str">
            <v>1 KG</v>
          </cell>
        </row>
        <row r="99">
          <cell r="B99" t="str">
            <v>P2011</v>
          </cell>
          <cell r="C99" t="str">
            <v>Sweet Potato Powder番薯粉</v>
          </cell>
          <cell r="D99" t="str">
            <v>China</v>
          </cell>
          <cell r="E99" t="str">
            <v>-</v>
          </cell>
          <cell r="F99" t="str">
            <v>25 KGS</v>
          </cell>
        </row>
        <row r="100">
          <cell r="B100" t="str">
            <v>P2011A</v>
          </cell>
          <cell r="C100" t="str">
            <v>Sweet Potato Powder番薯粉</v>
          </cell>
          <cell r="D100" t="str">
            <v>China</v>
          </cell>
          <cell r="E100" t="str">
            <v>RE-PACK</v>
          </cell>
          <cell r="F100" t="str">
            <v>3 kgs</v>
          </cell>
        </row>
        <row r="101">
          <cell r="B101" t="str">
            <v>P2011B</v>
          </cell>
          <cell r="C101" t="str">
            <v>Sweet Potato Powder番薯粉</v>
          </cell>
          <cell r="D101" t="str">
            <v>China</v>
          </cell>
          <cell r="E101" t="str">
            <v>RE-PACK</v>
          </cell>
          <cell r="F101" t="str">
            <v>500gm x 20包</v>
          </cell>
        </row>
        <row r="102">
          <cell r="B102" t="str">
            <v>P2011C</v>
          </cell>
          <cell r="C102" t="str">
            <v>Sweet Potato Powder番薯粉</v>
          </cell>
          <cell r="D102" t="str">
            <v>China</v>
          </cell>
          <cell r="E102" t="str">
            <v>RE-PACK</v>
          </cell>
          <cell r="F102" t="str">
            <v>4 KGS</v>
          </cell>
        </row>
        <row r="103">
          <cell r="B103" t="str">
            <v>P2011D</v>
          </cell>
          <cell r="C103" t="str">
            <v>Sweet Potato Powder番薯粉</v>
          </cell>
          <cell r="D103" t="str">
            <v>China</v>
          </cell>
          <cell r="E103" t="str">
            <v>RE-PACK</v>
          </cell>
          <cell r="F103" t="str">
            <v>1 kg</v>
          </cell>
        </row>
        <row r="104">
          <cell r="B104" t="str">
            <v>P2012</v>
          </cell>
          <cell r="C104" t="str">
            <v>Sweet Potato Powder番薯粉</v>
          </cell>
          <cell r="D104" t="str">
            <v>Thailand</v>
          </cell>
          <cell r="E104" t="str">
            <v>FLYING MAN</v>
          </cell>
          <cell r="F104" t="str">
            <v>(500gm x 20Pkt) Ctn</v>
          </cell>
        </row>
        <row r="105">
          <cell r="B105" t="str">
            <v>P2012A</v>
          </cell>
          <cell r="C105" t="str">
            <v>Sweet Potato Powder番薯粉</v>
          </cell>
          <cell r="D105" t="str">
            <v>Thailand</v>
          </cell>
          <cell r="E105" t="str">
            <v>FLYING MAN</v>
          </cell>
          <cell r="F105" t="str">
            <v>500 GMS</v>
          </cell>
        </row>
        <row r="106">
          <cell r="B106" t="str">
            <v>P2013</v>
          </cell>
          <cell r="C106" t="str">
            <v>Sweet Potato Powder番薯粉</v>
          </cell>
          <cell r="D106" t="str">
            <v>Thailand</v>
          </cell>
          <cell r="E106" t="str">
            <v>KHS</v>
          </cell>
          <cell r="F106" t="str">
            <v>(500gm x 20Pkt) Ctn</v>
          </cell>
        </row>
        <row r="107">
          <cell r="B107" t="str">
            <v>P2014</v>
          </cell>
          <cell r="C107" t="str">
            <v>Green Mung Bean STARCH</v>
          </cell>
          <cell r="D107" t="str">
            <v>China</v>
          </cell>
          <cell r="E107" t="str">
            <v>-</v>
          </cell>
          <cell r="F107" t="str">
            <v>25 kgs</v>
          </cell>
        </row>
        <row r="108">
          <cell r="B108" t="str">
            <v>P2014A</v>
          </cell>
          <cell r="C108" t="str">
            <v>Green Mung Bean STARCH</v>
          </cell>
          <cell r="D108" t="str">
            <v>China</v>
          </cell>
          <cell r="E108" t="str">
            <v>-</v>
          </cell>
          <cell r="F108" t="str">
            <v>1 kg</v>
          </cell>
        </row>
        <row r="109">
          <cell r="B109" t="str">
            <v>P2015</v>
          </cell>
          <cell r="C109" t="str">
            <v>Tapioca Flour 茨粉</v>
          </cell>
          <cell r="D109" t="str">
            <v>Thailand</v>
          </cell>
          <cell r="E109" t="str">
            <v>F/MAN</v>
          </cell>
          <cell r="F109" t="str">
            <v>25 kgs</v>
          </cell>
        </row>
        <row r="110">
          <cell r="B110" t="str">
            <v>P2016</v>
          </cell>
          <cell r="C110" t="str">
            <v>Tapioca Flour 茨粉</v>
          </cell>
          <cell r="D110" t="str">
            <v>Thailand</v>
          </cell>
          <cell r="E110" t="str">
            <v>F/MAN</v>
          </cell>
          <cell r="F110" t="str">
            <v>500gm/pkt x 50</v>
          </cell>
        </row>
        <row r="111">
          <cell r="B111" t="str">
            <v>P2016A</v>
          </cell>
          <cell r="C111" t="str">
            <v>Tapioca Flour 茨粉</v>
          </cell>
          <cell r="D111" t="str">
            <v>Thailand</v>
          </cell>
          <cell r="E111" t="str">
            <v>F/MAN</v>
          </cell>
          <cell r="F111" t="str">
            <v>500gm/pkt</v>
          </cell>
        </row>
        <row r="112">
          <cell r="B112" t="str">
            <v>P2017</v>
          </cell>
          <cell r="C112" t="str">
            <v>Potato Starch 风车粉</v>
          </cell>
          <cell r="D112" t="str">
            <v>Thailand</v>
          </cell>
          <cell r="E112" t="str">
            <v>Windmill</v>
          </cell>
          <cell r="F112" t="str">
            <v>(350gm x 24Pkt)/Carton</v>
          </cell>
        </row>
        <row r="113">
          <cell r="B113" t="str">
            <v>P2018</v>
          </cell>
          <cell r="C113" t="str">
            <v>Potato Starch 风车粉</v>
          </cell>
          <cell r="D113" t="str">
            <v>Thailand</v>
          </cell>
          <cell r="E113" t="str">
            <v>Windmill</v>
          </cell>
          <cell r="F113" t="str">
            <v>5 kg</v>
          </cell>
        </row>
        <row r="114">
          <cell r="B114" t="str">
            <v>P2019</v>
          </cell>
          <cell r="C114" t="str">
            <v>Potato Starch 风车粉</v>
          </cell>
          <cell r="D114" t="str">
            <v>Thailand</v>
          </cell>
          <cell r="E114" t="str">
            <v>WORLDWIDE</v>
          </cell>
          <cell r="F114" t="str">
            <v>25 kg</v>
          </cell>
        </row>
        <row r="115">
          <cell r="B115" t="str">
            <v>P2019A</v>
          </cell>
          <cell r="C115" t="str">
            <v>Potato Starch 风车粉</v>
          </cell>
          <cell r="D115" t="str">
            <v>Thailand</v>
          </cell>
          <cell r="E115" t="str">
            <v>RE-PACK</v>
          </cell>
          <cell r="F115" t="str">
            <v>5 kg</v>
          </cell>
        </row>
        <row r="116">
          <cell r="B116" t="str">
            <v>P2019B</v>
          </cell>
          <cell r="C116" t="str">
            <v>Potato Starch 风车粉</v>
          </cell>
          <cell r="D116" t="str">
            <v>Thailand</v>
          </cell>
          <cell r="E116" t="str">
            <v>RE-PACK</v>
          </cell>
          <cell r="F116" t="str">
            <v>3 KG</v>
          </cell>
        </row>
        <row r="117">
          <cell r="B117" t="str">
            <v>P2019C</v>
          </cell>
          <cell r="C117" t="str">
            <v>Potato Starch 风车粉</v>
          </cell>
          <cell r="D117" t="str">
            <v>Thailand</v>
          </cell>
          <cell r="E117" t="str">
            <v>RE-PACK</v>
          </cell>
          <cell r="F117" t="str">
            <v>1 kg</v>
          </cell>
        </row>
        <row r="118">
          <cell r="B118" t="str">
            <v>P2020</v>
          </cell>
          <cell r="C118" t="str">
            <v>Wheat Starch 澄面粉</v>
          </cell>
          <cell r="F118" t="str">
            <v>25 kgs</v>
          </cell>
        </row>
        <row r="119">
          <cell r="B119" t="str">
            <v>P2020A</v>
          </cell>
          <cell r="C119" t="str">
            <v>Wheat Starch 澄面粉</v>
          </cell>
          <cell r="F119" t="str">
            <v>500 gm x 10</v>
          </cell>
        </row>
        <row r="120">
          <cell r="B120" t="str">
            <v>P2021</v>
          </cell>
          <cell r="C120" t="str">
            <v>SODA 苏打粉 (KEE)</v>
          </cell>
          <cell r="E120" t="str">
            <v>-</v>
          </cell>
          <cell r="F120" t="str">
            <v>1KG</v>
          </cell>
        </row>
        <row r="121">
          <cell r="B121" t="str">
            <v>P2022</v>
          </cell>
          <cell r="C121" t="str">
            <v>RICE FLOUR 粘米粉</v>
          </cell>
          <cell r="E121" t="str">
            <v>ERWAN</v>
          </cell>
          <cell r="F121" t="str">
            <v>(600gm x 20Pkt)箱</v>
          </cell>
        </row>
        <row r="122">
          <cell r="B122" t="str">
            <v>P2023</v>
          </cell>
          <cell r="C122" t="str">
            <v>Glutinous FLOUR 糯米粉</v>
          </cell>
          <cell r="E122" t="str">
            <v>ERWAN</v>
          </cell>
          <cell r="F122" t="str">
            <v>(600gm x 20Pkt)箱</v>
          </cell>
        </row>
        <row r="123">
          <cell r="B123" t="str">
            <v>P2024</v>
          </cell>
          <cell r="C123" t="str">
            <v>Red Tea Jelly Powder</v>
          </cell>
          <cell r="D123" t="str">
            <v>Taiwan</v>
          </cell>
          <cell r="F123" t="str">
            <v>1 kg</v>
          </cell>
        </row>
        <row r="124">
          <cell r="B124" t="str">
            <v>P2025</v>
          </cell>
          <cell r="C124" t="str">
            <v>VANILLIN　班兰素</v>
          </cell>
          <cell r="D124" t="str">
            <v>China</v>
          </cell>
          <cell r="E124" t="str">
            <v>POLAR</v>
          </cell>
          <cell r="F124" t="str">
            <v>500 GMS/CAN</v>
          </cell>
        </row>
        <row r="125">
          <cell r="B125" t="str">
            <v>P2026</v>
          </cell>
          <cell r="C125" t="str">
            <v>CORN STARCH玉蜀黍粉</v>
          </cell>
          <cell r="F125" t="str">
            <v>400 GM</v>
          </cell>
        </row>
        <row r="126">
          <cell r="B126" t="str">
            <v>P2027</v>
          </cell>
          <cell r="C126" t="str">
            <v xml:space="preserve">PLAIN FLOUR 面粉 </v>
          </cell>
          <cell r="E126" t="str">
            <v>THREE EAGLE</v>
          </cell>
          <cell r="F126" t="str">
            <v>1KG X 10</v>
          </cell>
        </row>
        <row r="127">
          <cell r="B127" t="str">
            <v>P2028</v>
          </cell>
          <cell r="C127" t="str">
            <v>Green Tea Powder</v>
          </cell>
          <cell r="D127" t="str">
            <v>Taiwan</v>
          </cell>
          <cell r="E127" t="str">
            <v>TOP</v>
          </cell>
          <cell r="F127" t="str">
            <v>1 KG</v>
          </cell>
        </row>
        <row r="128">
          <cell r="B128" t="str">
            <v>P2029</v>
          </cell>
          <cell r="C128" t="str">
            <v>JELLY POWDER T-80 (BAI LIANG FEN)</v>
          </cell>
          <cell r="D128" t="str">
            <v>Taiwan</v>
          </cell>
          <cell r="E128" t="str">
            <v>-</v>
          </cell>
          <cell r="F128" t="str">
            <v>1 KG</v>
          </cell>
        </row>
        <row r="129">
          <cell r="B129" t="str">
            <v>P2030</v>
          </cell>
          <cell r="C129" t="str">
            <v>WHEAT FLOUR</v>
          </cell>
          <cell r="D129" t="str">
            <v>-</v>
          </cell>
          <cell r="E129" t="str">
            <v>FISH BRAND</v>
          </cell>
          <cell r="F129" t="str">
            <v>25 KGS</v>
          </cell>
        </row>
        <row r="130">
          <cell r="B130" t="str">
            <v>P2031</v>
          </cell>
          <cell r="C130" t="str">
            <v>COLD BEAN CURD POWDER</v>
          </cell>
          <cell r="D130" t="str">
            <v>Taiwan</v>
          </cell>
          <cell r="E130" t="str">
            <v>TOP</v>
          </cell>
          <cell r="F130" t="str">
            <v>1 KG</v>
          </cell>
        </row>
        <row r="131">
          <cell r="B131" t="str">
            <v>P2032</v>
          </cell>
          <cell r="C131" t="str">
            <v>MESONA LIQUID (GLASS JELLY)</v>
          </cell>
          <cell r="D131" t="str">
            <v>Taiwan</v>
          </cell>
          <cell r="F131" t="str">
            <v>3 KGS/TIN</v>
          </cell>
        </row>
        <row r="132">
          <cell r="B132" t="str">
            <v>P2033</v>
          </cell>
          <cell r="C132" t="str">
            <v>EGG PUDDING POWDER</v>
          </cell>
          <cell r="D132" t="str">
            <v>Taiwan</v>
          </cell>
          <cell r="E132" t="str">
            <v>-</v>
          </cell>
          <cell r="F132" t="str">
            <v>1 KGS</v>
          </cell>
        </row>
        <row r="133">
          <cell r="B133" t="str">
            <v>P2034</v>
          </cell>
          <cell r="C133" t="str">
            <v>AI YI JELLY</v>
          </cell>
          <cell r="D133" t="str">
            <v>Taiwan</v>
          </cell>
          <cell r="E133" t="str">
            <v>TOP</v>
          </cell>
          <cell r="F133" t="str">
            <v>3 KGS/TIN</v>
          </cell>
        </row>
        <row r="134">
          <cell r="B134" t="str">
            <v>P3001</v>
          </cell>
          <cell r="C134" t="str">
            <v>Atap Seeds in Syrup亚嗒子</v>
          </cell>
          <cell r="D134" t="str">
            <v>Indonesia</v>
          </cell>
          <cell r="E134" t="str">
            <v>2P</v>
          </cell>
          <cell r="F134" t="str">
            <v>20 kgs/桶</v>
          </cell>
        </row>
        <row r="135">
          <cell r="B135" t="str">
            <v>P3001A</v>
          </cell>
          <cell r="C135" t="str">
            <v>Atap Seeds in Syrup亚嗒子</v>
          </cell>
          <cell r="D135" t="str">
            <v>Indonesia</v>
          </cell>
          <cell r="E135" t="str">
            <v>2P</v>
          </cell>
          <cell r="F135" t="str">
            <v>NW (2.1:0.9) 3 kgs</v>
          </cell>
        </row>
        <row r="136">
          <cell r="B136" t="str">
            <v>P3001B</v>
          </cell>
          <cell r="C136" t="str">
            <v>Atap Seeds in Syrup亚嗒子</v>
          </cell>
          <cell r="D136" t="str">
            <v>Indonesia</v>
          </cell>
          <cell r="E136" t="str">
            <v>2P</v>
          </cell>
          <cell r="F136" t="str">
            <v>NW (1.6:0.6) 2.2 kgs</v>
          </cell>
        </row>
        <row r="137">
          <cell r="B137" t="str">
            <v>P3001C</v>
          </cell>
          <cell r="C137" t="str">
            <v>Atap Seeds in Syrup亚嗒子</v>
          </cell>
          <cell r="D137" t="str">
            <v>Indonesia</v>
          </cell>
          <cell r="E137" t="str">
            <v>2P</v>
          </cell>
          <cell r="F137" t="str">
            <v>NET WT: 500 gms</v>
          </cell>
        </row>
        <row r="138">
          <cell r="B138" t="str">
            <v>P3002</v>
          </cell>
          <cell r="C138" t="str">
            <v>Chin Chow  仙 草</v>
          </cell>
          <cell r="D138" t="str">
            <v>Singapore</v>
          </cell>
          <cell r="E138" t="str">
            <v>TSM</v>
          </cell>
          <cell r="F138" t="str">
            <v>5KGS/PKT</v>
          </cell>
        </row>
        <row r="139">
          <cell r="B139" t="str">
            <v>P3003</v>
          </cell>
          <cell r="C139" t="str">
            <v>Selaseh (Basil Seed) 青蛙蛋</v>
          </cell>
          <cell r="D139" t="str">
            <v>Indonesia</v>
          </cell>
          <cell r="E139" t="str">
            <v>Tukhmaria</v>
          </cell>
          <cell r="F139" t="str">
            <v>500 GM</v>
          </cell>
        </row>
        <row r="140">
          <cell r="B140" t="str">
            <v>P3003A</v>
          </cell>
          <cell r="C140" t="str">
            <v>Selaseh (Basil Seed) 青蛙蛋</v>
          </cell>
          <cell r="D140" t="str">
            <v>Indonesia</v>
          </cell>
          <cell r="E140" t="str">
            <v>Tukhmaria</v>
          </cell>
          <cell r="F140" t="str">
            <v>1 kg</v>
          </cell>
        </row>
        <row r="141">
          <cell r="B141" t="str">
            <v>P3004</v>
          </cell>
          <cell r="C141" t="str">
            <v>GingKo Nut (Peel off)白果仁</v>
          </cell>
          <cell r="D141" t="str">
            <v>China</v>
          </cell>
          <cell r="E141" t="str">
            <v>-</v>
          </cell>
          <cell r="F141" t="str">
            <v>500g x 24 pkt/箱</v>
          </cell>
        </row>
        <row r="142">
          <cell r="B142" t="str">
            <v>P3004A</v>
          </cell>
          <cell r="C142" t="str">
            <v>GingKo Nut (Peel off)白果仁</v>
          </cell>
          <cell r="D142" t="str">
            <v>China</v>
          </cell>
          <cell r="E142" t="str">
            <v>-</v>
          </cell>
          <cell r="F142" t="str">
            <v>1 kg (2 包)</v>
          </cell>
        </row>
        <row r="143">
          <cell r="B143" t="str">
            <v>P3005</v>
          </cell>
          <cell r="C143" t="str">
            <v>Red Bean红豆</v>
          </cell>
          <cell r="D143" t="str">
            <v>China</v>
          </cell>
          <cell r="E143" t="str">
            <v>-</v>
          </cell>
          <cell r="F143" t="str">
            <v>25 kgs</v>
          </cell>
        </row>
        <row r="144">
          <cell r="B144" t="str">
            <v>P3005A</v>
          </cell>
          <cell r="C144" t="str">
            <v>Red Bean红豆</v>
          </cell>
          <cell r="D144" t="str">
            <v>China</v>
          </cell>
          <cell r="E144" t="str">
            <v>-</v>
          </cell>
          <cell r="F144" t="str">
            <v>5 kgs</v>
          </cell>
        </row>
        <row r="145">
          <cell r="B145" t="str">
            <v>P3005B</v>
          </cell>
          <cell r="C145" t="str">
            <v>Red Bean红豆</v>
          </cell>
          <cell r="D145" t="str">
            <v>China</v>
          </cell>
          <cell r="E145" t="str">
            <v>-</v>
          </cell>
          <cell r="F145" t="str">
            <v>3.5 KGS</v>
          </cell>
        </row>
        <row r="146">
          <cell r="B146" t="str">
            <v>P3005C</v>
          </cell>
          <cell r="C146" t="str">
            <v>Red Bean红豆</v>
          </cell>
          <cell r="D146" t="str">
            <v>China</v>
          </cell>
          <cell r="E146" t="str">
            <v>-</v>
          </cell>
          <cell r="F146" t="str">
            <v>3 kgs</v>
          </cell>
        </row>
        <row r="147">
          <cell r="B147" t="str">
            <v>P3005D</v>
          </cell>
          <cell r="C147" t="str">
            <v>Red Bean红豆</v>
          </cell>
          <cell r="D147" t="str">
            <v>China</v>
          </cell>
          <cell r="E147" t="str">
            <v>-</v>
          </cell>
          <cell r="F147" t="str">
            <v>1 KGS</v>
          </cell>
        </row>
        <row r="148">
          <cell r="B148" t="str">
            <v>P3005E</v>
          </cell>
          <cell r="C148" t="str">
            <v>Red Bean红豆</v>
          </cell>
          <cell r="D148" t="str">
            <v>China</v>
          </cell>
          <cell r="E148" t="str">
            <v>-</v>
          </cell>
          <cell r="F148" t="str">
            <v>2.5 KGS</v>
          </cell>
        </row>
        <row r="149">
          <cell r="B149" t="str">
            <v>P3006</v>
          </cell>
          <cell r="C149" t="str">
            <v>Small Red Bean小红豆</v>
          </cell>
          <cell r="D149" t="str">
            <v>China</v>
          </cell>
          <cell r="E149" t="str">
            <v>-</v>
          </cell>
          <cell r="F149" t="str">
            <v>25 kgs</v>
          </cell>
        </row>
        <row r="150">
          <cell r="B150" t="str">
            <v>P3006A</v>
          </cell>
          <cell r="C150" t="str">
            <v>Small Red Bean小红豆</v>
          </cell>
          <cell r="D150" t="str">
            <v>China</v>
          </cell>
          <cell r="E150" t="str">
            <v>-</v>
          </cell>
          <cell r="F150" t="str">
            <v>5 kgs</v>
          </cell>
        </row>
        <row r="151">
          <cell r="B151" t="str">
            <v>P3006B</v>
          </cell>
          <cell r="C151" t="str">
            <v>Small Red Bean小红豆</v>
          </cell>
          <cell r="D151" t="str">
            <v>China</v>
          </cell>
          <cell r="E151" t="str">
            <v>-</v>
          </cell>
          <cell r="F151" t="str">
            <v>2.5 KGS</v>
          </cell>
        </row>
        <row r="152">
          <cell r="B152" t="str">
            <v>P3006C</v>
          </cell>
          <cell r="C152" t="str">
            <v>Small Red Bean小红豆</v>
          </cell>
          <cell r="D152" t="str">
            <v>China</v>
          </cell>
          <cell r="E152" t="str">
            <v>-</v>
          </cell>
          <cell r="F152" t="str">
            <v>1 KG</v>
          </cell>
        </row>
        <row r="153">
          <cell r="B153" t="str">
            <v>P3007</v>
          </cell>
          <cell r="C153" t="str">
            <v>Kidney Bean 大红豆 (美国）</v>
          </cell>
          <cell r="D153" t="str">
            <v>China</v>
          </cell>
          <cell r="E153" t="str">
            <v>-</v>
          </cell>
          <cell r="F153" t="str">
            <v>25 kgs</v>
          </cell>
        </row>
        <row r="154">
          <cell r="B154" t="str">
            <v>P3007A</v>
          </cell>
          <cell r="C154" t="str">
            <v>Kidney Bean 大红豆 (美国）</v>
          </cell>
          <cell r="D154" t="str">
            <v>China</v>
          </cell>
          <cell r="E154" t="str">
            <v>-</v>
          </cell>
          <cell r="F154" t="str">
            <v>5 kgs</v>
          </cell>
        </row>
        <row r="155">
          <cell r="B155" t="str">
            <v>P3007B</v>
          </cell>
          <cell r="C155" t="str">
            <v>Kidney Bean 大红豆 (美国）</v>
          </cell>
          <cell r="D155" t="str">
            <v>China</v>
          </cell>
          <cell r="E155" t="str">
            <v>-</v>
          </cell>
          <cell r="F155" t="str">
            <v>1 kg</v>
          </cell>
        </row>
        <row r="156">
          <cell r="B156" t="str">
            <v>P3008</v>
          </cell>
          <cell r="C156" t="str">
            <v>Chia Tao赤豆</v>
          </cell>
          <cell r="D156" t="str">
            <v>China</v>
          </cell>
          <cell r="E156" t="str">
            <v>-</v>
          </cell>
          <cell r="F156" t="str">
            <v>25 KGS</v>
          </cell>
        </row>
        <row r="157">
          <cell r="B157" t="str">
            <v>P3008A</v>
          </cell>
          <cell r="C157" t="str">
            <v>Chia Tao赤豆</v>
          </cell>
          <cell r="D157" t="str">
            <v>China</v>
          </cell>
          <cell r="E157" t="str">
            <v>RE-PACK</v>
          </cell>
          <cell r="F157" t="str">
            <v>5 kgs</v>
          </cell>
        </row>
        <row r="158">
          <cell r="B158" t="str">
            <v>P3008B</v>
          </cell>
          <cell r="C158" t="str">
            <v>Chia Tao赤豆</v>
          </cell>
          <cell r="D158" t="str">
            <v>China</v>
          </cell>
          <cell r="E158" t="str">
            <v>RE-PACK</v>
          </cell>
          <cell r="F158" t="str">
            <v>1 kg</v>
          </cell>
        </row>
        <row r="159">
          <cell r="B159" t="str">
            <v>P3009</v>
          </cell>
          <cell r="C159" t="str">
            <v>Green Bean 绿豆</v>
          </cell>
          <cell r="D159" t="str">
            <v>AUSTRALIA</v>
          </cell>
          <cell r="F159" t="str">
            <v>25 kgs/bag</v>
          </cell>
        </row>
        <row r="160">
          <cell r="B160" t="str">
            <v>P3009A</v>
          </cell>
          <cell r="C160" t="str">
            <v>Green Bean 绿豆</v>
          </cell>
          <cell r="D160" t="str">
            <v>AUSTRALIA</v>
          </cell>
          <cell r="E160" t="str">
            <v>-</v>
          </cell>
          <cell r="F160" t="str">
            <v>5 KGS</v>
          </cell>
        </row>
        <row r="161">
          <cell r="B161" t="str">
            <v>P3009B</v>
          </cell>
          <cell r="C161" t="str">
            <v>Green Bean 绿豆</v>
          </cell>
          <cell r="D161" t="str">
            <v>AUSTRALIA</v>
          </cell>
          <cell r="E161" t="str">
            <v>-</v>
          </cell>
          <cell r="F161" t="str">
            <v>2.5 KGS</v>
          </cell>
        </row>
        <row r="162">
          <cell r="B162" t="str">
            <v>P3009C</v>
          </cell>
          <cell r="C162" t="str">
            <v>Green Bean 绿豆</v>
          </cell>
          <cell r="D162" t="str">
            <v>AUSTRALIA</v>
          </cell>
          <cell r="E162" t="str">
            <v>-</v>
          </cell>
          <cell r="F162" t="str">
            <v>1 KGS</v>
          </cell>
        </row>
        <row r="163">
          <cell r="B163" t="str">
            <v>P3010</v>
          </cell>
          <cell r="C163" t="str">
            <v>SOYABEAN</v>
          </cell>
          <cell r="D163" t="str">
            <v>China</v>
          </cell>
          <cell r="E163" t="str">
            <v>-</v>
          </cell>
          <cell r="F163" t="str">
            <v>500 GMS</v>
          </cell>
        </row>
        <row r="164">
          <cell r="B164" t="str">
            <v>P3011</v>
          </cell>
          <cell r="C164" t="str">
            <v>BLACK BEAN</v>
          </cell>
          <cell r="D164" t="str">
            <v>China</v>
          </cell>
          <cell r="E164" t="str">
            <v>-</v>
          </cell>
          <cell r="F164" t="str">
            <v>500 GMS</v>
          </cell>
        </row>
        <row r="165">
          <cell r="B165" t="str">
            <v>P3012</v>
          </cell>
          <cell r="C165" t="str">
            <v>Split Green Mung Bean豆畔</v>
          </cell>
          <cell r="D165" t="str">
            <v>Thailand</v>
          </cell>
          <cell r="E165" t="str">
            <v>SW</v>
          </cell>
          <cell r="F165" t="str">
            <v>30 kgs/bag</v>
          </cell>
        </row>
        <row r="166">
          <cell r="B166" t="str">
            <v>P3012A</v>
          </cell>
          <cell r="C166" t="str">
            <v>Split Green Mung Bean豆畔</v>
          </cell>
          <cell r="D166" t="str">
            <v>Thailand</v>
          </cell>
          <cell r="E166" t="str">
            <v>SW</v>
          </cell>
          <cell r="F166" t="str">
            <v>5 KG</v>
          </cell>
        </row>
        <row r="167">
          <cell r="B167" t="str">
            <v>P3012B</v>
          </cell>
          <cell r="C167" t="str">
            <v>Split Green Mung Bean豆畔</v>
          </cell>
          <cell r="D167" t="str">
            <v>Thailand</v>
          </cell>
          <cell r="E167" t="str">
            <v>SW</v>
          </cell>
          <cell r="F167" t="str">
            <v>3 KG</v>
          </cell>
        </row>
        <row r="168">
          <cell r="B168" t="str">
            <v>P3012C</v>
          </cell>
          <cell r="C168" t="str">
            <v>Split Green Mung Bean豆畔</v>
          </cell>
          <cell r="D168" t="str">
            <v>Thailand</v>
          </cell>
          <cell r="E168" t="str">
            <v>SW</v>
          </cell>
          <cell r="F168" t="str">
            <v>2 kg</v>
          </cell>
        </row>
        <row r="169">
          <cell r="B169" t="str">
            <v>P3012D</v>
          </cell>
          <cell r="C169" t="str">
            <v>Split Green Mung Bean豆畔</v>
          </cell>
          <cell r="D169" t="str">
            <v>Thailand</v>
          </cell>
          <cell r="E169" t="str">
            <v>SW</v>
          </cell>
          <cell r="F169" t="str">
            <v>1 KG</v>
          </cell>
        </row>
        <row r="170">
          <cell r="B170" t="str">
            <v>P3012E</v>
          </cell>
          <cell r="C170" t="str">
            <v>Split Green Mung Bean豆畔</v>
          </cell>
          <cell r="D170" t="str">
            <v>Thailand</v>
          </cell>
          <cell r="E170" t="str">
            <v>SW</v>
          </cell>
          <cell r="F170" t="str">
            <v>500 gms</v>
          </cell>
        </row>
        <row r="171">
          <cell r="B171" t="str">
            <v>P3013</v>
          </cell>
          <cell r="C171" t="str">
            <v>Black Glutinous Rice 黑糯米</v>
          </cell>
          <cell r="E171" t="str">
            <v>INDONESIA</v>
          </cell>
          <cell r="F171" t="str">
            <v>25 kgs/Bag</v>
          </cell>
        </row>
        <row r="172">
          <cell r="B172" t="str">
            <v>P3013A</v>
          </cell>
          <cell r="C172" t="str">
            <v>Black Glutinous Rice 黑糯米</v>
          </cell>
          <cell r="D172" t="str">
            <v>Indonesia</v>
          </cell>
          <cell r="E172" t="str">
            <v>-</v>
          </cell>
          <cell r="F172" t="str">
            <v>5 kgs</v>
          </cell>
        </row>
        <row r="173">
          <cell r="B173" t="str">
            <v>P3013B</v>
          </cell>
          <cell r="C173" t="str">
            <v>Black Glutinous Rice 黑糯米</v>
          </cell>
          <cell r="D173" t="str">
            <v>Indonesia</v>
          </cell>
          <cell r="E173" t="str">
            <v>-</v>
          </cell>
          <cell r="F173" t="str">
            <v>1 KG</v>
          </cell>
        </row>
        <row r="174">
          <cell r="B174" t="str">
            <v>P3013C</v>
          </cell>
          <cell r="C174" t="str">
            <v>Black Glutinous Rice 黑糯米</v>
          </cell>
          <cell r="D174" t="str">
            <v>Indonesia</v>
          </cell>
          <cell r="E174" t="str">
            <v>-</v>
          </cell>
          <cell r="F174" t="str">
            <v>750 GM</v>
          </cell>
        </row>
        <row r="175">
          <cell r="B175" t="str">
            <v>P3014</v>
          </cell>
          <cell r="C175" t="str">
            <v>White Glutinous Rice白糯米</v>
          </cell>
          <cell r="E175" t="str">
            <v>Thai</v>
          </cell>
          <cell r="F175" t="str">
            <v>25 kgs/Bag</v>
          </cell>
        </row>
        <row r="176">
          <cell r="B176" t="str">
            <v>P3014A</v>
          </cell>
          <cell r="C176" t="str">
            <v>White Glutinous Rice白糯米</v>
          </cell>
          <cell r="D176" t="str">
            <v>Vietnam</v>
          </cell>
          <cell r="E176" t="str">
            <v>-</v>
          </cell>
          <cell r="F176" t="str">
            <v>5 kgs</v>
          </cell>
        </row>
        <row r="177">
          <cell r="B177" t="str">
            <v>P3014B</v>
          </cell>
          <cell r="C177" t="str">
            <v>White Glutinous Rice白糯米</v>
          </cell>
          <cell r="D177" t="str">
            <v>Vietnam</v>
          </cell>
          <cell r="E177" t="str">
            <v>-</v>
          </cell>
          <cell r="F177" t="str">
            <v>1 kg</v>
          </cell>
        </row>
        <row r="178">
          <cell r="B178" t="str">
            <v>P3014C</v>
          </cell>
          <cell r="C178" t="str">
            <v>White Glutinous Rice白糯米</v>
          </cell>
          <cell r="D178" t="str">
            <v>Vietnam</v>
          </cell>
          <cell r="E178" t="str">
            <v>-</v>
          </cell>
          <cell r="F178" t="str">
            <v>500 GMS</v>
          </cell>
        </row>
        <row r="179">
          <cell r="B179" t="str">
            <v>P3015</v>
          </cell>
          <cell r="C179" t="str">
            <v>White Wheat 大麦</v>
          </cell>
          <cell r="D179" t="str">
            <v>Malaysia</v>
          </cell>
          <cell r="E179" t="str">
            <v>-</v>
          </cell>
          <cell r="F179" t="str">
            <v>10PKT/BAG</v>
          </cell>
        </row>
        <row r="180">
          <cell r="B180" t="str">
            <v>P3016</v>
          </cell>
          <cell r="C180" t="str">
            <v>Pearl Barley 薏米</v>
          </cell>
          <cell r="D180" t="str">
            <v>HOLLAND</v>
          </cell>
          <cell r="E180" t="str">
            <v>-</v>
          </cell>
          <cell r="F180" t="str">
            <v>25 kgs</v>
          </cell>
        </row>
        <row r="181">
          <cell r="B181" t="str">
            <v>P3016A</v>
          </cell>
          <cell r="C181" t="str">
            <v>Pearl Barley 薏米</v>
          </cell>
          <cell r="D181" t="str">
            <v>HOLLAND</v>
          </cell>
          <cell r="E181" t="str">
            <v>-</v>
          </cell>
          <cell r="F181" t="str">
            <v>5 kgs</v>
          </cell>
        </row>
        <row r="182">
          <cell r="B182" t="str">
            <v>P3016B</v>
          </cell>
          <cell r="C182" t="str">
            <v>Pearl Barley 薏米</v>
          </cell>
          <cell r="D182" t="str">
            <v>HOLLAND</v>
          </cell>
          <cell r="E182" t="str">
            <v>-</v>
          </cell>
          <cell r="F182" t="str">
            <v>1 kg</v>
          </cell>
        </row>
        <row r="183">
          <cell r="B183" t="str">
            <v>P3017</v>
          </cell>
          <cell r="C183" t="str">
            <v>Big Sago 大丸</v>
          </cell>
          <cell r="D183" t="str">
            <v>Thailand</v>
          </cell>
          <cell r="E183" t="str">
            <v>SW</v>
          </cell>
          <cell r="F183" t="str">
            <v>30 kgs/bag</v>
          </cell>
        </row>
        <row r="184">
          <cell r="B184" t="str">
            <v>P3017A</v>
          </cell>
          <cell r="C184" t="str">
            <v>Big Sago 大丸</v>
          </cell>
          <cell r="D184" t="str">
            <v>Thailand</v>
          </cell>
          <cell r="E184" t="str">
            <v>SW</v>
          </cell>
          <cell r="F184" t="str">
            <v>5 kgs</v>
          </cell>
        </row>
        <row r="185">
          <cell r="B185" t="str">
            <v>P3017B</v>
          </cell>
          <cell r="C185" t="str">
            <v>Big Sago 大丸</v>
          </cell>
          <cell r="D185" t="str">
            <v>Thailand</v>
          </cell>
          <cell r="E185" t="str">
            <v>SW</v>
          </cell>
          <cell r="F185" t="str">
            <v>1 kg</v>
          </cell>
        </row>
        <row r="186">
          <cell r="B186" t="str">
            <v>P3017C</v>
          </cell>
          <cell r="C186" t="str">
            <v>Big Sago 大丸</v>
          </cell>
          <cell r="D186" t="str">
            <v>Thailand</v>
          </cell>
          <cell r="E186" t="str">
            <v>SW</v>
          </cell>
          <cell r="F186" t="str">
            <v>2.5 KGS</v>
          </cell>
        </row>
        <row r="187">
          <cell r="B187" t="str">
            <v>P3018</v>
          </cell>
          <cell r="C187" t="str">
            <v>Small Sago 小丸</v>
          </cell>
          <cell r="D187" t="str">
            <v>Thailand</v>
          </cell>
          <cell r="E187" t="str">
            <v>SW</v>
          </cell>
          <cell r="F187" t="str">
            <v>30 kgs/bag</v>
          </cell>
        </row>
        <row r="188">
          <cell r="B188" t="str">
            <v>P3018A</v>
          </cell>
          <cell r="C188" t="str">
            <v>Small Sago 小丸</v>
          </cell>
          <cell r="D188" t="str">
            <v>Thailand</v>
          </cell>
          <cell r="E188" t="str">
            <v>SW</v>
          </cell>
          <cell r="F188" t="str">
            <v>5 kgs</v>
          </cell>
        </row>
        <row r="189">
          <cell r="B189" t="str">
            <v>P3018B</v>
          </cell>
          <cell r="C189" t="str">
            <v>Small Sago 小丸</v>
          </cell>
          <cell r="D189" t="str">
            <v>Thailand</v>
          </cell>
          <cell r="E189" t="str">
            <v>SW</v>
          </cell>
          <cell r="F189" t="str">
            <v>1 kg</v>
          </cell>
        </row>
        <row r="190">
          <cell r="B190" t="str">
            <v>P3018C</v>
          </cell>
          <cell r="C190" t="str">
            <v>Small Sago 小丸</v>
          </cell>
          <cell r="D190" t="str">
            <v>Thailand</v>
          </cell>
          <cell r="E190" t="str">
            <v>SW</v>
          </cell>
          <cell r="F190" t="str">
            <v>500 GM</v>
          </cell>
        </row>
        <row r="191">
          <cell r="B191" t="str">
            <v>P3019</v>
          </cell>
          <cell r="C191" t="str">
            <v>Dried Longan 龙眼干</v>
          </cell>
          <cell r="D191" t="str">
            <v>Thailand</v>
          </cell>
          <cell r="E191" t="str">
            <v>AAA</v>
          </cell>
          <cell r="F191" t="str">
            <v>15 KGS/CTN</v>
          </cell>
        </row>
        <row r="192">
          <cell r="B192" t="str">
            <v>P3019A</v>
          </cell>
          <cell r="C192" t="str">
            <v>Dried Longan 龙眼干</v>
          </cell>
          <cell r="D192" t="str">
            <v>Thailand</v>
          </cell>
          <cell r="E192" t="str">
            <v>AAA</v>
          </cell>
          <cell r="F192" t="str">
            <v>1 kg</v>
          </cell>
        </row>
        <row r="193">
          <cell r="B193" t="str">
            <v>P3020</v>
          </cell>
          <cell r="C193" t="str">
            <v>Dried Longan 龙眼干</v>
          </cell>
          <cell r="D193" t="str">
            <v>China</v>
          </cell>
          <cell r="E193" t="str">
            <v>中</v>
          </cell>
          <cell r="F193" t="str">
            <v>10 KGS/CTN</v>
          </cell>
        </row>
        <row r="194">
          <cell r="B194" t="str">
            <v>P3020A</v>
          </cell>
          <cell r="C194" t="str">
            <v>Dried Longan 龙眼干</v>
          </cell>
          <cell r="D194" t="str">
            <v>China</v>
          </cell>
          <cell r="E194" t="str">
            <v>中</v>
          </cell>
          <cell r="F194" t="str">
            <v>1 kg</v>
          </cell>
        </row>
        <row r="195">
          <cell r="B195" t="str">
            <v>P3021</v>
          </cell>
          <cell r="C195" t="str">
            <v>Fungus 黄木耳</v>
          </cell>
          <cell r="D195" t="str">
            <v>China</v>
          </cell>
          <cell r="E195" t="str">
            <v>黄</v>
          </cell>
          <cell r="F195" t="str">
            <v>1 kg</v>
          </cell>
        </row>
        <row r="197">
          <cell r="B197" t="str">
            <v>P3023</v>
          </cell>
          <cell r="C197" t="str">
            <v>Fungus黄 木耳朵</v>
          </cell>
          <cell r="D197" t="str">
            <v>China</v>
          </cell>
          <cell r="E197" t="str">
            <v>黄</v>
          </cell>
          <cell r="F197" t="str">
            <v>1 kg</v>
          </cell>
        </row>
        <row r="198">
          <cell r="B198" t="str">
            <v>P3024</v>
          </cell>
          <cell r="C198" t="str">
            <v>Lotus Seed 莲子(无）</v>
          </cell>
          <cell r="D198" t="str">
            <v>China</v>
          </cell>
          <cell r="E198" t="str">
            <v>Fujian</v>
          </cell>
          <cell r="F198" t="str">
            <v>1 kg</v>
          </cell>
        </row>
        <row r="199">
          <cell r="B199" t="str">
            <v>P3024A</v>
          </cell>
          <cell r="C199" t="str">
            <v>Lotus Seed 莲子(无）</v>
          </cell>
          <cell r="D199" t="str">
            <v>China</v>
          </cell>
          <cell r="E199" t="str">
            <v>Fujian</v>
          </cell>
          <cell r="F199" t="str">
            <v>100 GMS</v>
          </cell>
        </row>
        <row r="200">
          <cell r="B200" t="str">
            <v>P3025</v>
          </cell>
          <cell r="C200" t="str">
            <v>Red Date 红枣</v>
          </cell>
          <cell r="D200" t="str">
            <v>China</v>
          </cell>
          <cell r="E200" t="str">
            <v>-</v>
          </cell>
          <cell r="F200" t="str">
            <v>1 kg</v>
          </cell>
        </row>
        <row r="201">
          <cell r="B201" t="str">
            <v>P3025A</v>
          </cell>
          <cell r="C201" t="str">
            <v>Red Date 红枣</v>
          </cell>
          <cell r="D201" t="str">
            <v>China</v>
          </cell>
          <cell r="E201" t="str">
            <v>-</v>
          </cell>
          <cell r="F201" t="str">
            <v>100 GMS</v>
          </cell>
        </row>
        <row r="203">
          <cell r="B203" t="str">
            <v>P3026</v>
          </cell>
          <cell r="C203" t="str">
            <v>Dried Persimmon 柿子</v>
          </cell>
          <cell r="D203" t="str">
            <v>China</v>
          </cell>
          <cell r="E203" t="str">
            <v>AA</v>
          </cell>
          <cell r="F203" t="str">
            <v>800 GMS</v>
          </cell>
        </row>
        <row r="204">
          <cell r="B204" t="str">
            <v>P3027</v>
          </cell>
          <cell r="C204" t="str">
            <v>GingKo Nut白果粒</v>
          </cell>
          <cell r="D204" t="str">
            <v>China</v>
          </cell>
          <cell r="E204" t="str">
            <v>-</v>
          </cell>
          <cell r="F204" t="str">
            <v>5 kgs</v>
          </cell>
        </row>
        <row r="205">
          <cell r="B205" t="str">
            <v>P3027A</v>
          </cell>
          <cell r="C205" t="str">
            <v>GingKo Nut白果粒</v>
          </cell>
          <cell r="D205" t="str">
            <v>China</v>
          </cell>
          <cell r="E205" t="str">
            <v>-</v>
          </cell>
          <cell r="F205" t="str">
            <v>2 KGS</v>
          </cell>
        </row>
        <row r="206">
          <cell r="B206" t="str">
            <v>P3027B</v>
          </cell>
          <cell r="C206" t="str">
            <v>GingKo Nut白果粒</v>
          </cell>
          <cell r="D206" t="str">
            <v>China</v>
          </cell>
          <cell r="E206" t="str">
            <v>-</v>
          </cell>
          <cell r="F206" t="str">
            <v>1 KG</v>
          </cell>
        </row>
        <row r="207">
          <cell r="B207" t="str">
            <v>P3028</v>
          </cell>
          <cell r="C207" t="str">
            <v>Chrysanthemum 菊花</v>
          </cell>
          <cell r="D207" t="str">
            <v>China</v>
          </cell>
          <cell r="F207" t="str">
            <v>1kg</v>
          </cell>
        </row>
        <row r="208">
          <cell r="B208" t="str">
            <v>P3029</v>
          </cell>
          <cell r="C208" t="str">
            <v>Pong Thai Hai (Dry) 碰大海</v>
          </cell>
          <cell r="D208" t="str">
            <v>China</v>
          </cell>
          <cell r="E208" t="str">
            <v>-</v>
          </cell>
          <cell r="F208" t="str">
            <v>1 kg</v>
          </cell>
        </row>
        <row r="209">
          <cell r="B209" t="str">
            <v>P3030</v>
          </cell>
          <cell r="C209" t="str">
            <v>Bean Curd Sheet 腐竹</v>
          </cell>
          <cell r="D209" t="str">
            <v>China</v>
          </cell>
          <cell r="E209" t="str">
            <v>丰</v>
          </cell>
          <cell r="F209" t="str">
            <v>150g X 60 PKT</v>
          </cell>
        </row>
        <row r="210">
          <cell r="B210" t="str">
            <v>P3030A</v>
          </cell>
          <cell r="C210" t="str">
            <v>Bean Curd Sheet 腐竹</v>
          </cell>
          <cell r="D210" t="str">
            <v>China</v>
          </cell>
          <cell r="E210" t="str">
            <v>丰</v>
          </cell>
          <cell r="F210" t="str">
            <v>150g/pkt</v>
          </cell>
        </row>
        <row r="211">
          <cell r="B211" t="str">
            <v>P3030B</v>
          </cell>
          <cell r="C211" t="str">
            <v>Bean Curd Sheet 腐竹</v>
          </cell>
          <cell r="D211" t="str">
            <v>China</v>
          </cell>
          <cell r="F211" t="str">
            <v>170 GM</v>
          </cell>
        </row>
        <row r="212">
          <cell r="B212" t="str">
            <v>P3031</v>
          </cell>
          <cell r="C212" t="str">
            <v>Bean Curd Sheet 腐竹</v>
          </cell>
          <cell r="D212" t="str">
            <v>China</v>
          </cell>
          <cell r="E212" t="str">
            <v>生记</v>
          </cell>
          <cell r="F212" t="str">
            <v>150g X 40 PKT</v>
          </cell>
        </row>
        <row r="213">
          <cell r="B213" t="str">
            <v>P3031A</v>
          </cell>
          <cell r="C213" t="str">
            <v>Bean Curd Sheet 腐竹</v>
          </cell>
          <cell r="D213" t="str">
            <v>China</v>
          </cell>
          <cell r="E213" t="str">
            <v>生记</v>
          </cell>
          <cell r="F213" t="str">
            <v>150G/PKT</v>
          </cell>
        </row>
        <row r="214">
          <cell r="B214" t="str">
            <v>P3032</v>
          </cell>
          <cell r="C214" t="str">
            <v>Sweeten Melon Strip冬瓜条</v>
          </cell>
          <cell r="D214" t="str">
            <v>Malaysia</v>
          </cell>
          <cell r="E214" t="str">
            <v>Rabbit Brand</v>
          </cell>
          <cell r="F214" t="str">
            <v>3KGS X 10PKT</v>
          </cell>
        </row>
        <row r="215">
          <cell r="B215" t="str">
            <v>P3032A</v>
          </cell>
          <cell r="C215" t="str">
            <v>Sweeten Melon Strip冬瓜条</v>
          </cell>
          <cell r="D215" t="str">
            <v>Malaysia</v>
          </cell>
          <cell r="E215" t="str">
            <v>Rabbit Brand</v>
          </cell>
          <cell r="F215" t="str">
            <v>3KGS/PKT</v>
          </cell>
        </row>
        <row r="216">
          <cell r="B216" t="str">
            <v>P3032B</v>
          </cell>
          <cell r="C216" t="str">
            <v>Sweeten Melon CUBE 冬瓜</v>
          </cell>
          <cell r="D216" t="str">
            <v>Malaysia</v>
          </cell>
          <cell r="E216" t="str">
            <v>Rabbit Brand</v>
          </cell>
          <cell r="F216" t="str">
            <v>3KGS/PKT</v>
          </cell>
        </row>
        <row r="217">
          <cell r="B217" t="str">
            <v>P3033</v>
          </cell>
          <cell r="C217" t="str">
            <v>Wolfberry 枸杞子</v>
          </cell>
          <cell r="D217" t="str">
            <v>China</v>
          </cell>
          <cell r="E217" t="str">
            <v>-</v>
          </cell>
          <cell r="F217" t="str">
            <v>1 kg</v>
          </cell>
        </row>
        <row r="218">
          <cell r="B218" t="str">
            <v>P3033A</v>
          </cell>
          <cell r="C218" t="str">
            <v>Wolfberry 枸杞子</v>
          </cell>
          <cell r="D218" t="str">
            <v>China</v>
          </cell>
          <cell r="E218" t="str">
            <v>-</v>
          </cell>
          <cell r="F218" t="str">
            <v>500 GM</v>
          </cell>
        </row>
        <row r="219">
          <cell r="B219" t="str">
            <v>P3034</v>
          </cell>
          <cell r="C219" t="str">
            <v>Peanut 花生</v>
          </cell>
          <cell r="D219" t="str">
            <v>China</v>
          </cell>
          <cell r="F219" t="str">
            <v>12.5KGx 2PKT</v>
          </cell>
        </row>
        <row r="220">
          <cell r="B220" t="str">
            <v>P3034A</v>
          </cell>
          <cell r="C220" t="str">
            <v>Peanut 花生</v>
          </cell>
          <cell r="D220" t="str">
            <v>China</v>
          </cell>
          <cell r="E220" t="str">
            <v>-</v>
          </cell>
          <cell r="F220" t="str">
            <v>12.5 kgs</v>
          </cell>
        </row>
        <row r="221">
          <cell r="B221" t="str">
            <v>P3035</v>
          </cell>
          <cell r="C221" t="str">
            <v>陈皮</v>
          </cell>
          <cell r="D221" t="str">
            <v>China</v>
          </cell>
          <cell r="E221" t="str">
            <v>-</v>
          </cell>
          <cell r="F221" t="str">
            <v>1 kg</v>
          </cell>
        </row>
        <row r="222">
          <cell r="B222" t="str">
            <v>P3035A</v>
          </cell>
          <cell r="C222" t="str">
            <v>陈皮</v>
          </cell>
          <cell r="D222" t="str">
            <v>China</v>
          </cell>
          <cell r="E222" t="str">
            <v>-</v>
          </cell>
          <cell r="F222" t="str">
            <v>200 GMS</v>
          </cell>
        </row>
        <row r="223">
          <cell r="B223" t="str">
            <v>P3036</v>
          </cell>
          <cell r="C223" t="str">
            <v>Coco Syrup 可可糖浆</v>
          </cell>
          <cell r="E223" t="str">
            <v>Hershey's</v>
          </cell>
          <cell r="F223" t="str">
            <v>1 Btl</v>
          </cell>
        </row>
        <row r="224">
          <cell r="B224" t="str">
            <v>P3037</v>
          </cell>
          <cell r="C224" t="str">
            <v>Honey Pearl - Black 蜜糖珍珠</v>
          </cell>
          <cell r="D224" t="str">
            <v>Taiwan</v>
          </cell>
          <cell r="E224" t="str">
            <v>9 MM</v>
          </cell>
          <cell r="F224" t="str">
            <v>3 kgs</v>
          </cell>
        </row>
        <row r="225">
          <cell r="B225" t="str">
            <v>P3037A</v>
          </cell>
          <cell r="C225" t="str">
            <v>Honey Pearl - Black 蜜糖珍珠</v>
          </cell>
          <cell r="D225" t="str">
            <v>Taiwan</v>
          </cell>
          <cell r="E225" t="str">
            <v>7 MM</v>
          </cell>
          <cell r="F225" t="str">
            <v>3 kgs</v>
          </cell>
        </row>
        <row r="226">
          <cell r="B226" t="str">
            <v>P3038</v>
          </cell>
          <cell r="C226" t="str">
            <v>Golden Pearl -黄金 珍珠</v>
          </cell>
          <cell r="D226" t="str">
            <v>Taiwan</v>
          </cell>
          <cell r="F226" t="str">
            <v>3 kgs</v>
          </cell>
        </row>
        <row r="227">
          <cell r="B227" t="str">
            <v>P3039</v>
          </cell>
          <cell r="C227" t="str">
            <v>Fine Salt  幼盐</v>
          </cell>
          <cell r="D227" t="str">
            <v>Thailand</v>
          </cell>
          <cell r="E227" t="str">
            <v>F/MAN</v>
          </cell>
          <cell r="F227" t="str">
            <v>500 gms</v>
          </cell>
        </row>
        <row r="228">
          <cell r="B228" t="str">
            <v>P3040</v>
          </cell>
          <cell r="C228" t="str">
            <v>SALT 盐</v>
          </cell>
          <cell r="D228" t="str">
            <v>Thailand</v>
          </cell>
          <cell r="E228" t="str">
            <v>F/MAN</v>
          </cell>
          <cell r="F228" t="str">
            <v>3 kgs</v>
          </cell>
        </row>
        <row r="229">
          <cell r="B229" t="str">
            <v>P3041</v>
          </cell>
          <cell r="C229" t="str">
            <v>PACKED TOMATO SAUCE</v>
          </cell>
          <cell r="D229" t="str">
            <v>Singapore</v>
          </cell>
          <cell r="E229" t="str">
            <v>-</v>
          </cell>
        </row>
        <row r="230">
          <cell r="B230" t="str">
            <v>P3042</v>
          </cell>
          <cell r="C230" t="str">
            <v>Chilli 辣椒酱</v>
          </cell>
          <cell r="D230" t="str">
            <v>Singapore</v>
          </cell>
          <cell r="E230" t="str">
            <v>-</v>
          </cell>
        </row>
        <row r="231">
          <cell r="B231" t="str">
            <v>P3043</v>
          </cell>
          <cell r="C231" t="str">
            <v>Sour Plum 酸梅</v>
          </cell>
          <cell r="D231" t="str">
            <v>China</v>
          </cell>
          <cell r="E231" t="str">
            <v>-</v>
          </cell>
          <cell r="F231" t="str">
            <v>500 gm</v>
          </cell>
        </row>
        <row r="232">
          <cell r="B232" t="str">
            <v>P3044</v>
          </cell>
          <cell r="C232" t="str">
            <v>Sour Plum 酸梅（无子）</v>
          </cell>
          <cell r="D232" t="str">
            <v>China</v>
          </cell>
          <cell r="E232" t="str">
            <v>-</v>
          </cell>
          <cell r="F232" t="str">
            <v>1 kg</v>
          </cell>
        </row>
        <row r="233">
          <cell r="B233" t="str">
            <v>P3045</v>
          </cell>
          <cell r="C233" t="str">
            <v>Colour Rice 七彩米</v>
          </cell>
          <cell r="E233" t="str">
            <v>-</v>
          </cell>
          <cell r="F233" t="str">
            <v>1kg</v>
          </cell>
        </row>
        <row r="234">
          <cell r="B234" t="str">
            <v>P3046</v>
          </cell>
          <cell r="C234" t="str">
            <v>CoCo Rice 可可米</v>
          </cell>
          <cell r="E234" t="str">
            <v>-</v>
          </cell>
          <cell r="F234" t="str">
            <v>1kg</v>
          </cell>
        </row>
        <row r="235">
          <cell r="B235" t="str">
            <v>P3047</v>
          </cell>
          <cell r="C235" t="str">
            <v>Liquorice 甘草</v>
          </cell>
          <cell r="F235" t="str">
            <v>1kg</v>
          </cell>
        </row>
        <row r="236">
          <cell r="B236" t="str">
            <v>P3048</v>
          </cell>
          <cell r="C236" t="str">
            <v>Ginseng 人参</v>
          </cell>
          <cell r="F236" t="str">
            <v>1kg</v>
          </cell>
        </row>
        <row r="237">
          <cell r="B237" t="str">
            <v>P3049</v>
          </cell>
          <cell r="C237" t="str">
            <v>Honeysuckle 金银花</v>
          </cell>
          <cell r="F237" t="str">
            <v>1kg</v>
          </cell>
        </row>
        <row r="238">
          <cell r="B238" t="str">
            <v>P3050</v>
          </cell>
          <cell r="C238" t="str">
            <v>Fritillary 川贝</v>
          </cell>
          <cell r="F238" t="str">
            <v>1kg</v>
          </cell>
        </row>
        <row r="239">
          <cell r="B239" t="str">
            <v>P3051</v>
          </cell>
          <cell r="C239" t="str">
            <v>Sweet Almond 南杏</v>
          </cell>
          <cell r="D239" t="str">
            <v>China</v>
          </cell>
          <cell r="E239" t="str">
            <v>-</v>
          </cell>
          <cell r="F239" t="str">
            <v>1kg</v>
          </cell>
        </row>
        <row r="240">
          <cell r="B240" t="str">
            <v>P3052</v>
          </cell>
          <cell r="C240" t="str">
            <v>Bitter Almond 北杏</v>
          </cell>
          <cell r="D240" t="str">
            <v>China</v>
          </cell>
          <cell r="E240" t="str">
            <v>-</v>
          </cell>
          <cell r="F240" t="str">
            <v>1kg</v>
          </cell>
        </row>
        <row r="241">
          <cell r="B241" t="str">
            <v>P3053</v>
          </cell>
          <cell r="C241" t="str">
            <v>Black Date 黑枣</v>
          </cell>
          <cell r="F241" t="str">
            <v>1kg</v>
          </cell>
        </row>
        <row r="242">
          <cell r="B242" t="str">
            <v>P3054</v>
          </cell>
          <cell r="C242" t="str">
            <v>China Barley 中国薏米</v>
          </cell>
          <cell r="F242" t="str">
            <v>1kg</v>
          </cell>
        </row>
        <row r="243">
          <cell r="B243" t="str">
            <v>P3055</v>
          </cell>
          <cell r="C243" t="str">
            <v>Smoke Plum 乌梅</v>
          </cell>
          <cell r="F243" t="str">
            <v>1kg</v>
          </cell>
        </row>
        <row r="244">
          <cell r="B244" t="str">
            <v>P3056</v>
          </cell>
          <cell r="C244" t="str">
            <v>Premium Figs 无花果</v>
          </cell>
          <cell r="F244" t="str">
            <v>1kg</v>
          </cell>
        </row>
        <row r="245">
          <cell r="B245" t="str">
            <v>P3057</v>
          </cell>
          <cell r="C245" t="str">
            <v>Flatted Orange 橘饼</v>
          </cell>
          <cell r="F245" t="str">
            <v>1kg</v>
          </cell>
        </row>
        <row r="246">
          <cell r="B246" t="str">
            <v>P3058</v>
          </cell>
          <cell r="C246" t="str">
            <v>Wheatgrass 小麦草</v>
          </cell>
          <cell r="F246" t="str">
            <v>1kg</v>
          </cell>
        </row>
        <row r="247">
          <cell r="B247" t="str">
            <v>P3059</v>
          </cell>
          <cell r="C247" t="str">
            <v>BLANDED APRICOT KERNELS光中杏 (南杏)</v>
          </cell>
          <cell r="F247" t="str">
            <v>3 KGS</v>
          </cell>
        </row>
        <row r="248">
          <cell r="B248" t="str">
            <v>P3060</v>
          </cell>
          <cell r="C248" t="str">
            <v>OSMANTHUS</v>
          </cell>
          <cell r="D248" t="str">
            <v>China</v>
          </cell>
          <cell r="E248" t="str">
            <v>-</v>
          </cell>
          <cell r="F248" t="str">
            <v>100 GM</v>
          </cell>
        </row>
        <row r="249">
          <cell r="B249" t="str">
            <v>P3061</v>
          </cell>
          <cell r="C249" t="str">
            <v>COARSE SALT</v>
          </cell>
          <cell r="D249" t="str">
            <v>-</v>
          </cell>
          <cell r="E249" t="str">
            <v>-</v>
          </cell>
          <cell r="F249" t="str">
            <v>3 KGS</v>
          </cell>
        </row>
        <row r="250">
          <cell r="B250" t="str">
            <v>P3062</v>
          </cell>
          <cell r="C250" t="str">
            <v>DRIED ROSELLE</v>
          </cell>
          <cell r="D250" t="str">
            <v>China</v>
          </cell>
          <cell r="E250" t="str">
            <v>-</v>
          </cell>
          <cell r="F250" t="str">
            <v>1 KG</v>
          </cell>
        </row>
        <row r="251">
          <cell r="B251" t="str">
            <v>P3063</v>
          </cell>
          <cell r="C251" t="str">
            <v>WHITE SESAME SEEDS</v>
          </cell>
          <cell r="D251" t="str">
            <v>China</v>
          </cell>
          <cell r="E251" t="str">
            <v>-</v>
          </cell>
          <cell r="F251" t="str">
            <v>25 kgs/Bag</v>
          </cell>
        </row>
        <row r="252">
          <cell r="B252" t="str">
            <v>P4001</v>
          </cell>
          <cell r="C252" t="str">
            <v>Sea Coconut海底椰</v>
          </cell>
          <cell r="E252" t="str">
            <v>MiLi</v>
          </cell>
          <cell r="F252" t="str">
            <v>(565gm x 12)/箱</v>
          </cell>
        </row>
        <row r="253">
          <cell r="B253" t="str">
            <v>P4001A</v>
          </cell>
          <cell r="C253" t="str">
            <v>Sea Coconut海底椰</v>
          </cell>
          <cell r="E253" t="str">
            <v>MiLi</v>
          </cell>
          <cell r="F253" t="str">
            <v>(565gm x 6)/箱</v>
          </cell>
        </row>
        <row r="254">
          <cell r="B254" t="str">
            <v>P4002</v>
          </cell>
          <cell r="C254" t="str">
            <v>Sea Coconut海底椰</v>
          </cell>
          <cell r="D254" t="str">
            <v>Thailand</v>
          </cell>
          <cell r="E254" t="str">
            <v>SUN KEE</v>
          </cell>
          <cell r="F254" t="str">
            <v>6 Can X A10</v>
          </cell>
        </row>
        <row r="255">
          <cell r="B255" t="str">
            <v>P4002A</v>
          </cell>
          <cell r="C255" t="str">
            <v>Sea Coconut海底椰</v>
          </cell>
          <cell r="D255" t="str">
            <v>Thailand</v>
          </cell>
          <cell r="E255" t="str">
            <v>SUN KEE</v>
          </cell>
          <cell r="F255" t="str">
            <v>1 Can X A10</v>
          </cell>
        </row>
        <row r="256">
          <cell r="B256" t="str">
            <v>P4003</v>
          </cell>
          <cell r="C256" t="str">
            <v>Sea Coconut海底椰</v>
          </cell>
          <cell r="D256" t="str">
            <v>Thailand</v>
          </cell>
          <cell r="E256" t="str">
            <v>Chefs</v>
          </cell>
          <cell r="F256" t="str">
            <v>6 Can X A10</v>
          </cell>
        </row>
        <row r="257">
          <cell r="B257" t="str">
            <v>P4003A</v>
          </cell>
          <cell r="C257" t="str">
            <v>Sea Coconut海底椰</v>
          </cell>
          <cell r="D257" t="str">
            <v>Thailand</v>
          </cell>
          <cell r="E257" t="str">
            <v>Chefs</v>
          </cell>
          <cell r="F257" t="str">
            <v>1 Can X A10</v>
          </cell>
        </row>
        <row r="258">
          <cell r="B258" t="str">
            <v>P4004</v>
          </cell>
          <cell r="C258" t="str">
            <v>Nata De Coco椰果芊 15mm</v>
          </cell>
          <cell r="D258" t="str">
            <v>Thailand</v>
          </cell>
          <cell r="E258" t="str">
            <v>Coco</v>
          </cell>
          <cell r="F258" t="str">
            <v>6 Can X A10</v>
          </cell>
        </row>
        <row r="259">
          <cell r="B259" t="str">
            <v>P4004A</v>
          </cell>
          <cell r="C259" t="str">
            <v>Nata De Coco椰果芊 15mm</v>
          </cell>
          <cell r="D259" t="str">
            <v>Thailand</v>
          </cell>
          <cell r="E259" t="str">
            <v>Coco</v>
          </cell>
          <cell r="F259" t="str">
            <v>1 Can X A10</v>
          </cell>
        </row>
        <row r="260">
          <cell r="B260" t="str">
            <v>P4005</v>
          </cell>
          <cell r="C260" t="str">
            <v>Nata De Coco椰果芊 0.5 x 0.5</v>
          </cell>
          <cell r="D260" t="str">
            <v>Thailand</v>
          </cell>
          <cell r="E260" t="str">
            <v>Coco</v>
          </cell>
          <cell r="F260" t="str">
            <v>6 Can X A10</v>
          </cell>
        </row>
        <row r="261">
          <cell r="B261" t="str">
            <v>P4005A</v>
          </cell>
          <cell r="C261" t="str">
            <v>Nata De Coco椰果芊 0.5 x 0.5</v>
          </cell>
          <cell r="D261" t="str">
            <v>Thailand</v>
          </cell>
          <cell r="E261" t="str">
            <v>Coco</v>
          </cell>
          <cell r="F261" t="str">
            <v>1 Can X A10</v>
          </cell>
        </row>
        <row r="262">
          <cell r="B262" t="str">
            <v>P4006</v>
          </cell>
          <cell r="C262" t="str">
            <v>Aloe Vera芦荟 10MM</v>
          </cell>
          <cell r="D262" t="str">
            <v>Thailand</v>
          </cell>
          <cell r="E262" t="str">
            <v>Chefs</v>
          </cell>
          <cell r="F262" t="str">
            <v>6 Can X A10</v>
          </cell>
        </row>
        <row r="263">
          <cell r="B263" t="str">
            <v>P4006A</v>
          </cell>
          <cell r="C263" t="str">
            <v>Aloe Vera芦荟 10MM</v>
          </cell>
          <cell r="D263" t="str">
            <v>Thailand</v>
          </cell>
          <cell r="E263" t="str">
            <v>Chefs</v>
          </cell>
          <cell r="F263" t="str">
            <v>1 Can X A10</v>
          </cell>
        </row>
        <row r="264">
          <cell r="B264" t="str">
            <v>P4007</v>
          </cell>
          <cell r="C264" t="str">
            <v>Longan in Syrup龙眼</v>
          </cell>
          <cell r="E264" t="str">
            <v>Yit Hong</v>
          </cell>
          <cell r="F264" t="str">
            <v>(565gm x 12)/箱</v>
          </cell>
        </row>
        <row r="265">
          <cell r="B265" t="str">
            <v>P4008</v>
          </cell>
          <cell r="C265" t="str">
            <v>Longan in Syrup龙眼</v>
          </cell>
          <cell r="E265" t="str">
            <v>MiLi</v>
          </cell>
          <cell r="F265" t="str">
            <v>(565gm x 12)/箱</v>
          </cell>
        </row>
        <row r="266">
          <cell r="B266" t="str">
            <v>P4009</v>
          </cell>
          <cell r="C266" t="str">
            <v>Lychee in Syrup荔枝</v>
          </cell>
          <cell r="E266" t="str">
            <v>G.CHAMP</v>
          </cell>
          <cell r="F266" t="str">
            <v>(567gm x 24)/箱</v>
          </cell>
        </row>
        <row r="267">
          <cell r="B267" t="str">
            <v>P4009A</v>
          </cell>
          <cell r="C267" t="str">
            <v>Lychee in Syrup荔枝</v>
          </cell>
          <cell r="E267" t="str">
            <v>G.CHAMP</v>
          </cell>
          <cell r="F267" t="str">
            <v>(567gm x 12)/箱</v>
          </cell>
        </row>
        <row r="268">
          <cell r="B268" t="str">
            <v>P4009B</v>
          </cell>
          <cell r="C268" t="str">
            <v>Lychee in Syrup荔枝</v>
          </cell>
          <cell r="E268" t="str">
            <v>G.CHAMP</v>
          </cell>
          <cell r="F268" t="str">
            <v>567 GM/CAN</v>
          </cell>
        </row>
        <row r="269">
          <cell r="B269" t="str">
            <v>P4010</v>
          </cell>
          <cell r="C269" t="str">
            <v>Lychee in Syrup荔枝</v>
          </cell>
          <cell r="E269" t="str">
            <v>MiLi</v>
          </cell>
          <cell r="F269" t="str">
            <v>12can/箱</v>
          </cell>
        </row>
        <row r="270">
          <cell r="B270" t="str">
            <v>P4011</v>
          </cell>
          <cell r="C270" t="str">
            <v>Lychee in Syrup荔枝</v>
          </cell>
          <cell r="E270" t="str">
            <v>Statue</v>
          </cell>
          <cell r="F270" t="str">
            <v>12 CAN/CARTON</v>
          </cell>
        </row>
        <row r="271">
          <cell r="B271" t="str">
            <v>P4012</v>
          </cell>
          <cell r="C271" t="str">
            <v>Fruit Cocktail杂果</v>
          </cell>
          <cell r="E271" t="str">
            <v>Champ</v>
          </cell>
          <cell r="F271" t="str">
            <v>(820gm x 12)/箱</v>
          </cell>
        </row>
        <row r="272">
          <cell r="B272" t="str">
            <v>P4013</v>
          </cell>
          <cell r="C272" t="str">
            <v>Fruit Cocktail杂果</v>
          </cell>
          <cell r="E272" t="str">
            <v>Statue</v>
          </cell>
          <cell r="F272" t="str">
            <v>(820gm x 12)/箱</v>
          </cell>
        </row>
        <row r="273">
          <cell r="B273" t="str">
            <v>P4014</v>
          </cell>
          <cell r="C273" t="str">
            <v>Cream Corn玉米浆</v>
          </cell>
          <cell r="E273" t="str">
            <v>Statue</v>
          </cell>
          <cell r="F273" t="str">
            <v>(425gm x 24)/箱</v>
          </cell>
        </row>
        <row r="274">
          <cell r="B274" t="str">
            <v>P4014A</v>
          </cell>
          <cell r="C274" t="str">
            <v>Cream Corn玉米浆</v>
          </cell>
          <cell r="E274" t="str">
            <v>Statue</v>
          </cell>
          <cell r="F274" t="str">
            <v>425gm X 12 CAN</v>
          </cell>
        </row>
        <row r="275">
          <cell r="B275" t="str">
            <v>P4015</v>
          </cell>
          <cell r="C275" t="str">
            <v>Whole Corn玉米粒</v>
          </cell>
          <cell r="E275" t="str">
            <v>statue</v>
          </cell>
          <cell r="F275" t="str">
            <v>(410gm x 24)/箱</v>
          </cell>
        </row>
        <row r="276">
          <cell r="B276" t="str">
            <v>P4015A</v>
          </cell>
          <cell r="C276" t="str">
            <v>Whole Corn玉米粒</v>
          </cell>
          <cell r="E276" t="str">
            <v>statue</v>
          </cell>
          <cell r="F276" t="str">
            <v>410gm X 12 CAN</v>
          </cell>
        </row>
        <row r="277">
          <cell r="B277" t="str">
            <v>P4016</v>
          </cell>
          <cell r="C277" t="str">
            <v>Canned Red Bean 罐头 红豆</v>
          </cell>
          <cell r="D277" t="str">
            <v>Taiwan</v>
          </cell>
          <cell r="E277" t="str">
            <v>TW</v>
          </cell>
          <cell r="F277" t="str">
            <v>3.3KG X 6 CAN</v>
          </cell>
        </row>
        <row r="278">
          <cell r="B278" t="str">
            <v>P4016A</v>
          </cell>
          <cell r="C278" t="str">
            <v>Canned Red Bean 罐头 红豆</v>
          </cell>
          <cell r="D278" t="str">
            <v>Taiwan</v>
          </cell>
          <cell r="E278" t="str">
            <v>TW</v>
          </cell>
          <cell r="F278" t="str">
            <v xml:space="preserve">3.3KG/Can </v>
          </cell>
        </row>
        <row r="279">
          <cell r="B279" t="str">
            <v>P4017</v>
          </cell>
          <cell r="C279" t="str">
            <v xml:space="preserve">Premium Natural Honey </v>
          </cell>
          <cell r="E279" t="str">
            <v>Busy</v>
          </cell>
          <cell r="F279" t="str">
            <v>(1 kg x 12)/1 carton</v>
          </cell>
        </row>
        <row r="280">
          <cell r="B280" t="str">
            <v>P4017A</v>
          </cell>
          <cell r="C280" t="str">
            <v xml:space="preserve">Premium Natural Honey </v>
          </cell>
          <cell r="E280" t="str">
            <v>Busy</v>
          </cell>
          <cell r="F280" t="str">
            <v>1 kg/can</v>
          </cell>
        </row>
        <row r="281">
          <cell r="B281" t="str">
            <v>P4018</v>
          </cell>
          <cell r="C281" t="str">
            <v>Carnation Milk三花淡奶水</v>
          </cell>
          <cell r="D281" t="str">
            <v>Thailand</v>
          </cell>
          <cell r="E281" t="str">
            <v>Threeflower</v>
          </cell>
          <cell r="F281" t="str">
            <v>48 CAN/CARTON</v>
          </cell>
        </row>
        <row r="282">
          <cell r="B282" t="str">
            <v>P4018A</v>
          </cell>
          <cell r="C282" t="str">
            <v>Carnation Milk三花淡奶水</v>
          </cell>
          <cell r="D282" t="str">
            <v>Thailand</v>
          </cell>
          <cell r="E282" t="str">
            <v>Threeflower</v>
          </cell>
          <cell r="F282" t="str">
            <v>405gm/can/罐</v>
          </cell>
        </row>
        <row r="283">
          <cell r="B283" t="str">
            <v>P4019</v>
          </cell>
          <cell r="C283" t="str">
            <v>Evaporated Creamer淡奶水</v>
          </cell>
          <cell r="E283" t="str">
            <v>Marigold</v>
          </cell>
          <cell r="F283" t="str">
            <v>48 CAN/CARTON</v>
          </cell>
        </row>
        <row r="284">
          <cell r="B284" t="str">
            <v>P4019A</v>
          </cell>
          <cell r="C284" t="str">
            <v>Evaporated Creamer淡奶水</v>
          </cell>
          <cell r="E284" t="str">
            <v>Marigold</v>
          </cell>
          <cell r="F284" t="str">
            <v>405gm/can/罐</v>
          </cell>
        </row>
        <row r="285">
          <cell r="B285" t="str">
            <v>P4020</v>
          </cell>
          <cell r="C285" t="str">
            <v>Sweetened Creamer 练奶</v>
          </cell>
          <cell r="E285" t="str">
            <v>Dawn牛</v>
          </cell>
          <cell r="F285" t="str">
            <v>48 CAN/CARTON</v>
          </cell>
        </row>
        <row r="286">
          <cell r="B286" t="str">
            <v>P4020A</v>
          </cell>
          <cell r="C286" t="str">
            <v>Sweetened Creamer 练奶</v>
          </cell>
          <cell r="E286" t="str">
            <v>Dawn牛</v>
          </cell>
          <cell r="F286" t="str">
            <v>380 GM/CAN</v>
          </cell>
        </row>
        <row r="287">
          <cell r="B287" t="str">
            <v>P4021</v>
          </cell>
          <cell r="C287" t="str">
            <v>Full Cream Milk牛奶</v>
          </cell>
          <cell r="E287" t="str">
            <v>Marigold</v>
          </cell>
          <cell r="F287" t="str">
            <v>1Lt x 12/Ctn</v>
          </cell>
        </row>
        <row r="288">
          <cell r="B288" t="str">
            <v>P4022</v>
          </cell>
          <cell r="C288" t="str">
            <v>Pure Milk 牛奶</v>
          </cell>
          <cell r="E288" t="str">
            <v>Cowhead</v>
          </cell>
          <cell r="F288" t="str">
            <v>箱</v>
          </cell>
        </row>
        <row r="289">
          <cell r="B289" t="str">
            <v>P4023</v>
          </cell>
          <cell r="C289" t="str">
            <v xml:space="preserve">CARNATION MILK </v>
          </cell>
          <cell r="E289" t="str">
            <v>KING &amp; KING</v>
          </cell>
          <cell r="F289" t="str">
            <v>48 CAN/CTN</v>
          </cell>
        </row>
        <row r="290">
          <cell r="B290" t="str">
            <v>P4024</v>
          </cell>
          <cell r="C290" t="str">
            <v>GingKo Nut白果罐</v>
          </cell>
          <cell r="E290" t="str">
            <v>Mili</v>
          </cell>
          <cell r="F290" t="str">
            <v>(397gm x 24)/箱</v>
          </cell>
        </row>
        <row r="291">
          <cell r="B291" t="str">
            <v>P4025</v>
          </cell>
          <cell r="C291" t="str">
            <v>Peach 桃畔</v>
          </cell>
          <cell r="E291" t="str">
            <v>Royal M</v>
          </cell>
          <cell r="F291" t="str">
            <v>12can/箱</v>
          </cell>
        </row>
        <row r="292">
          <cell r="B292" t="str">
            <v>P4026</v>
          </cell>
          <cell r="C292" t="str">
            <v>Peaches Halves 桃畔</v>
          </cell>
          <cell r="D292" t="str">
            <v>South Africa</v>
          </cell>
          <cell r="E292" t="str">
            <v>Hosen</v>
          </cell>
          <cell r="F292" t="str">
            <v>12can x 825G/Carton</v>
          </cell>
        </row>
        <row r="293">
          <cell r="B293" t="str">
            <v>P4027</v>
          </cell>
          <cell r="C293" t="str">
            <v>Water Chestnut 马蹄 - 箱</v>
          </cell>
          <cell r="E293" t="str">
            <v>MiLi</v>
          </cell>
          <cell r="F293" t="str">
            <v>(567gm x 24)/箱</v>
          </cell>
        </row>
        <row r="294">
          <cell r="B294" t="str">
            <v>P4028</v>
          </cell>
          <cell r="C294" t="str">
            <v>Planta Margarine  牛油</v>
          </cell>
          <cell r="D294" t="str">
            <v>-</v>
          </cell>
          <cell r="E294" t="str">
            <v>Planta</v>
          </cell>
          <cell r="F294" t="str">
            <v>6 x 2.5 kgs</v>
          </cell>
        </row>
        <row r="295">
          <cell r="B295" t="str">
            <v>P4029</v>
          </cell>
          <cell r="C295" t="str">
            <v xml:space="preserve">Baked Beans </v>
          </cell>
          <cell r="D295" t="str">
            <v>Thailand</v>
          </cell>
          <cell r="E295" t="str">
            <v>Statue</v>
          </cell>
          <cell r="F295" t="str">
            <v>(425gm x 24)/箱</v>
          </cell>
        </row>
        <row r="296">
          <cell r="B296" t="str">
            <v>P4030</v>
          </cell>
          <cell r="C296" t="str">
            <v>Coconut Milk 椰浆</v>
          </cell>
          <cell r="E296" t="str">
            <v>Kara UHT</v>
          </cell>
          <cell r="F296" t="str">
            <v>(1L x 12bag)/箱</v>
          </cell>
        </row>
        <row r="297">
          <cell r="B297" t="str">
            <v>P4030A</v>
          </cell>
          <cell r="C297" t="str">
            <v>Coconut Milk 椰浆</v>
          </cell>
          <cell r="E297" t="str">
            <v>Kara UHT</v>
          </cell>
          <cell r="F297" t="str">
            <v>200gm x 30bag/箱</v>
          </cell>
        </row>
        <row r="298">
          <cell r="B298" t="str">
            <v>P4030B</v>
          </cell>
          <cell r="C298" t="str">
            <v>Coconut Milk 椰浆</v>
          </cell>
          <cell r="E298" t="str">
            <v>Kara UHT</v>
          </cell>
          <cell r="F298" t="str">
            <v>200 GM/PKT</v>
          </cell>
        </row>
        <row r="299">
          <cell r="B299" t="str">
            <v>P4031</v>
          </cell>
          <cell r="C299" t="str">
            <v>Coconut Milk 椰浆</v>
          </cell>
          <cell r="E299" t="str">
            <v>HENG GUAN</v>
          </cell>
          <cell r="F299" t="str">
            <v>1 Lt</v>
          </cell>
        </row>
        <row r="300">
          <cell r="B300" t="str">
            <v>P4032</v>
          </cell>
          <cell r="C300" t="str">
            <v>Coconut Milk 椰浆</v>
          </cell>
          <cell r="E300" t="str">
            <v>Sin-ind</v>
          </cell>
          <cell r="F300" t="str">
            <v>(1L x 12bag)/箱</v>
          </cell>
        </row>
        <row r="301">
          <cell r="B301" t="str">
            <v>P4033</v>
          </cell>
          <cell r="C301" t="str">
            <v>Lime Juice 柠檬汁</v>
          </cell>
          <cell r="E301" t="str">
            <v>-</v>
          </cell>
          <cell r="F301" t="str">
            <v>6 BOTTLE</v>
          </cell>
        </row>
        <row r="302">
          <cell r="B302" t="str">
            <v>P4034</v>
          </cell>
          <cell r="C302" t="str">
            <v>Water Chestnut Juice 马蹄水</v>
          </cell>
          <cell r="E302" t="str">
            <v>-</v>
          </cell>
          <cell r="F302" t="str">
            <v>4 lt</v>
          </cell>
        </row>
        <row r="303">
          <cell r="B303" t="str">
            <v>P4035</v>
          </cell>
          <cell r="C303" t="str">
            <v>Calamansi Juice 酸柑水</v>
          </cell>
          <cell r="E303" t="str">
            <v>-</v>
          </cell>
          <cell r="F303" t="str">
            <v>4 lt</v>
          </cell>
        </row>
        <row r="304">
          <cell r="B304" t="str">
            <v>P4036</v>
          </cell>
          <cell r="C304" t="str">
            <v>Sour Plum Juice 酸梅水</v>
          </cell>
          <cell r="E304" t="str">
            <v>-</v>
          </cell>
          <cell r="F304" t="str">
            <v>4 lt</v>
          </cell>
        </row>
        <row r="305">
          <cell r="B305" t="str">
            <v>P4037</v>
          </cell>
          <cell r="C305" t="str">
            <v>Rose Juice 玫瑰水</v>
          </cell>
          <cell r="E305" t="str">
            <v>-</v>
          </cell>
          <cell r="F305" t="str">
            <v>4 lt</v>
          </cell>
        </row>
        <row r="306">
          <cell r="B306" t="str">
            <v>P4038</v>
          </cell>
          <cell r="C306" t="str">
            <v>GREEN APPLE JUICE</v>
          </cell>
          <cell r="D306" t="str">
            <v>Taiwan</v>
          </cell>
          <cell r="E306" t="str">
            <v>-</v>
          </cell>
          <cell r="F306" t="str">
            <v>5 KGS</v>
          </cell>
        </row>
        <row r="307">
          <cell r="B307" t="str">
            <v>P4039</v>
          </cell>
          <cell r="C307" t="str">
            <v>HONEY PEACH JUICE</v>
          </cell>
          <cell r="D307" t="str">
            <v>Taiwan</v>
          </cell>
          <cell r="E307" t="str">
            <v>-</v>
          </cell>
          <cell r="F307" t="str">
            <v>5 KGS</v>
          </cell>
        </row>
        <row r="308">
          <cell r="B308" t="str">
            <v>P4040</v>
          </cell>
          <cell r="C308" t="str">
            <v>STRAWBERRY JUICE</v>
          </cell>
          <cell r="E308" t="str">
            <v>-</v>
          </cell>
          <cell r="F308" t="str">
            <v>5 KGS</v>
          </cell>
        </row>
        <row r="309">
          <cell r="B309" t="str">
            <v>P4041</v>
          </cell>
          <cell r="C309" t="str">
            <v>POLAR MINERAL WATER</v>
          </cell>
          <cell r="E309" t="str">
            <v>-</v>
          </cell>
          <cell r="F309" t="str">
            <v>600ML/24BTL</v>
          </cell>
        </row>
        <row r="310">
          <cell r="B310" t="str">
            <v>P4042</v>
          </cell>
          <cell r="C310" t="str">
            <v>MANGO JUICE</v>
          </cell>
          <cell r="E310" t="str">
            <v>-</v>
          </cell>
          <cell r="F310" t="str">
            <v>5 KGS</v>
          </cell>
        </row>
        <row r="311">
          <cell r="B311" t="str">
            <v>P4043</v>
          </cell>
          <cell r="C311" t="str">
            <v>小麦草</v>
          </cell>
          <cell r="D311" t="str">
            <v>Malaysia</v>
          </cell>
          <cell r="E311" t="str">
            <v>-</v>
          </cell>
          <cell r="F311" t="str">
            <v>4 lt</v>
          </cell>
        </row>
        <row r="312">
          <cell r="B312" t="str">
            <v>P4044</v>
          </cell>
          <cell r="C312" t="str">
            <v>HONEYDEW PREMIER CONCENTRATED</v>
          </cell>
          <cell r="D312" t="str">
            <v>Taiwan</v>
          </cell>
          <cell r="E312" t="str">
            <v>-</v>
          </cell>
          <cell r="F312" t="str">
            <v>5 KGS</v>
          </cell>
        </row>
        <row r="313">
          <cell r="B313" t="str">
            <v>P4045</v>
          </cell>
          <cell r="C313" t="str">
            <v>Honey Longan syrup</v>
          </cell>
          <cell r="D313" t="str">
            <v>TAIWAN</v>
          </cell>
          <cell r="F313" t="str">
            <v>3 kgs</v>
          </cell>
        </row>
        <row r="314">
          <cell r="B314" t="str">
            <v>P4046</v>
          </cell>
          <cell r="C314" t="str">
            <v>KIDNEY BEANS</v>
          </cell>
          <cell r="D314" t="str">
            <v>-</v>
          </cell>
          <cell r="E314" t="str">
            <v>HOSEN</v>
          </cell>
          <cell r="F314" t="str">
            <v>24 X 425 GM</v>
          </cell>
        </row>
        <row r="315">
          <cell r="B315" t="str">
            <v>P4047</v>
          </cell>
          <cell r="C315" t="str">
            <v>Nata De Coco椰果芊 10 x 10MM</v>
          </cell>
          <cell r="D315" t="str">
            <v>THAILAND</v>
          </cell>
          <cell r="E315" t="str">
            <v>GOLDENBOY</v>
          </cell>
          <cell r="F315" t="str">
            <v>1 Can X A10</v>
          </cell>
        </row>
        <row r="316">
          <cell r="B316" t="str">
            <v>P4048A</v>
          </cell>
          <cell r="C316" t="str">
            <v>Sea Coconut海底椰</v>
          </cell>
          <cell r="D316" t="str">
            <v>Thailand</v>
          </cell>
          <cell r="E316" t="str">
            <v>GC</v>
          </cell>
          <cell r="F316" t="str">
            <v>1 Can X A10</v>
          </cell>
        </row>
        <row r="317">
          <cell r="B317" t="str">
            <v>P4049</v>
          </cell>
          <cell r="C317" t="str">
            <v>Fruit Cocktail杂果</v>
          </cell>
          <cell r="D317" t="str">
            <v>Thailand</v>
          </cell>
          <cell r="E317" t="str">
            <v>MiLi</v>
          </cell>
          <cell r="F317" t="str">
            <v>820GM X 12 CAN</v>
          </cell>
        </row>
        <row r="318">
          <cell r="B318" t="str">
            <v>P4050</v>
          </cell>
          <cell r="C318" t="str">
            <v>Water Chestnut  马蹄</v>
          </cell>
          <cell r="D318" t="str">
            <v>Thailand</v>
          </cell>
          <cell r="E318" t="str">
            <v>GC</v>
          </cell>
          <cell r="F318" t="str">
            <v>567GM X 24</v>
          </cell>
        </row>
        <row r="319">
          <cell r="B319" t="str">
            <v>P4051</v>
          </cell>
          <cell r="C319" t="str">
            <v>Longan in Syrup龙眼</v>
          </cell>
          <cell r="D319" t="str">
            <v>China</v>
          </cell>
          <cell r="E319" t="str">
            <v>Goldchamp</v>
          </cell>
          <cell r="F319" t="str">
            <v>(565gm x 12)/箱</v>
          </cell>
        </row>
        <row r="320">
          <cell r="B320" t="str">
            <v>P4052</v>
          </cell>
          <cell r="C320" t="str">
            <v>Fruit Cocktail杂果</v>
          </cell>
          <cell r="D320" t="str">
            <v>Thailand</v>
          </cell>
          <cell r="E320" t="str">
            <v>GOLDENBOY</v>
          </cell>
          <cell r="F320" t="str">
            <v>(820gm x 12)/箱</v>
          </cell>
        </row>
        <row r="321">
          <cell r="B321" t="str">
            <v>P4053</v>
          </cell>
          <cell r="C321" t="str">
            <v>PEANUT BUTTER</v>
          </cell>
          <cell r="F321" t="str">
            <v>3 KGS</v>
          </cell>
        </row>
        <row r="322">
          <cell r="B322" t="str">
            <v>P4054</v>
          </cell>
          <cell r="C322" t="str">
            <v>Peach 桃畔</v>
          </cell>
          <cell r="D322" t="str">
            <v>Thailand</v>
          </cell>
          <cell r="E322" t="str">
            <v>MILI</v>
          </cell>
          <cell r="F322" t="str">
            <v>12can/箱</v>
          </cell>
        </row>
        <row r="323">
          <cell r="B323" t="str">
            <v>P4055</v>
          </cell>
          <cell r="C323" t="str">
            <v>CORN CREAM</v>
          </cell>
          <cell r="D323" t="str">
            <v>China</v>
          </cell>
          <cell r="E323" t="str">
            <v>GOLDEN BOY</v>
          </cell>
          <cell r="F323" t="str">
            <v>24 CAN/CARTON</v>
          </cell>
        </row>
        <row r="324">
          <cell r="B324" t="str">
            <v>P4055A</v>
          </cell>
          <cell r="C324" t="str">
            <v>CORN CREAM</v>
          </cell>
          <cell r="D324" t="str">
            <v>China</v>
          </cell>
          <cell r="E324" t="str">
            <v>GOLDEN BOY</v>
          </cell>
          <cell r="F324" t="str">
            <v>1 CAN</v>
          </cell>
        </row>
        <row r="325">
          <cell r="B325" t="str">
            <v>P4056</v>
          </cell>
          <cell r="C325" t="str">
            <v>CORN WHOLE</v>
          </cell>
          <cell r="D325" t="str">
            <v>China</v>
          </cell>
          <cell r="E325" t="str">
            <v>GOLDEN BOY</v>
          </cell>
          <cell r="F325" t="str">
            <v>24 CAN/CARTON</v>
          </cell>
        </row>
        <row r="326">
          <cell r="B326" t="str">
            <v>P4056A</v>
          </cell>
          <cell r="C326" t="str">
            <v>CORN WHOLE</v>
          </cell>
          <cell r="D326" t="str">
            <v>China</v>
          </cell>
          <cell r="E326" t="str">
            <v>GOLDEN BOY</v>
          </cell>
          <cell r="F326" t="str">
            <v>1 CAN</v>
          </cell>
        </row>
        <row r="327">
          <cell r="B327" t="str">
            <v>P4057</v>
          </cell>
          <cell r="C327" t="str">
            <v>PINEAPPLE IN CUBES</v>
          </cell>
          <cell r="D327" t="str">
            <v>Thailand</v>
          </cell>
          <cell r="E327" t="str">
            <v>STATUE</v>
          </cell>
          <cell r="F327" t="str">
            <v>24 CAN/CARTON</v>
          </cell>
        </row>
        <row r="328">
          <cell r="B328" t="str">
            <v>P5001</v>
          </cell>
          <cell r="C328" t="str">
            <v>Rock Sugar冰糖</v>
          </cell>
          <cell r="D328" t="str">
            <v>Thailand</v>
          </cell>
          <cell r="E328" t="str">
            <v>-</v>
          </cell>
          <cell r="F328" t="str">
            <v>3 KGS X 6 PKTS</v>
          </cell>
        </row>
        <row r="329">
          <cell r="B329" t="str">
            <v>P5001A</v>
          </cell>
          <cell r="C329" t="str">
            <v>Rock Sugar冰糖</v>
          </cell>
          <cell r="D329" t="str">
            <v>Thailand</v>
          </cell>
          <cell r="E329" t="str">
            <v>-</v>
          </cell>
          <cell r="F329" t="str">
            <v>3 KGS/PKT</v>
          </cell>
        </row>
        <row r="330">
          <cell r="B330" t="str">
            <v>P5001B</v>
          </cell>
          <cell r="C330" t="str">
            <v>Rock Sugar冰糖</v>
          </cell>
          <cell r="D330" t="str">
            <v>Thailand</v>
          </cell>
          <cell r="E330" t="str">
            <v>CYH-BLUE</v>
          </cell>
          <cell r="F330" t="str">
            <v>3 KGS X 10 /PKT</v>
          </cell>
        </row>
        <row r="331">
          <cell r="B331" t="str">
            <v>P5002</v>
          </cell>
          <cell r="C331" t="str">
            <v>Brown Sugar 黑糖</v>
          </cell>
          <cell r="D331" t="str">
            <v>Thailand</v>
          </cell>
          <cell r="E331" t="str">
            <v>Star</v>
          </cell>
          <cell r="F331" t="str">
            <v>6 kgs X 6 PKTS</v>
          </cell>
        </row>
        <row r="332">
          <cell r="B332" t="str">
            <v>P5002A</v>
          </cell>
          <cell r="C332" t="str">
            <v>Brown Sugar 黑糖</v>
          </cell>
          <cell r="D332" t="str">
            <v>Thailand</v>
          </cell>
          <cell r="E332" t="str">
            <v>Star</v>
          </cell>
          <cell r="F332" t="str">
            <v>6 kgs</v>
          </cell>
        </row>
        <row r="333">
          <cell r="B333" t="str">
            <v>P5002B</v>
          </cell>
          <cell r="C333" t="str">
            <v>Brown Sugar 黑糖</v>
          </cell>
          <cell r="D333" t="str">
            <v>Thailand</v>
          </cell>
          <cell r="E333" t="str">
            <v>SUGARI</v>
          </cell>
          <cell r="F333" t="str">
            <v>6 kgs</v>
          </cell>
        </row>
        <row r="334">
          <cell r="B334" t="str">
            <v>P5003</v>
          </cell>
          <cell r="C334" t="str">
            <v>Red Sugar 赤糖</v>
          </cell>
          <cell r="D334" t="str">
            <v>Thailand</v>
          </cell>
          <cell r="E334" t="str">
            <v>Star</v>
          </cell>
          <cell r="F334" t="str">
            <v>6 kgs X 6 PKTS</v>
          </cell>
        </row>
        <row r="335">
          <cell r="B335" t="str">
            <v>P5003A</v>
          </cell>
          <cell r="C335" t="str">
            <v>Red Sugar 赤糖</v>
          </cell>
          <cell r="D335" t="str">
            <v>Thailand</v>
          </cell>
          <cell r="E335" t="str">
            <v>Star</v>
          </cell>
          <cell r="F335" t="str">
            <v>6 kgs</v>
          </cell>
        </row>
        <row r="336">
          <cell r="B336" t="str">
            <v>P5003B</v>
          </cell>
          <cell r="C336" t="str">
            <v>Red Sugar 赤糖</v>
          </cell>
          <cell r="D336" t="str">
            <v>Thailand</v>
          </cell>
          <cell r="E336" t="str">
            <v>Star</v>
          </cell>
          <cell r="F336" t="str">
            <v>3 kgs</v>
          </cell>
        </row>
        <row r="337">
          <cell r="B337" t="str">
            <v>P5003C</v>
          </cell>
          <cell r="C337" t="str">
            <v>Red Sugar 赤糖</v>
          </cell>
          <cell r="D337" t="str">
            <v>Thailand</v>
          </cell>
          <cell r="E337" t="str">
            <v>Star</v>
          </cell>
          <cell r="F337" t="str">
            <v>3 kgs</v>
          </cell>
        </row>
        <row r="338">
          <cell r="B338" t="str">
            <v>P5004</v>
          </cell>
          <cell r="C338" t="str">
            <v>Fine Sugar 白糖</v>
          </cell>
          <cell r="D338" t="str">
            <v>Thailand</v>
          </cell>
          <cell r="E338" t="str">
            <v>MITRPHOL</v>
          </cell>
          <cell r="F338" t="str">
            <v>25 kgs/Bag</v>
          </cell>
        </row>
        <row r="339">
          <cell r="B339" t="str">
            <v>P5005</v>
          </cell>
          <cell r="C339" t="str">
            <v>Fine Sugar 白糖</v>
          </cell>
          <cell r="D339" t="str">
            <v>Thailand</v>
          </cell>
          <cell r="E339" t="str">
            <v>SUN</v>
          </cell>
          <cell r="F339" t="str">
            <v>25 KGS/BAG</v>
          </cell>
        </row>
        <row r="340">
          <cell r="B340" t="str">
            <v>P5005A</v>
          </cell>
          <cell r="C340" t="str">
            <v>Fine Sugar 白糖</v>
          </cell>
          <cell r="D340" t="str">
            <v>Thailand</v>
          </cell>
          <cell r="E340" t="str">
            <v>SUN</v>
          </cell>
          <cell r="F340" t="str">
            <v>5 kgs</v>
          </cell>
        </row>
        <row r="341">
          <cell r="B341" t="str">
            <v>P5005B</v>
          </cell>
          <cell r="C341" t="str">
            <v>Fine Sugar 白糖</v>
          </cell>
          <cell r="D341" t="str">
            <v>Thailand</v>
          </cell>
          <cell r="E341" t="str">
            <v>SUN</v>
          </cell>
          <cell r="F341" t="str">
            <v>2 kgs</v>
          </cell>
        </row>
        <row r="342">
          <cell r="B342" t="str">
            <v>P5005C</v>
          </cell>
          <cell r="C342" t="str">
            <v>Fine Sugar 白糖</v>
          </cell>
          <cell r="D342" t="str">
            <v>Thailand</v>
          </cell>
          <cell r="E342" t="str">
            <v>SUN</v>
          </cell>
          <cell r="F342" t="str">
            <v>1 KG</v>
          </cell>
        </row>
        <row r="343">
          <cell r="B343" t="str">
            <v>P5006</v>
          </cell>
          <cell r="C343" t="str">
            <v>Coconut Sugar椰糖</v>
          </cell>
          <cell r="D343" t="str">
            <v>Malaysia</v>
          </cell>
          <cell r="E343" t="str">
            <v>Malaysia</v>
          </cell>
          <cell r="F343" t="str">
            <v>10kgs/ctn</v>
          </cell>
        </row>
        <row r="344">
          <cell r="B344" t="str">
            <v>P5007</v>
          </cell>
          <cell r="C344" t="str">
            <v>Coconut Sugar椰糖</v>
          </cell>
          <cell r="D344" t="str">
            <v>Indonesia</v>
          </cell>
          <cell r="E344" t="str">
            <v>2P</v>
          </cell>
          <cell r="F344" t="str">
            <v>10kgs/ctn</v>
          </cell>
        </row>
        <row r="345">
          <cell r="B345" t="str">
            <v>P5007A</v>
          </cell>
          <cell r="C345" t="str">
            <v>Coconut Sugar椰糖</v>
          </cell>
          <cell r="D345" t="str">
            <v>Indonesia</v>
          </cell>
          <cell r="E345" t="str">
            <v>2P</v>
          </cell>
          <cell r="F345" t="str">
            <v>500 gms</v>
          </cell>
        </row>
        <row r="346">
          <cell r="B346" t="str">
            <v>P5008</v>
          </cell>
          <cell r="C346" t="str">
            <v>Coconut Sugar椰糖</v>
          </cell>
          <cell r="D346" t="str">
            <v>Indonesia</v>
          </cell>
          <cell r="E346" t="str">
            <v>BL BRAND</v>
          </cell>
          <cell r="F346" t="str">
            <v>10kgs/ctn</v>
          </cell>
        </row>
        <row r="347">
          <cell r="B347" t="str">
            <v>P5009</v>
          </cell>
          <cell r="C347" t="str">
            <v>Coconut Sugar椰糖</v>
          </cell>
          <cell r="D347" t="str">
            <v>Indonesia</v>
          </cell>
          <cell r="E347" t="str">
            <v>Indonesia</v>
          </cell>
          <cell r="F347" t="str">
            <v>10kgs/ctn</v>
          </cell>
        </row>
        <row r="348">
          <cell r="B348" t="str">
            <v>P5010</v>
          </cell>
          <cell r="C348" t="str">
            <v>Coconut Sugar椰糖</v>
          </cell>
          <cell r="D348" t="str">
            <v>Indonesia</v>
          </cell>
          <cell r="E348" t="str">
            <v>Sugari</v>
          </cell>
          <cell r="F348" t="str">
            <v>500 gm x 20/ctn</v>
          </cell>
        </row>
        <row r="349">
          <cell r="B349" t="str">
            <v>P5011</v>
          </cell>
          <cell r="C349" t="str">
            <v>Candy Sugar 片糖</v>
          </cell>
          <cell r="D349" t="str">
            <v>China</v>
          </cell>
          <cell r="E349" t="str">
            <v>-</v>
          </cell>
          <cell r="F349" t="str">
            <v>400gms x 50pkt/ctn</v>
          </cell>
        </row>
        <row r="350">
          <cell r="B350" t="str">
            <v>P5011A</v>
          </cell>
          <cell r="C350" t="str">
            <v>Candy Sugar 片糖</v>
          </cell>
          <cell r="D350" t="str">
            <v>China</v>
          </cell>
          <cell r="E350" t="str">
            <v>-</v>
          </cell>
          <cell r="F350" t="str">
            <v>400 gms/pkt</v>
          </cell>
        </row>
        <row r="351">
          <cell r="B351" t="str">
            <v>P5012</v>
          </cell>
          <cell r="C351" t="str">
            <v>Liquid Maltose 麦芽糖</v>
          </cell>
          <cell r="E351" t="str">
            <v>FLS</v>
          </cell>
          <cell r="F351" t="str">
            <v>20kgs/1 Tin</v>
          </cell>
        </row>
        <row r="352">
          <cell r="B352" t="str">
            <v>P5012A</v>
          </cell>
          <cell r="C352" t="str">
            <v>Liquid Maltose 麦芽糖</v>
          </cell>
          <cell r="E352" t="str">
            <v>FLS</v>
          </cell>
          <cell r="F352" t="str">
            <v>500 GM/CAN</v>
          </cell>
        </row>
        <row r="353">
          <cell r="B353" t="str">
            <v>P5013</v>
          </cell>
          <cell r="C353" t="str">
            <v>Coarse Sugar</v>
          </cell>
          <cell r="D353" t="str">
            <v>Thailand</v>
          </cell>
          <cell r="E353" t="str">
            <v>Star</v>
          </cell>
          <cell r="F353" t="str">
            <v>1kg x 12pkt</v>
          </cell>
        </row>
        <row r="354">
          <cell r="B354" t="str">
            <v>P5014</v>
          </cell>
          <cell r="C354" t="str">
            <v>SMALL ROCK SUGAR</v>
          </cell>
          <cell r="D354" t="str">
            <v>Thailand</v>
          </cell>
          <cell r="E354" t="str">
            <v>Star</v>
          </cell>
          <cell r="F354" t="str">
            <v>3 KGS</v>
          </cell>
        </row>
        <row r="355">
          <cell r="B355" t="str">
            <v>P6001</v>
          </cell>
          <cell r="C355" t="str">
            <v>Tapioca木薯</v>
          </cell>
          <cell r="D355" t="str">
            <v>Malaysia</v>
          </cell>
          <cell r="E355" t="str">
            <v>Malaysia</v>
          </cell>
          <cell r="F355" t="str">
            <v>1 kg</v>
          </cell>
        </row>
        <row r="356">
          <cell r="B356" t="str">
            <v>P6002</v>
          </cell>
          <cell r="C356" t="str">
            <v>Sweet Potato 番薯</v>
          </cell>
          <cell r="D356" t="str">
            <v>Malaysia</v>
          </cell>
          <cell r="E356" t="str">
            <v>Malaysia</v>
          </cell>
          <cell r="F356" t="str">
            <v>1 KG</v>
          </cell>
        </row>
        <row r="357">
          <cell r="B357" t="str">
            <v>P6003</v>
          </cell>
          <cell r="C357" t="str">
            <v>PURPLE Sweet Potato 番薯</v>
          </cell>
          <cell r="D357" t="str">
            <v>Malaysia</v>
          </cell>
          <cell r="E357" t="str">
            <v>Malaysia</v>
          </cell>
          <cell r="F357" t="str">
            <v>1 kgs</v>
          </cell>
        </row>
        <row r="358">
          <cell r="B358" t="str">
            <v>P6004</v>
          </cell>
          <cell r="C358" t="str">
            <v>Yam 芋头</v>
          </cell>
          <cell r="D358" t="str">
            <v>Thailand</v>
          </cell>
          <cell r="E358" t="str">
            <v>Thailand</v>
          </cell>
          <cell r="F358" t="str">
            <v>1 KG</v>
          </cell>
        </row>
        <row r="359">
          <cell r="B359" t="str">
            <v>P6005</v>
          </cell>
          <cell r="C359" t="str">
            <v>Yam 芋头</v>
          </cell>
          <cell r="D359" t="str">
            <v>Malaysia</v>
          </cell>
          <cell r="E359" t="str">
            <v>Malaysia</v>
          </cell>
          <cell r="F359" t="str">
            <v>1 KG</v>
          </cell>
        </row>
        <row r="360">
          <cell r="B360" t="str">
            <v>P6006</v>
          </cell>
          <cell r="C360" t="str">
            <v>Yam 芋头去皮</v>
          </cell>
          <cell r="D360" t="str">
            <v>Thiland</v>
          </cell>
          <cell r="E360" t="str">
            <v>Thiland</v>
          </cell>
          <cell r="F360" t="str">
            <v>1 KG</v>
          </cell>
        </row>
        <row r="361">
          <cell r="B361" t="str">
            <v>P6007</v>
          </cell>
          <cell r="C361" t="str">
            <v>Pandan Leaf 班兰叶</v>
          </cell>
          <cell r="D361" t="str">
            <v>Malaysia</v>
          </cell>
          <cell r="E361" t="str">
            <v>Malaysia</v>
          </cell>
          <cell r="F361" t="str">
            <v>1 kg</v>
          </cell>
        </row>
        <row r="362">
          <cell r="B362" t="str">
            <v>P6008</v>
          </cell>
          <cell r="C362" t="str">
            <v>Lime 酸甘</v>
          </cell>
          <cell r="D362" t="str">
            <v>Malaysia</v>
          </cell>
          <cell r="E362" t="str">
            <v>Malaysia</v>
          </cell>
          <cell r="F362" t="str">
            <v>1 kg</v>
          </cell>
        </row>
        <row r="363">
          <cell r="B363" t="str">
            <v>P6009</v>
          </cell>
          <cell r="C363" t="str">
            <v>Water Chestnut 马蹄</v>
          </cell>
          <cell r="D363" t="str">
            <v>China</v>
          </cell>
          <cell r="E363" t="str">
            <v>China</v>
          </cell>
          <cell r="F363" t="str">
            <v>1 kgs</v>
          </cell>
        </row>
        <row r="364">
          <cell r="B364" t="str">
            <v>P6010</v>
          </cell>
          <cell r="C364" t="str">
            <v>China Turnip沙葛</v>
          </cell>
          <cell r="D364" t="str">
            <v>Malaysia</v>
          </cell>
          <cell r="E364" t="str">
            <v>Malaysia</v>
          </cell>
          <cell r="F364" t="str">
            <v>1 kgs</v>
          </cell>
        </row>
        <row r="365">
          <cell r="B365" t="str">
            <v>P6011</v>
          </cell>
          <cell r="C365" t="str">
            <v>Ginger 老姜</v>
          </cell>
          <cell r="D365" t="str">
            <v>Malaysia</v>
          </cell>
          <cell r="E365" t="str">
            <v>Malaysia</v>
          </cell>
          <cell r="F365" t="str">
            <v>1 kg</v>
          </cell>
        </row>
        <row r="366">
          <cell r="B366" t="str">
            <v>P6012</v>
          </cell>
          <cell r="C366" t="str">
            <v>Bentong Ginger 文冬姜</v>
          </cell>
          <cell r="E366" t="str">
            <v>Malaysia</v>
          </cell>
          <cell r="F366" t="str">
            <v>1 kg</v>
          </cell>
        </row>
        <row r="367">
          <cell r="B367" t="str">
            <v>P6013</v>
          </cell>
          <cell r="C367" t="str">
            <v>BUTTERFLY PEAS</v>
          </cell>
          <cell r="D367" t="str">
            <v>Malaysia</v>
          </cell>
          <cell r="E367" t="str">
            <v>-</v>
          </cell>
          <cell r="F367" t="str">
            <v>50 GMS</v>
          </cell>
        </row>
        <row r="368">
          <cell r="B368" t="str">
            <v>P6014</v>
          </cell>
          <cell r="C368" t="str">
            <v>Yu Tiao 油条</v>
          </cell>
          <cell r="D368" t="str">
            <v>Singapore</v>
          </cell>
          <cell r="E368" t="str">
            <v>Singapore</v>
          </cell>
          <cell r="F368" t="str">
            <v>1 pc</v>
          </cell>
        </row>
        <row r="369">
          <cell r="B369" t="str">
            <v>P6014A</v>
          </cell>
          <cell r="C369" t="str">
            <v>Yu Tiao 油条</v>
          </cell>
          <cell r="D369" t="str">
            <v>Singapore</v>
          </cell>
          <cell r="E369" t="str">
            <v>Singapore</v>
          </cell>
          <cell r="F369" t="str">
            <v>1 KG</v>
          </cell>
        </row>
        <row r="373">
          <cell r="B373" t="str">
            <v>P7001</v>
          </cell>
          <cell r="C373" t="str">
            <v>Food Coloring - Liquid)颜色-水</v>
          </cell>
          <cell r="E373" t="str">
            <v>Red/红</v>
          </cell>
          <cell r="F373" t="str">
            <v>500 ML/BTL</v>
          </cell>
        </row>
        <row r="374">
          <cell r="B374" t="str">
            <v>P7002</v>
          </cell>
          <cell r="C374" t="str">
            <v>Food Coloring - Liquid)颜色-水</v>
          </cell>
          <cell r="E374" t="str">
            <v>Green/青</v>
          </cell>
          <cell r="F374" t="str">
            <v>500 ML/BTL</v>
          </cell>
        </row>
        <row r="375">
          <cell r="B375" t="str">
            <v>P7003</v>
          </cell>
          <cell r="C375" t="str">
            <v>Food Coloring - Liquid)颜色-水</v>
          </cell>
          <cell r="E375" t="str">
            <v>Yellow/黄</v>
          </cell>
          <cell r="F375" t="str">
            <v>500 ML/BTL</v>
          </cell>
        </row>
        <row r="376">
          <cell r="B376" t="str">
            <v>P7004</v>
          </cell>
          <cell r="C376" t="str">
            <v>Food Coloring - Liquid)颜色-水</v>
          </cell>
          <cell r="E376" t="str">
            <v>Black/黑</v>
          </cell>
          <cell r="F376" t="str">
            <v>500 ML/BTL</v>
          </cell>
        </row>
        <row r="377">
          <cell r="B377" t="str">
            <v>P7005</v>
          </cell>
          <cell r="C377" t="str">
            <v>Food Coloring Powder  色粉</v>
          </cell>
          <cell r="E377" t="str">
            <v>Red/红</v>
          </cell>
          <cell r="F377" t="str">
            <v>400 gms</v>
          </cell>
        </row>
        <row r="378">
          <cell r="B378" t="str">
            <v>P7006</v>
          </cell>
          <cell r="C378" t="str">
            <v>Food Coloring Powder  色粉</v>
          </cell>
          <cell r="E378" t="str">
            <v>Green/青</v>
          </cell>
          <cell r="F378" t="str">
            <v>400 gms</v>
          </cell>
        </row>
        <row r="379">
          <cell r="B379" t="str">
            <v>P7007</v>
          </cell>
          <cell r="C379" t="str">
            <v>Food Coloring Powder  色粉</v>
          </cell>
          <cell r="E379" t="str">
            <v>Yellow/黄</v>
          </cell>
          <cell r="F379" t="str">
            <v>400 gms</v>
          </cell>
        </row>
        <row r="380">
          <cell r="B380" t="str">
            <v>P7008</v>
          </cell>
          <cell r="C380" t="str">
            <v>Food Coloring 颜色</v>
          </cell>
          <cell r="E380" t="str">
            <v>Black/黑</v>
          </cell>
          <cell r="F380" t="str">
            <v>5 kgs</v>
          </cell>
        </row>
        <row r="381">
          <cell r="B381" t="str">
            <v>P7009</v>
          </cell>
          <cell r="C381" t="str">
            <v>Flavour Essence香精</v>
          </cell>
          <cell r="E381" t="str">
            <v>Almond No 1</v>
          </cell>
          <cell r="F381" t="str">
            <v>450 ML/BTL</v>
          </cell>
        </row>
        <row r="382">
          <cell r="B382" t="str">
            <v>P7010</v>
          </cell>
          <cell r="C382" t="str">
            <v>Flavour Essence香精</v>
          </cell>
          <cell r="E382" t="str">
            <v>Rose 721</v>
          </cell>
          <cell r="F382" t="str">
            <v>450 ML/BTL</v>
          </cell>
        </row>
        <row r="383">
          <cell r="B383" t="str">
            <v>P7011</v>
          </cell>
          <cell r="C383" t="str">
            <v>Flavour Essence香精</v>
          </cell>
          <cell r="E383" t="str">
            <v>Honeydew</v>
          </cell>
          <cell r="F383" t="str">
            <v>450 ML/BTL</v>
          </cell>
        </row>
        <row r="384">
          <cell r="B384" t="str">
            <v>P7012</v>
          </cell>
          <cell r="C384" t="str">
            <v>Flavour Essence香精</v>
          </cell>
          <cell r="E384" t="str">
            <v>Mango</v>
          </cell>
          <cell r="F384" t="str">
            <v>450 ML/BTL</v>
          </cell>
        </row>
        <row r="385">
          <cell r="B385" t="str">
            <v>P7013</v>
          </cell>
          <cell r="C385" t="str">
            <v>Flavour Essence香精</v>
          </cell>
          <cell r="E385" t="str">
            <v>Pandan (FKJ)</v>
          </cell>
          <cell r="F385" t="str">
            <v>450 ML/BTL</v>
          </cell>
        </row>
        <row r="386">
          <cell r="B386" t="str">
            <v>P7014</v>
          </cell>
          <cell r="C386" t="str">
            <v>Flavour Essence香精</v>
          </cell>
          <cell r="E386" t="str">
            <v>2552 Strawberry</v>
          </cell>
          <cell r="F386" t="str">
            <v>450 ML/BTL</v>
          </cell>
        </row>
        <row r="387">
          <cell r="B387" t="str">
            <v>P7015</v>
          </cell>
          <cell r="C387" t="str">
            <v>Flavour Essence香精</v>
          </cell>
          <cell r="E387" t="str">
            <v>Peach</v>
          </cell>
          <cell r="F387" t="str">
            <v>1 Lt/BTL</v>
          </cell>
        </row>
        <row r="388">
          <cell r="B388" t="str">
            <v>P7016</v>
          </cell>
          <cell r="C388" t="str">
            <v>Flavour Essence香精</v>
          </cell>
          <cell r="E388" t="str">
            <v>Strawberry</v>
          </cell>
          <cell r="F388" t="str">
            <v>1 Lt/BTL</v>
          </cell>
        </row>
        <row r="389">
          <cell r="B389" t="str">
            <v>P7017</v>
          </cell>
          <cell r="C389" t="str">
            <v>Flavour Essence香精</v>
          </cell>
          <cell r="E389" t="str">
            <v>Orange</v>
          </cell>
          <cell r="F389" t="str">
            <v>1 Lt/BTL</v>
          </cell>
        </row>
        <row r="390">
          <cell r="B390" t="str">
            <v>P7018</v>
          </cell>
          <cell r="C390" t="str">
            <v>Flavour Essence香精</v>
          </cell>
          <cell r="E390" t="str">
            <v>Pineapple</v>
          </cell>
          <cell r="F390" t="str">
            <v>1 Lt/BTL</v>
          </cell>
        </row>
        <row r="391">
          <cell r="B391" t="str">
            <v>P7019</v>
          </cell>
          <cell r="C391" t="str">
            <v>Flavour Essence香精</v>
          </cell>
          <cell r="E391" t="str">
            <v>Banana 23</v>
          </cell>
          <cell r="F391" t="str">
            <v>1 Lt/BTL</v>
          </cell>
        </row>
        <row r="392">
          <cell r="B392" t="str">
            <v>P7020</v>
          </cell>
          <cell r="C392" t="str">
            <v>Netual Cloudifier 白色精</v>
          </cell>
          <cell r="E392" t="str">
            <v>Cloudy</v>
          </cell>
          <cell r="F392" t="str">
            <v>1 lt/bottle</v>
          </cell>
        </row>
        <row r="393">
          <cell r="B393" t="str">
            <v>P7021</v>
          </cell>
          <cell r="C393" t="str">
            <v>Netual Cloudifier 白色精</v>
          </cell>
          <cell r="E393" t="str">
            <v>Cloudy</v>
          </cell>
          <cell r="F393" t="str">
            <v>5 kgs</v>
          </cell>
        </row>
        <row r="394">
          <cell r="B394" t="str">
            <v>P7022</v>
          </cell>
          <cell r="C394" t="str">
            <v>Flavour Essence香精</v>
          </cell>
          <cell r="E394" t="str">
            <v>Wintermelon</v>
          </cell>
          <cell r="F394" t="str">
            <v>450ml</v>
          </cell>
        </row>
        <row r="395">
          <cell r="B395" t="str">
            <v>P7023</v>
          </cell>
          <cell r="C395" t="str">
            <v>Flavour Essence香精</v>
          </cell>
          <cell r="E395" t="str">
            <v>Durian</v>
          </cell>
          <cell r="F395" t="str">
            <v>450ml</v>
          </cell>
        </row>
        <row r="396">
          <cell r="B396" t="str">
            <v>P7024</v>
          </cell>
          <cell r="C396" t="str">
            <v>Flavour Essence香精</v>
          </cell>
          <cell r="E396" t="str">
            <v>Pandan (FKJ)</v>
          </cell>
          <cell r="F396" t="str">
            <v>1 lt/btl</v>
          </cell>
        </row>
        <row r="397">
          <cell r="B397" t="str">
            <v>P7025</v>
          </cell>
          <cell r="C397" t="str">
            <v>Flavour Essence香精</v>
          </cell>
          <cell r="E397" t="str">
            <v>Kiwi</v>
          </cell>
          <cell r="F397" t="str">
            <v>1 lt/btl</v>
          </cell>
        </row>
        <row r="398">
          <cell r="B398" t="str">
            <v>P8001</v>
          </cell>
          <cell r="C398" t="str">
            <v>Yam Paste</v>
          </cell>
          <cell r="D398" t="str">
            <v>Singapore</v>
          </cell>
          <cell r="E398" t="str">
            <v>-</v>
          </cell>
          <cell r="F398" t="str">
            <v>500 gm/bag</v>
          </cell>
        </row>
        <row r="399">
          <cell r="B399" t="str">
            <v>P8002</v>
          </cell>
          <cell r="C399" t="str">
            <v>Yam Paste with Gingko Nut</v>
          </cell>
          <cell r="D399" t="str">
            <v>Singapore</v>
          </cell>
          <cell r="E399" t="str">
            <v>-</v>
          </cell>
          <cell r="F399" t="str">
            <v>500 gm/box</v>
          </cell>
        </row>
        <row r="400">
          <cell r="B400" t="str">
            <v>P8003</v>
          </cell>
          <cell r="C400" t="str">
            <v>SHRIMP MEATBALL</v>
          </cell>
          <cell r="D400" t="str">
            <v>Singapore</v>
          </cell>
          <cell r="E400" t="str">
            <v>-</v>
          </cell>
          <cell r="F400" t="str">
            <v>500 gm/bag</v>
          </cell>
        </row>
        <row r="401">
          <cell r="B401" t="str">
            <v>P8004</v>
          </cell>
          <cell r="C401" t="str">
            <v>BRAISED PORK BUN (Kong Bak Pau)</v>
          </cell>
          <cell r="D401" t="str">
            <v>Singapore</v>
          </cell>
          <cell r="E401" t="str">
            <v>-</v>
          </cell>
          <cell r="F401" t="str">
            <v>10 PC/SETS</v>
          </cell>
        </row>
        <row r="402">
          <cell r="B402" t="str">
            <v>P8005</v>
          </cell>
          <cell r="C402" t="str">
            <v xml:space="preserve">HERBAL CHICKEN </v>
          </cell>
          <cell r="D402" t="str">
            <v>Singapore</v>
          </cell>
          <cell r="F402" t="str">
            <v>1/2 CHICKEN/box</v>
          </cell>
        </row>
        <row r="403">
          <cell r="B403" t="str">
            <v>P8006</v>
          </cell>
          <cell r="C403" t="str">
            <v>SHRIMP PASTE CHICKEN WING</v>
          </cell>
          <cell r="D403" t="str">
            <v>Singapore</v>
          </cell>
          <cell r="E403" t="str">
            <v>-</v>
          </cell>
          <cell r="F403" t="str">
            <v>500 GM/BAG</v>
          </cell>
        </row>
        <row r="404">
          <cell r="B404" t="str">
            <v>P8007</v>
          </cell>
          <cell r="C404" t="str">
            <v>Sweet &amp; Sour Fish</v>
          </cell>
          <cell r="D404" t="str">
            <v>Singapore</v>
          </cell>
          <cell r="E404" t="str">
            <v>-</v>
          </cell>
          <cell r="F404" t="str">
            <v>250GM /PKT</v>
          </cell>
        </row>
        <row r="405">
          <cell r="B405" t="str">
            <v>P8008</v>
          </cell>
          <cell r="C405" t="str">
            <v>CrawFish - Spicy Mala Flavor</v>
          </cell>
          <cell r="D405" t="str">
            <v>China</v>
          </cell>
          <cell r="E405" t="str">
            <v>-</v>
          </cell>
          <cell r="F405" t="str">
            <v>750 gm</v>
          </cell>
        </row>
        <row r="406">
          <cell r="B406" t="str">
            <v>P8009</v>
          </cell>
          <cell r="C406" t="str">
            <v>CrawFish - 13 Spicy Flavor</v>
          </cell>
          <cell r="D406" t="str">
            <v>China</v>
          </cell>
          <cell r="E406" t="str">
            <v>-</v>
          </cell>
          <cell r="F406" t="str">
            <v>750 gm</v>
          </cell>
        </row>
        <row r="407">
          <cell r="B407" t="str">
            <v>P8010</v>
          </cell>
          <cell r="C407" t="str">
            <v>CrawFish - Garlic Flavor</v>
          </cell>
          <cell r="D407" t="str">
            <v>China</v>
          </cell>
          <cell r="E407" t="str">
            <v>-</v>
          </cell>
          <cell r="F407" t="str">
            <v>750 gm</v>
          </cell>
        </row>
        <row r="408">
          <cell r="B408" t="str">
            <v>P8011</v>
          </cell>
          <cell r="C408" t="str">
            <v>ACHAR</v>
          </cell>
          <cell r="D408" t="str">
            <v>Singapore</v>
          </cell>
          <cell r="F408" t="str">
            <v>300 gm</v>
          </cell>
        </row>
        <row r="409">
          <cell r="B409" t="str">
            <v>P8012</v>
          </cell>
          <cell r="C409" t="str">
            <v>YAM CAKE</v>
          </cell>
          <cell r="D409" t="str">
            <v>Singapore</v>
          </cell>
          <cell r="F409" t="str">
            <v>500 gm</v>
          </cell>
        </row>
        <row r="410">
          <cell r="B410" t="str">
            <v>P8013</v>
          </cell>
          <cell r="C410" t="str">
            <v>Mei Cai Kou Po</v>
          </cell>
          <cell r="D410" t="str">
            <v>Singapore</v>
          </cell>
          <cell r="F410" t="str">
            <v>500 gm</v>
          </cell>
        </row>
        <row r="411">
          <cell r="B411" t="str">
            <v>P8014</v>
          </cell>
          <cell r="C411" t="str">
            <v xml:space="preserve">Taro Kong Bak Pau </v>
          </cell>
          <cell r="D411" t="str">
            <v>Singapore</v>
          </cell>
          <cell r="F411" t="str">
            <v>10 PCS/SETS</v>
          </cell>
        </row>
        <row r="412">
          <cell r="B412" t="str">
            <v>P8015</v>
          </cell>
          <cell r="C412" t="str">
            <v>SHRIMP BEANCURD ROLL</v>
          </cell>
          <cell r="D412" t="str">
            <v>Singapore</v>
          </cell>
          <cell r="F412" t="str">
            <v>10 PCS/PKT</v>
          </cell>
        </row>
        <row r="413">
          <cell r="B413" t="str">
            <v>P8016</v>
          </cell>
          <cell r="C413" t="str">
            <v>MINI SUPERIOR POT</v>
          </cell>
          <cell r="D413" t="str">
            <v>Singapore</v>
          </cell>
          <cell r="F413" t="str">
            <v>800G/BOX</v>
          </cell>
        </row>
        <row r="414">
          <cell r="B414" t="str">
            <v>P8017</v>
          </cell>
          <cell r="C414" t="str">
            <v>FISH MAN SOUP</v>
          </cell>
        </row>
        <row r="427">
          <cell r="B427" t="str">
            <v>R084</v>
          </cell>
          <cell r="C427" t="str">
            <v>MIXED SAGO 混色西谷</v>
          </cell>
          <cell r="D427" t="str">
            <v>Malaysia</v>
          </cell>
          <cell r="E427" t="str">
            <v>KHS</v>
          </cell>
          <cell r="F427" t="str">
            <v xml:space="preserve">300GM </v>
          </cell>
        </row>
        <row r="428">
          <cell r="B428" t="str">
            <v>R085</v>
          </cell>
          <cell r="C428" t="str">
            <v>CHINSU FISH SAUCE 金素味露</v>
          </cell>
          <cell r="F428" t="str">
            <v>500ML</v>
          </cell>
        </row>
        <row r="429">
          <cell r="B429" t="str">
            <v>R086</v>
          </cell>
          <cell r="C429" t="str">
            <v>VN TAM THAI TU SOY SAUCE 越南酱青</v>
          </cell>
          <cell r="F429" t="str">
            <v>500ML</v>
          </cell>
        </row>
        <row r="430">
          <cell r="B430" t="str">
            <v>R087</v>
          </cell>
          <cell r="C430" t="str">
            <v>VN SAFOCO RICE PAPER越 南米皮</v>
          </cell>
          <cell r="F430" t="str">
            <v>500GM X 10</v>
          </cell>
        </row>
        <row r="431">
          <cell r="B431" t="str">
            <v>R088</v>
          </cell>
          <cell r="C431" t="str">
            <v>VN SAFOCO FRESH RICE VERMICELL沙波歌米粉</v>
          </cell>
          <cell r="F431" t="str">
            <v>300GM X 15</v>
          </cell>
        </row>
        <row r="432">
          <cell r="B432" t="str">
            <v>R089</v>
          </cell>
          <cell r="C432" t="str">
            <v>VIETNAM VINA BANH NOODLE 越南粿条</v>
          </cell>
          <cell r="E432" t="str">
            <v>BLUE STRAP</v>
          </cell>
          <cell r="F432" t="str">
            <v>400GM X 20</v>
          </cell>
        </row>
        <row r="433">
          <cell r="B433" t="str">
            <v>R090</v>
          </cell>
          <cell r="C433" t="str">
            <v>WHITE PEPPER POWDER白胡椒粉</v>
          </cell>
          <cell r="F433" t="str">
            <v>25GM X 12</v>
          </cell>
        </row>
        <row r="434">
          <cell r="B434" t="str">
            <v>R091</v>
          </cell>
          <cell r="C434" t="str">
            <v>FINE PINK SALT 喜马拉雅粉盐</v>
          </cell>
          <cell r="F434" t="str">
            <v>500GM X 10</v>
          </cell>
        </row>
        <row r="435">
          <cell r="B435" t="str">
            <v>R092</v>
          </cell>
          <cell r="C435" t="str">
            <v>TAMARIND 亚参</v>
          </cell>
          <cell r="F435" t="str">
            <v>70 X 300GM</v>
          </cell>
        </row>
        <row r="436">
          <cell r="B436" t="str">
            <v>R093</v>
          </cell>
          <cell r="C436" t="str">
            <v>YELLOW Rock Suger黄冰糖</v>
          </cell>
          <cell r="F436" t="str">
            <v>400GM X 50</v>
          </cell>
        </row>
        <row r="437">
          <cell r="B437" t="str">
            <v>R094</v>
          </cell>
          <cell r="C437" t="str">
            <v>HUA TIAO WINE花彫酒</v>
          </cell>
          <cell r="F437" t="str">
            <v xml:space="preserve">640ML X 12 </v>
          </cell>
        </row>
        <row r="438">
          <cell r="B438" t="str">
            <v>R095</v>
          </cell>
          <cell r="C438" t="str">
            <v>BLACK SESAME SEED. 黑芝麻</v>
          </cell>
          <cell r="F438" t="str">
            <v>200 GMS</v>
          </cell>
        </row>
        <row r="439">
          <cell r="B439" t="str">
            <v>R096</v>
          </cell>
          <cell r="C439" t="str">
            <v>WHITE SEASAME 白芝麻</v>
          </cell>
          <cell r="F439" t="str">
            <v>200 GMS</v>
          </cell>
        </row>
        <row r="440">
          <cell r="B440" t="str">
            <v>R099</v>
          </cell>
          <cell r="C440" t="str">
            <v>WHITE PEPPER POWDER白胡椒粉</v>
          </cell>
          <cell r="F440" t="str">
            <v>10 PKTX 400GMS</v>
          </cell>
        </row>
        <row r="441">
          <cell r="B441" t="str">
            <v>R100</v>
          </cell>
          <cell r="C441" t="str">
            <v>HAO HAO INSTANT SPICY NOODLE</v>
          </cell>
          <cell r="F441" t="str">
            <v>75 GM X 30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ales Master"/>
      <sheetName val="Delivery Location"/>
      <sheetName val="Cash"/>
      <sheetName val="#116"/>
      <sheetName val="118"/>
      <sheetName val="顺兴 (S)"/>
      <sheetName val="顺兴 (Other)"/>
      <sheetName val="源兴_x0009__x0009_"/>
      <sheetName val="#53"/>
      <sheetName val="#16"/>
      <sheetName val="#63"/>
      <sheetName val="#11"/>
      <sheetName val="#12"/>
      <sheetName val="#23"/>
      <sheetName val="#26"/>
      <sheetName val="#29"/>
      <sheetName val="#30"/>
      <sheetName val="#35"/>
      <sheetName val="#47"/>
      <sheetName val="#78"/>
      <sheetName val="#88"/>
      <sheetName val="珍姐_x0009__x0009_"/>
      <sheetName val="#92"/>
      <sheetName val="#103"/>
      <sheetName val="#104"/>
      <sheetName val="#97"/>
      <sheetName val="#61"/>
      <sheetName val="#42"/>
      <sheetName val="#44"/>
      <sheetName val="#49"/>
      <sheetName val="#77"/>
      <sheetName val="#82"/>
      <sheetName val="#91"/>
      <sheetName val="#101"/>
      <sheetName val="#106"/>
      <sheetName val="#107"/>
      <sheetName val="#09"/>
      <sheetName val="#10"/>
      <sheetName val="#17"/>
      <sheetName val="#24"/>
      <sheetName val="#27"/>
      <sheetName val="#37"/>
      <sheetName val="#38"/>
      <sheetName val="#51"/>
      <sheetName val="#54"/>
      <sheetName val="#55"/>
      <sheetName val="#56"/>
      <sheetName val="#71"/>
      <sheetName val="#74"/>
      <sheetName val="#83"/>
      <sheetName val="#86"/>
      <sheetName val="#87"/>
      <sheetName val="#89"/>
      <sheetName val="#93"/>
      <sheetName val="#98"/>
      <sheetName val="#102"/>
      <sheetName val="#03"/>
      <sheetName val="#15"/>
      <sheetName val="#20"/>
      <sheetName val="#28"/>
      <sheetName val="#75"/>
      <sheetName val="#90"/>
      <sheetName val="#113"/>
      <sheetName val="#114"/>
      <sheetName val="#39"/>
      <sheetName val="#50"/>
      <sheetName val="#52"/>
      <sheetName val="#58"/>
      <sheetName val="#59"/>
      <sheetName val="#76"/>
      <sheetName val="#80"/>
      <sheetName val="#99"/>
      <sheetName val="#05"/>
      <sheetName val="#07"/>
      <sheetName val="#14"/>
      <sheetName val="#19"/>
      <sheetName val="#22"/>
      <sheetName val="#34"/>
      <sheetName val="#43"/>
      <sheetName val="#115"/>
      <sheetName val="#25"/>
      <sheetName val="#36"/>
      <sheetName val="#57"/>
      <sheetName val="#62"/>
      <sheetName val="凉凉"/>
      <sheetName val="#79"/>
      <sheetName val="#112"/>
      <sheetName val="#41"/>
      <sheetName val="Micron"/>
      <sheetName val="Cash Sales"/>
      <sheetName val="#06"/>
      <sheetName val="#13"/>
      <sheetName val="#18"/>
      <sheetName val="#21"/>
      <sheetName val="#31"/>
      <sheetName val="#32"/>
      <sheetName val="#33"/>
      <sheetName val="#40"/>
      <sheetName val="#46"/>
      <sheetName val="#48"/>
      <sheetName val="#60"/>
      <sheetName val="#64"/>
      <sheetName val="#68"/>
      <sheetName val="#72"/>
      <sheetName val="#73"/>
      <sheetName val="#81"/>
      <sheetName val="#84"/>
      <sheetName val="#85"/>
      <sheetName val="#94"/>
      <sheetName val="#96"/>
      <sheetName val="#100"/>
      <sheetName val="#105"/>
      <sheetName val="#108"/>
    </sheetNames>
    <sheetDataSet>
      <sheetData sheetId="0" refreshError="1"/>
      <sheetData sheetId="1" refreshError="1"/>
      <sheetData sheetId="2" refreshError="1">
        <row r="3">
          <cell r="B3" t="str">
            <v>M001</v>
          </cell>
          <cell r="C3" t="str">
            <v xml:space="preserve">Fresh Soursop 红毛榴莲 </v>
          </cell>
          <cell r="D3"/>
          <cell r="E3" t="str">
            <v>DO!</v>
          </cell>
          <cell r="F3" t="str">
            <v>5 KGS/包</v>
          </cell>
        </row>
        <row r="4">
          <cell r="B4" t="str">
            <v>M002</v>
          </cell>
          <cell r="C4" t="str">
            <v xml:space="preserve">Fresh Soursop 红毛榴莲 </v>
          </cell>
          <cell r="D4"/>
          <cell r="E4" t="str">
            <v>DO!</v>
          </cell>
          <cell r="F4" t="str">
            <v>5 KGS/桶</v>
          </cell>
        </row>
        <row r="5">
          <cell r="B5" t="str">
            <v>M003</v>
          </cell>
          <cell r="C5" t="str">
            <v>Fresh Soursop 红毛榴莲(无)</v>
          </cell>
          <cell r="D5"/>
          <cell r="E5" t="str">
            <v>DO!</v>
          </cell>
          <cell r="F5" t="str">
            <v>5 KGS/桶</v>
          </cell>
        </row>
        <row r="6">
          <cell r="B6" t="str">
            <v>M004</v>
          </cell>
          <cell r="C6" t="str">
            <v xml:space="preserve">Fresh Soursop 红毛榴莲 </v>
          </cell>
          <cell r="D6"/>
          <cell r="E6" t="str">
            <v>DO!</v>
          </cell>
          <cell r="F6" t="str">
            <v>5 KGS/白桶</v>
          </cell>
        </row>
        <row r="7">
          <cell r="B7" t="str">
            <v>M005</v>
          </cell>
          <cell r="C7" t="str">
            <v>Fresh Soursop 红毛榴莲(无)</v>
          </cell>
          <cell r="D7"/>
          <cell r="E7" t="str">
            <v>DO!</v>
          </cell>
          <cell r="F7" t="str">
            <v>盒</v>
          </cell>
        </row>
        <row r="8">
          <cell r="B8" t="str">
            <v>M006</v>
          </cell>
          <cell r="C8" t="str">
            <v>Durian Puree 榴莲</v>
          </cell>
          <cell r="D8"/>
          <cell r="E8" t="str">
            <v>DO!</v>
          </cell>
          <cell r="F8" t="str">
            <v>盒</v>
          </cell>
        </row>
        <row r="9">
          <cell r="B9" t="str">
            <v>M007</v>
          </cell>
          <cell r="C9" t="str">
            <v>Mango Puree芒果</v>
          </cell>
          <cell r="D9"/>
          <cell r="E9" t="str">
            <v>DO!</v>
          </cell>
          <cell r="F9" t="str">
            <v>盒</v>
          </cell>
        </row>
        <row r="10">
          <cell r="B10" t="str">
            <v>M008</v>
          </cell>
          <cell r="C10" t="str">
            <v>Strawberry Puree草莓</v>
          </cell>
          <cell r="D10"/>
          <cell r="E10" t="str">
            <v>DO!</v>
          </cell>
          <cell r="F10" t="str">
            <v>盒</v>
          </cell>
        </row>
        <row r="11">
          <cell r="B11" t="str">
            <v>M009</v>
          </cell>
          <cell r="C11" t="str">
            <v>Guava Puree番石榴</v>
          </cell>
          <cell r="D11"/>
          <cell r="E11" t="str">
            <v>DO!</v>
          </cell>
          <cell r="F11" t="str">
            <v>盒</v>
          </cell>
        </row>
        <row r="12">
          <cell r="B12" t="str">
            <v>M010</v>
          </cell>
          <cell r="C12" t="str">
            <v>KIWI Syrup 奇异果</v>
          </cell>
          <cell r="D12"/>
          <cell r="E12" t="str">
            <v>DO!</v>
          </cell>
          <cell r="F12" t="str">
            <v>盒</v>
          </cell>
        </row>
        <row r="13">
          <cell r="B13" t="str">
            <v>M011</v>
          </cell>
          <cell r="C13" t="str">
            <v>Avocodo 鳄梨酱</v>
          </cell>
          <cell r="D13"/>
          <cell r="E13" t="str">
            <v>-</v>
          </cell>
          <cell r="F13" t="str">
            <v>盒</v>
          </cell>
        </row>
        <row r="14">
          <cell r="B14" t="str">
            <v>M012</v>
          </cell>
          <cell r="C14" t="str">
            <v>Blueberry 蓝莓酱</v>
          </cell>
          <cell r="D14"/>
          <cell r="E14" t="str">
            <v>-</v>
          </cell>
          <cell r="F14" t="str">
            <v>盒</v>
          </cell>
        </row>
        <row r="15">
          <cell r="B15" t="str">
            <v>M013</v>
          </cell>
          <cell r="C15" t="str">
            <v>Passion Fruit Jam 百香果</v>
          </cell>
          <cell r="D15"/>
          <cell r="E15" t="str">
            <v>-</v>
          </cell>
          <cell r="F15" t="str">
            <v>盒</v>
          </cell>
        </row>
        <row r="16">
          <cell r="B16" t="str">
            <v>M014</v>
          </cell>
          <cell r="C16" t="str">
            <v>Green Apple Jam  青苹果</v>
          </cell>
          <cell r="D16"/>
          <cell r="E16" t="str">
            <v>-</v>
          </cell>
          <cell r="F16" t="str">
            <v>盒</v>
          </cell>
        </row>
        <row r="17">
          <cell r="B17" t="str">
            <v>M015</v>
          </cell>
          <cell r="C17" t="str">
            <v>Honey Pearl - Black 蜜糖珍珠</v>
          </cell>
          <cell r="D17"/>
          <cell r="E17" t="str">
            <v>DO!</v>
          </cell>
          <cell r="F17" t="str">
            <v>黑/Bag</v>
          </cell>
        </row>
        <row r="18">
          <cell r="B18" t="str">
            <v>M016</v>
          </cell>
          <cell r="C18" t="str">
            <v>Honey Pearl - Red 蜜糖珍珠</v>
          </cell>
          <cell r="D18"/>
          <cell r="E18" t="str">
            <v>DO!</v>
          </cell>
          <cell r="F18" t="str">
            <v>红/Bag</v>
          </cell>
        </row>
        <row r="19">
          <cell r="B19" t="str">
            <v>M017</v>
          </cell>
          <cell r="C19" t="str">
            <v>Honey Pearl - Orange 蜜糖珍珠</v>
          </cell>
          <cell r="D19"/>
          <cell r="E19" t="str">
            <v>DO!</v>
          </cell>
          <cell r="F19" t="str">
            <v>橙/Bag</v>
          </cell>
        </row>
        <row r="20">
          <cell r="B20" t="str">
            <v>M018</v>
          </cell>
          <cell r="C20" t="str">
            <v>Q Ball Q圆</v>
          </cell>
          <cell r="D20"/>
          <cell r="E20" t="str">
            <v>-</v>
          </cell>
          <cell r="F20" t="str">
            <v>1 KGS/包</v>
          </cell>
        </row>
        <row r="21">
          <cell r="B21" t="str">
            <v>M019</v>
          </cell>
          <cell r="C21" t="str">
            <v>3Q Jelly</v>
          </cell>
          <cell r="D21"/>
          <cell r="E21" t="str">
            <v>-</v>
          </cell>
          <cell r="F21" t="str">
            <v>4 KGS/包</v>
          </cell>
        </row>
        <row r="22">
          <cell r="B22" t="str">
            <v>M020</v>
          </cell>
          <cell r="C22" t="str">
            <v>Bobo Cha Cubes.摩摩喳喳</v>
          </cell>
          <cell r="D22"/>
          <cell r="E22" t="str">
            <v>DO!</v>
          </cell>
          <cell r="F22" t="str">
            <v>1 KGS/包</v>
          </cell>
        </row>
        <row r="23">
          <cell r="B23" t="str">
            <v>M021</v>
          </cell>
          <cell r="C23" t="str">
            <v>Chendol浆咯</v>
          </cell>
          <cell r="D23"/>
          <cell r="E23" t="str">
            <v>DO!</v>
          </cell>
          <cell r="F23" t="str">
            <v>3 kgs</v>
          </cell>
        </row>
        <row r="24">
          <cell r="B24" t="str">
            <v>M022</v>
          </cell>
          <cell r="C24" t="str">
            <v>Coconut Sugar Syrup 椰糖汁</v>
          </cell>
          <cell r="D24"/>
          <cell r="E24" t="str">
            <v>DO!</v>
          </cell>
          <cell r="F24" t="str">
            <v>4L/支</v>
          </cell>
        </row>
        <row r="25">
          <cell r="B25" t="str">
            <v>M023</v>
          </cell>
          <cell r="C25" t="str">
            <v>Coconut Sugar Syrup 椰糖汁G</v>
          </cell>
          <cell r="D25"/>
          <cell r="E25" t="str">
            <v>DO!</v>
          </cell>
          <cell r="F25" t="str">
            <v>4L/支</v>
          </cell>
        </row>
        <row r="26">
          <cell r="B26" t="str">
            <v>M024</v>
          </cell>
          <cell r="C26" t="str">
            <v>Pong Thai Hai (Wet) 碰大海</v>
          </cell>
          <cell r="D26"/>
          <cell r="E26" t="str">
            <v>DO!</v>
          </cell>
          <cell r="F26" t="str">
            <v>1 kg</v>
          </cell>
        </row>
        <row r="27">
          <cell r="B27" t="str">
            <v>M025</v>
          </cell>
          <cell r="C27" t="str">
            <v>Atap Seeds in Syrup亚嗒子</v>
          </cell>
          <cell r="D27"/>
          <cell r="E27" t="str">
            <v>-</v>
          </cell>
          <cell r="F27" t="str">
            <v>NET WT: 2.2 KGS</v>
          </cell>
        </row>
        <row r="28">
          <cell r="B28" t="str">
            <v>M025K</v>
          </cell>
          <cell r="C28" t="str">
            <v>Atap Seeds in Syrup亚嗒子</v>
          </cell>
          <cell r="D28"/>
          <cell r="E28" t="str">
            <v>-</v>
          </cell>
          <cell r="F28" t="str">
            <v>NET WT: 2 KGS</v>
          </cell>
        </row>
        <row r="29">
          <cell r="B29" t="str">
            <v>M026</v>
          </cell>
          <cell r="C29" t="str">
            <v>Tadpole蝌蚪</v>
          </cell>
          <cell r="D29"/>
          <cell r="E29" t="str">
            <v>-</v>
          </cell>
          <cell r="F29" t="str">
            <v>1 kg</v>
          </cell>
        </row>
        <row r="30">
          <cell r="B30" t="str">
            <v>M027</v>
          </cell>
          <cell r="C30" t="str">
            <v>Chin Chow  仙 草</v>
          </cell>
          <cell r="D30"/>
          <cell r="E30" t="str">
            <v>-</v>
          </cell>
          <cell r="F30" t="str">
            <v>5KGS/PKT</v>
          </cell>
        </row>
        <row r="31">
          <cell r="B31" t="str">
            <v>M028</v>
          </cell>
          <cell r="C31" t="str">
            <v>Almond Power 杏仁粉 - white</v>
          </cell>
          <cell r="D31"/>
          <cell r="E31" t="str">
            <v>110088/5</v>
          </cell>
          <cell r="F31" t="str">
            <v>140gm x 10 pkt</v>
          </cell>
        </row>
        <row r="32">
          <cell r="B32" t="str">
            <v>M029</v>
          </cell>
          <cell r="C32" t="str">
            <v>Almond Power 杏仁粉 - Yelow</v>
          </cell>
          <cell r="D32"/>
          <cell r="E32" t="str">
            <v>PH</v>
          </cell>
          <cell r="F32" t="str">
            <v>150gm x 10 pkt</v>
          </cell>
        </row>
        <row r="33">
          <cell r="B33" t="str">
            <v>M030</v>
          </cell>
          <cell r="C33" t="str">
            <v>MAGIC BALL</v>
          </cell>
          <cell r="D33"/>
          <cell r="E33" t="str">
            <v>-</v>
          </cell>
          <cell r="F33" t="str">
            <v>1 KG</v>
          </cell>
        </row>
        <row r="34">
          <cell r="B34" t="str">
            <v>M031</v>
          </cell>
          <cell r="C34" t="str">
            <v>Lemongrass Ginger Concentrate Juice 香茅姜汁</v>
          </cell>
          <cell r="D34"/>
          <cell r="E34"/>
          <cell r="F34" t="str">
            <v>80 GMS/PK</v>
          </cell>
        </row>
        <row r="35">
          <cell r="B35" t="str">
            <v>M032</v>
          </cell>
          <cell r="C35" t="str">
            <v>Passion Fruit Concentrate Juice 百香果汁</v>
          </cell>
          <cell r="D35"/>
          <cell r="E35"/>
          <cell r="F35" t="str">
            <v>100 GMS/PKT</v>
          </cell>
        </row>
        <row r="36">
          <cell r="B36" t="str">
            <v>M033</v>
          </cell>
          <cell r="C36" t="str">
            <v>Citrus Plum Concentrate Juice 柑桔梅子汁</v>
          </cell>
          <cell r="D36"/>
          <cell r="E36"/>
          <cell r="F36" t="str">
            <v>80 GMS/PK</v>
          </cell>
        </row>
        <row r="37">
          <cell r="B37" t="str">
            <v>M034</v>
          </cell>
          <cell r="C37" t="str">
            <v>Sweet Potato Q - Orange番薯粉圆</v>
          </cell>
          <cell r="D37"/>
          <cell r="E37"/>
          <cell r="F37" t="str">
            <v>500G/pkt</v>
          </cell>
        </row>
        <row r="38">
          <cell r="B38" t="str">
            <v>M034A</v>
          </cell>
          <cell r="C38" t="str">
            <v>Sweet Potato Q - Purple紫番薯粉圆</v>
          </cell>
          <cell r="D38"/>
          <cell r="E38"/>
          <cell r="F38" t="str">
            <v>500G/pkt</v>
          </cell>
        </row>
        <row r="39">
          <cell r="B39" t="str">
            <v>M035</v>
          </cell>
          <cell r="C39" t="str">
            <v>Taro Q - White芋头粉圆</v>
          </cell>
          <cell r="D39"/>
          <cell r="E39"/>
          <cell r="F39" t="str">
            <v>500G/pkt</v>
          </cell>
        </row>
        <row r="40">
          <cell r="B40" t="str">
            <v>M036</v>
          </cell>
          <cell r="C40" t="str">
            <v>Tapioca Q - Green-木薯粉圆</v>
          </cell>
          <cell r="D40"/>
          <cell r="E40"/>
          <cell r="F40" t="str">
            <v>500G/pkt</v>
          </cell>
        </row>
        <row r="41">
          <cell r="B41" t="str">
            <v>M037</v>
          </cell>
          <cell r="C41" t="str">
            <v>GLASSJELLY 罗汉仙草冻</v>
          </cell>
          <cell r="D41"/>
          <cell r="E41"/>
          <cell r="F41" t="str">
            <v>1k/BOX</v>
          </cell>
        </row>
        <row r="42">
          <cell r="B42"/>
          <cell r="C42"/>
          <cell r="D42"/>
          <cell r="E42"/>
          <cell r="F42"/>
        </row>
        <row r="43">
          <cell r="B43"/>
          <cell r="C43"/>
          <cell r="D43"/>
          <cell r="E43"/>
          <cell r="F43"/>
        </row>
        <row r="44">
          <cell r="B44" t="str">
            <v>P001</v>
          </cell>
          <cell r="C44" t="str">
            <v>Chin Chow power 仙 草粉</v>
          </cell>
          <cell r="D44"/>
          <cell r="E44" t="str">
            <v>-</v>
          </cell>
          <cell r="F44" t="str">
            <v>2 kgs</v>
          </cell>
        </row>
        <row r="45">
          <cell r="B45" t="str">
            <v>P002</v>
          </cell>
          <cell r="C45" t="str">
            <v>Jelly Powder 文头雪粉</v>
          </cell>
          <cell r="D45"/>
          <cell r="E45" t="str">
            <v>500/4000</v>
          </cell>
          <cell r="F45" t="str">
            <v>1 kg</v>
          </cell>
        </row>
        <row r="46">
          <cell r="B46" t="str">
            <v>P003</v>
          </cell>
          <cell r="C46" t="str">
            <v>Jelly Powder 文头雪粉</v>
          </cell>
          <cell r="D46"/>
          <cell r="E46" t="str">
            <v>500/4000</v>
          </cell>
          <cell r="F46" t="str">
            <v>42gmx10Pkt</v>
          </cell>
        </row>
        <row r="47">
          <cell r="B47" t="str">
            <v>P004</v>
          </cell>
          <cell r="C47" t="str">
            <v>Agar Powder菜燕粉</v>
          </cell>
          <cell r="D47"/>
          <cell r="E47" t="str">
            <v>No 1</v>
          </cell>
          <cell r="F47" t="str">
            <v>45gmx10Pkt</v>
          </cell>
        </row>
        <row r="48">
          <cell r="B48" t="str">
            <v>P005</v>
          </cell>
          <cell r="C48" t="str">
            <v>Agar Powder菜燕粉</v>
          </cell>
          <cell r="D48"/>
          <cell r="E48" t="str">
            <v>No 1</v>
          </cell>
          <cell r="F48" t="str">
            <v>1 kg</v>
          </cell>
        </row>
        <row r="49">
          <cell r="B49" t="str">
            <v>P006</v>
          </cell>
          <cell r="C49" t="str">
            <v>Agar Agar Powder (Rose)菜燕粉</v>
          </cell>
          <cell r="D49"/>
          <cell r="E49" t="str">
            <v>Rose</v>
          </cell>
          <cell r="F49" t="str">
            <v>(12g x 12pkt)/盒</v>
          </cell>
        </row>
        <row r="50">
          <cell r="B50" t="str">
            <v>P007</v>
          </cell>
          <cell r="C50" t="str">
            <v>Agar Strip 菜燕条</v>
          </cell>
          <cell r="D50"/>
          <cell r="E50" t="str">
            <v>-</v>
          </cell>
          <cell r="F50" t="str">
            <v>1 kg</v>
          </cell>
        </row>
        <row r="51">
          <cell r="B51" t="str">
            <v>P008</v>
          </cell>
          <cell r="C51" t="str">
            <v>Mango Pudding芒果布丁</v>
          </cell>
          <cell r="D51"/>
          <cell r="E51" t="str">
            <v>Pudding</v>
          </cell>
          <cell r="F51" t="str">
            <v>10PKT/BAG</v>
          </cell>
        </row>
        <row r="52">
          <cell r="B52" t="str">
            <v>P009</v>
          </cell>
          <cell r="C52" t="str">
            <v>Almond Power- Yellow- Jelly A 杏仁粉</v>
          </cell>
          <cell r="D52"/>
          <cell r="E52" t="str">
            <v>500/4000</v>
          </cell>
          <cell r="F52" t="str">
            <v>30gm x 10pkt</v>
          </cell>
        </row>
        <row r="53">
          <cell r="B53" t="str">
            <v>P010</v>
          </cell>
          <cell r="C53" t="str">
            <v>Almond Power-White 杏仁粉</v>
          </cell>
          <cell r="D53"/>
          <cell r="E53" t="str">
            <v>110088/5</v>
          </cell>
          <cell r="F53" t="str">
            <v>1 kg</v>
          </cell>
        </row>
        <row r="54">
          <cell r="B54" t="str">
            <v>P011</v>
          </cell>
          <cell r="C54" t="str">
            <v>Selaseh (Basil Seed) 青蛙蛋</v>
          </cell>
          <cell r="D54"/>
          <cell r="E54" t="str">
            <v>Tukhmaria</v>
          </cell>
          <cell r="F54" t="str">
            <v>500 gm</v>
          </cell>
        </row>
        <row r="55">
          <cell r="B55" t="str">
            <v>P012</v>
          </cell>
          <cell r="C55" t="str">
            <v>GingKo Nut (Peel off)白果仁</v>
          </cell>
          <cell r="D55"/>
          <cell r="E55" t="str">
            <v>-</v>
          </cell>
          <cell r="F55" t="str">
            <v>1 kg (2 包)</v>
          </cell>
        </row>
        <row r="56">
          <cell r="B56" t="str">
            <v>P013</v>
          </cell>
          <cell r="C56" t="str">
            <v>Cream Corn玉米浆</v>
          </cell>
          <cell r="D56"/>
          <cell r="E56" t="str">
            <v>Statue</v>
          </cell>
          <cell r="F56" t="str">
            <v>425g/Canx 12</v>
          </cell>
        </row>
        <row r="57">
          <cell r="B57" t="str">
            <v>P014</v>
          </cell>
          <cell r="C57" t="str">
            <v>Whole Corn玉米粒</v>
          </cell>
          <cell r="D57"/>
          <cell r="E57" t="str">
            <v>statue</v>
          </cell>
          <cell r="F57" t="str">
            <v>410G/Canx 12</v>
          </cell>
        </row>
        <row r="58">
          <cell r="B58" t="str">
            <v>P017</v>
          </cell>
          <cell r="C58" t="str">
            <v>Condnation Milk 练奶</v>
          </cell>
          <cell r="D58"/>
          <cell r="E58" t="str">
            <v>Dawn牛</v>
          </cell>
          <cell r="F58" t="str">
            <v>385gm/can/罐</v>
          </cell>
        </row>
        <row r="59">
          <cell r="B59" t="str">
            <v>P018</v>
          </cell>
          <cell r="C59" t="str">
            <v>Sea Coconut海底椰</v>
          </cell>
          <cell r="D59"/>
          <cell r="E59" t="str">
            <v>G</v>
          </cell>
          <cell r="F59" t="str">
            <v>1 Can X A10</v>
          </cell>
        </row>
        <row r="60">
          <cell r="B60" t="str">
            <v>P018A</v>
          </cell>
          <cell r="C60" t="str">
            <v>Sea Coconut海底椰</v>
          </cell>
          <cell r="D60"/>
          <cell r="E60" t="str">
            <v>Golden boy</v>
          </cell>
          <cell r="F60" t="str">
            <v>1 Can X A10</v>
          </cell>
        </row>
        <row r="61">
          <cell r="B61" t="str">
            <v>P019</v>
          </cell>
          <cell r="C61" t="str">
            <v>Sea Coconut海底椰</v>
          </cell>
          <cell r="D61"/>
          <cell r="E61" t="str">
            <v>Chefs</v>
          </cell>
          <cell r="F61" t="str">
            <v>1 Can X A10</v>
          </cell>
        </row>
        <row r="62">
          <cell r="B62" t="str">
            <v>P020</v>
          </cell>
          <cell r="C62" t="str">
            <v>Nata De Coco椰果芊 15mm</v>
          </cell>
          <cell r="D62"/>
          <cell r="E62" t="str">
            <v>Coco</v>
          </cell>
          <cell r="F62" t="str">
            <v>1 Can X A10</v>
          </cell>
        </row>
        <row r="63">
          <cell r="B63" t="str">
            <v>P021</v>
          </cell>
          <cell r="C63" t="str">
            <v>Nata De Coco椰果芊 0.5 x 0.5</v>
          </cell>
          <cell r="D63"/>
          <cell r="E63" t="str">
            <v>Coco</v>
          </cell>
          <cell r="F63" t="str">
            <v>1 Can X A10</v>
          </cell>
        </row>
        <row r="64">
          <cell r="B64" t="str">
            <v>P022</v>
          </cell>
          <cell r="C64" t="str">
            <v>Aloe Vera芦荟 10MM</v>
          </cell>
          <cell r="D64"/>
          <cell r="E64" t="str">
            <v>Chefs</v>
          </cell>
          <cell r="F64" t="str">
            <v>1 Can X A10</v>
          </cell>
        </row>
        <row r="65">
          <cell r="B65" t="str">
            <v>P023</v>
          </cell>
          <cell r="C65" t="str">
            <v>Water Chestnut  (Can) 马蹄</v>
          </cell>
          <cell r="D65"/>
          <cell r="E65" t="str">
            <v>-</v>
          </cell>
          <cell r="F65" t="str">
            <v>12 Can/Ctn</v>
          </cell>
        </row>
        <row r="66">
          <cell r="B66" t="str">
            <v>P024</v>
          </cell>
          <cell r="C66" t="str">
            <v>Canned Red Bean 罐头 红豆</v>
          </cell>
          <cell r="D66"/>
          <cell r="E66" t="str">
            <v>-</v>
          </cell>
          <cell r="F66" t="str">
            <v xml:space="preserve">3.3KG/Can </v>
          </cell>
        </row>
        <row r="67">
          <cell r="B67" t="str">
            <v>P025</v>
          </cell>
          <cell r="C67" t="str">
            <v>Coconut Milk 椰浆</v>
          </cell>
          <cell r="D67"/>
          <cell r="E67" t="str">
            <v>-</v>
          </cell>
          <cell r="F67" t="str">
            <v>1 kg</v>
          </cell>
        </row>
        <row r="68">
          <cell r="B68" t="str">
            <v>P026</v>
          </cell>
          <cell r="C68" t="str">
            <v>Coco Syrup 可可糖浆</v>
          </cell>
          <cell r="D68"/>
          <cell r="E68" t="str">
            <v>Hershey's</v>
          </cell>
          <cell r="F68" t="str">
            <v>1 Btl</v>
          </cell>
        </row>
        <row r="69">
          <cell r="B69" t="str">
            <v>P027</v>
          </cell>
          <cell r="C69" t="str">
            <v>Red Bean红豆</v>
          </cell>
          <cell r="D69"/>
          <cell r="E69" t="str">
            <v>-</v>
          </cell>
          <cell r="F69" t="str">
            <v>5 kgs</v>
          </cell>
        </row>
        <row r="70">
          <cell r="B70" t="str">
            <v>P027A</v>
          </cell>
          <cell r="C70" t="str">
            <v>Red Bean红豆</v>
          </cell>
          <cell r="D70"/>
          <cell r="E70" t="str">
            <v>-</v>
          </cell>
          <cell r="F70" t="str">
            <v>4 kgs</v>
          </cell>
        </row>
        <row r="71">
          <cell r="B71" t="str">
            <v>P027B</v>
          </cell>
          <cell r="C71" t="str">
            <v>Red Bean红豆</v>
          </cell>
          <cell r="D71"/>
          <cell r="E71" t="str">
            <v>-</v>
          </cell>
          <cell r="F71" t="str">
            <v>3 kgs</v>
          </cell>
        </row>
        <row r="72">
          <cell r="B72" t="str">
            <v>P027C</v>
          </cell>
          <cell r="C72" t="str">
            <v>Red Bean红豆</v>
          </cell>
          <cell r="D72"/>
          <cell r="E72" t="str">
            <v>-</v>
          </cell>
          <cell r="F72" t="str">
            <v>500 GMS</v>
          </cell>
        </row>
        <row r="73">
          <cell r="B73" t="str">
            <v>P030</v>
          </cell>
          <cell r="C73" t="str">
            <v>Small Red Bean小红豆</v>
          </cell>
          <cell r="D73"/>
          <cell r="E73" t="str">
            <v>-</v>
          </cell>
          <cell r="F73" t="str">
            <v>5 kgs</v>
          </cell>
        </row>
        <row r="74">
          <cell r="B74" t="str">
            <v>P030A</v>
          </cell>
          <cell r="C74" t="str">
            <v>Small Red Bean小红豆</v>
          </cell>
          <cell r="D74"/>
          <cell r="E74" t="str">
            <v>-</v>
          </cell>
          <cell r="F74" t="str">
            <v>2 KGS</v>
          </cell>
        </row>
        <row r="75">
          <cell r="B75" t="str">
            <v>P031</v>
          </cell>
          <cell r="C75" t="str">
            <v>Kidney Bean 大红豆 (美国）</v>
          </cell>
          <cell r="D75"/>
          <cell r="E75" t="str">
            <v>-</v>
          </cell>
          <cell r="F75" t="str">
            <v>5 kgs</v>
          </cell>
        </row>
        <row r="76">
          <cell r="B76" t="str">
            <v>P032</v>
          </cell>
          <cell r="C76" t="str">
            <v>Chia Tao赤豆</v>
          </cell>
          <cell r="D76"/>
          <cell r="E76" t="str">
            <v>-</v>
          </cell>
          <cell r="F76" t="str">
            <v>5 kgs</v>
          </cell>
        </row>
        <row r="77">
          <cell r="B77" t="str">
            <v>P033</v>
          </cell>
          <cell r="C77" t="str">
            <v>Green Bean 绿豆</v>
          </cell>
          <cell r="D77"/>
          <cell r="E77" t="str">
            <v>-</v>
          </cell>
          <cell r="F77" t="str">
            <v>5 KGS</v>
          </cell>
        </row>
        <row r="78">
          <cell r="B78" t="str">
            <v>P033A</v>
          </cell>
          <cell r="C78" t="str">
            <v>Green Bean 绿豆</v>
          </cell>
          <cell r="D78"/>
          <cell r="E78" t="str">
            <v>-</v>
          </cell>
          <cell r="F78" t="str">
            <v>4 KG</v>
          </cell>
        </row>
        <row r="79">
          <cell r="B79" t="str">
            <v>P033B</v>
          </cell>
          <cell r="C79" t="str">
            <v>Green Bean 绿豆</v>
          </cell>
          <cell r="D79"/>
          <cell r="E79" t="str">
            <v>-</v>
          </cell>
          <cell r="F79" t="str">
            <v>500 GMS</v>
          </cell>
        </row>
        <row r="80">
          <cell r="B80" t="str">
            <v>P035</v>
          </cell>
          <cell r="C80" t="str">
            <v>Split Green Mung Bean豆畔</v>
          </cell>
          <cell r="D80"/>
          <cell r="E80" t="str">
            <v>-</v>
          </cell>
          <cell r="F80" t="str">
            <v>5 KG</v>
          </cell>
        </row>
        <row r="81">
          <cell r="B81" t="str">
            <v>P035A</v>
          </cell>
          <cell r="C81" t="str">
            <v>Split Green Mung Bean豆畔</v>
          </cell>
          <cell r="D81"/>
          <cell r="E81" t="str">
            <v>-</v>
          </cell>
          <cell r="F81" t="str">
            <v>3 KG</v>
          </cell>
        </row>
        <row r="82">
          <cell r="B82" t="str">
            <v>P035B</v>
          </cell>
          <cell r="C82" t="str">
            <v>Split Green Mung Bean豆畔</v>
          </cell>
          <cell r="D82"/>
          <cell r="E82" t="str">
            <v>-</v>
          </cell>
          <cell r="F82" t="str">
            <v>2 kg</v>
          </cell>
        </row>
        <row r="83">
          <cell r="B83" t="str">
            <v>P035C</v>
          </cell>
          <cell r="C83" t="str">
            <v>Split Green Mung Bean豆畔</v>
          </cell>
          <cell r="D83"/>
          <cell r="E83" t="str">
            <v>SW Thailand</v>
          </cell>
          <cell r="F83" t="str">
            <v>500 gms</v>
          </cell>
        </row>
        <row r="84">
          <cell r="B84" t="str">
            <v>P037</v>
          </cell>
          <cell r="C84" t="str">
            <v>Black Glutinous Rice 黑糯米</v>
          </cell>
          <cell r="D84"/>
          <cell r="E84" t="str">
            <v>-</v>
          </cell>
          <cell r="F84" t="str">
            <v>5 kgs</v>
          </cell>
        </row>
        <row r="85">
          <cell r="B85" t="str">
            <v>P037A</v>
          </cell>
          <cell r="C85" t="str">
            <v>Black Glutinous Rice 黑糯米</v>
          </cell>
          <cell r="D85"/>
          <cell r="E85" t="str">
            <v>-</v>
          </cell>
          <cell r="F85" t="str">
            <v>1 KG</v>
          </cell>
        </row>
        <row r="86">
          <cell r="B86" t="str">
            <v>P037B</v>
          </cell>
          <cell r="C86" t="str">
            <v>Black Glutinous Rice 黑糯米</v>
          </cell>
          <cell r="D86"/>
          <cell r="E86" t="str">
            <v>INDONESIA</v>
          </cell>
          <cell r="F86" t="str">
            <v>500 GMS</v>
          </cell>
        </row>
        <row r="87">
          <cell r="B87" t="str">
            <v>P039</v>
          </cell>
          <cell r="C87" t="str">
            <v>White Glutinous Rice白糯米</v>
          </cell>
          <cell r="D87"/>
          <cell r="E87" t="str">
            <v>-</v>
          </cell>
          <cell r="F87" t="str">
            <v>5 kgs</v>
          </cell>
        </row>
        <row r="88">
          <cell r="B88" t="str">
            <v>P039A</v>
          </cell>
          <cell r="C88" t="str">
            <v>White Glutinous Rice白糯米</v>
          </cell>
          <cell r="D88"/>
          <cell r="E88" t="str">
            <v>-</v>
          </cell>
          <cell r="F88" t="str">
            <v>1 kg</v>
          </cell>
        </row>
        <row r="89">
          <cell r="B89" t="str">
            <v>P039B</v>
          </cell>
          <cell r="C89" t="str">
            <v>White Glutinous Rice白糯米</v>
          </cell>
          <cell r="D89"/>
          <cell r="E89" t="str">
            <v>-</v>
          </cell>
          <cell r="F89" t="str">
            <v>500 GMS</v>
          </cell>
        </row>
        <row r="90">
          <cell r="B90" t="str">
            <v>P041</v>
          </cell>
          <cell r="C90" t="str">
            <v>White Wheat 大麦</v>
          </cell>
          <cell r="D90"/>
          <cell r="E90" t="str">
            <v>-</v>
          </cell>
          <cell r="F90" t="str">
            <v>10PKT/BAG</v>
          </cell>
        </row>
        <row r="91">
          <cell r="B91" t="str">
            <v>P042</v>
          </cell>
          <cell r="C91" t="str">
            <v>Pearl Barley 薏米</v>
          </cell>
          <cell r="D91"/>
          <cell r="E91" t="str">
            <v>-</v>
          </cell>
          <cell r="F91" t="str">
            <v>5 kgs</v>
          </cell>
        </row>
        <row r="92">
          <cell r="B92" t="str">
            <v>P043</v>
          </cell>
          <cell r="C92" t="str">
            <v>Pearl Barley 薏米</v>
          </cell>
          <cell r="D92"/>
          <cell r="E92" t="str">
            <v>Holland</v>
          </cell>
          <cell r="F92" t="str">
            <v>1 kg</v>
          </cell>
        </row>
        <row r="93">
          <cell r="B93" t="str">
            <v>P044</v>
          </cell>
          <cell r="C93" t="str">
            <v>Big Sago 大丸</v>
          </cell>
          <cell r="D93"/>
          <cell r="E93" t="str">
            <v>-</v>
          </cell>
          <cell r="F93" t="str">
            <v>5 kgs</v>
          </cell>
        </row>
        <row r="94">
          <cell r="B94" t="str">
            <v>P044A</v>
          </cell>
          <cell r="C94" t="str">
            <v>Big Sago 大丸</v>
          </cell>
          <cell r="D94"/>
          <cell r="E94" t="str">
            <v>-</v>
          </cell>
          <cell r="F94" t="str">
            <v>2.5 KGS</v>
          </cell>
        </row>
        <row r="95">
          <cell r="B95" t="str">
            <v>P045</v>
          </cell>
          <cell r="C95" t="str">
            <v>Big Sago 大丸</v>
          </cell>
          <cell r="D95"/>
          <cell r="E95" t="str">
            <v>S &amp; W</v>
          </cell>
          <cell r="F95" t="str">
            <v>1 kg</v>
          </cell>
        </row>
        <row r="96">
          <cell r="B96" t="str">
            <v>P046</v>
          </cell>
          <cell r="C96" t="str">
            <v>Small Sago 小丸</v>
          </cell>
          <cell r="D96"/>
          <cell r="E96" t="str">
            <v>-</v>
          </cell>
          <cell r="F96" t="str">
            <v>5 kgs</v>
          </cell>
        </row>
        <row r="97">
          <cell r="B97" t="str">
            <v>P047</v>
          </cell>
          <cell r="C97" t="str">
            <v>Small Sago 小丸</v>
          </cell>
          <cell r="D97"/>
          <cell r="E97" t="str">
            <v>S &amp; W</v>
          </cell>
          <cell r="F97" t="str">
            <v>1 kg</v>
          </cell>
        </row>
        <row r="98">
          <cell r="B98" t="str">
            <v>P048</v>
          </cell>
          <cell r="C98" t="str">
            <v>Dried Longan 龙眼干</v>
          </cell>
          <cell r="D98"/>
          <cell r="E98" t="str">
            <v>TL</v>
          </cell>
          <cell r="F98" t="str">
            <v>1 kg</v>
          </cell>
        </row>
        <row r="99">
          <cell r="B99" t="str">
            <v>P049</v>
          </cell>
          <cell r="C99" t="str">
            <v>Dried Longan 龙眼干</v>
          </cell>
          <cell r="D99"/>
          <cell r="E99" t="str">
            <v>中</v>
          </cell>
          <cell r="F99" t="str">
            <v>1 kg</v>
          </cell>
        </row>
        <row r="100">
          <cell r="B100" t="str">
            <v>P050</v>
          </cell>
          <cell r="C100" t="str">
            <v>Dried Longan (yellow) 果子肉</v>
          </cell>
          <cell r="D100"/>
          <cell r="E100" t="str">
            <v>TL</v>
          </cell>
          <cell r="F100" t="str">
            <v>1 kg</v>
          </cell>
        </row>
        <row r="101">
          <cell r="B101" t="str">
            <v>P051</v>
          </cell>
          <cell r="C101" t="str">
            <v>Fungus 黄木耳</v>
          </cell>
          <cell r="D101"/>
          <cell r="E101" t="str">
            <v>黄</v>
          </cell>
          <cell r="F101" t="str">
            <v>1 kg</v>
          </cell>
        </row>
        <row r="102">
          <cell r="B102" t="str">
            <v>P052</v>
          </cell>
          <cell r="C102" t="str">
            <v>White Fungus 白木耳朵</v>
          </cell>
          <cell r="D102"/>
          <cell r="E102" t="str">
            <v>白</v>
          </cell>
          <cell r="F102" t="str">
            <v>1 kg</v>
          </cell>
        </row>
        <row r="103">
          <cell r="B103" t="str">
            <v>P053</v>
          </cell>
          <cell r="C103" t="str">
            <v>Fungus黄 木耳朵</v>
          </cell>
          <cell r="D103"/>
          <cell r="E103" t="str">
            <v>黄</v>
          </cell>
          <cell r="F103" t="str">
            <v>1 kg</v>
          </cell>
        </row>
        <row r="104">
          <cell r="B104" t="str">
            <v>P054</v>
          </cell>
          <cell r="C104" t="str">
            <v>Lotus Seed 莲子(无）</v>
          </cell>
          <cell r="D104"/>
          <cell r="E104" t="str">
            <v>Fujian</v>
          </cell>
          <cell r="F104" t="str">
            <v>1 kg</v>
          </cell>
        </row>
        <row r="105">
          <cell r="B105" t="str">
            <v>P054A</v>
          </cell>
          <cell r="C105" t="str">
            <v>Lotus Seed 莲子</v>
          </cell>
          <cell r="D105"/>
          <cell r="E105" t="str">
            <v>Fujian</v>
          </cell>
          <cell r="F105" t="str">
            <v>1 kg</v>
          </cell>
        </row>
        <row r="106">
          <cell r="B106" t="str">
            <v>P055</v>
          </cell>
          <cell r="C106" t="str">
            <v>Red Date 红枣</v>
          </cell>
          <cell r="D106"/>
          <cell r="E106" t="str">
            <v>-</v>
          </cell>
          <cell r="F106" t="str">
            <v>1 kg</v>
          </cell>
        </row>
        <row r="107">
          <cell r="B107" t="str">
            <v>P056</v>
          </cell>
          <cell r="C107" t="str">
            <v>Dried Persimmon 柿子</v>
          </cell>
          <cell r="D107"/>
          <cell r="E107" t="str">
            <v>AA</v>
          </cell>
          <cell r="F107" t="str">
            <v>1 kg</v>
          </cell>
        </row>
        <row r="108">
          <cell r="B108" t="str">
            <v>P057</v>
          </cell>
          <cell r="C108" t="str">
            <v>GingKo Nut白果粒</v>
          </cell>
          <cell r="D108"/>
          <cell r="E108" t="str">
            <v>-</v>
          </cell>
          <cell r="F108" t="str">
            <v>5 kgs</v>
          </cell>
        </row>
        <row r="109">
          <cell r="B109" t="str">
            <v>P058</v>
          </cell>
          <cell r="C109" t="str">
            <v>GingKo Nut白果粒</v>
          </cell>
          <cell r="D109"/>
          <cell r="E109" t="str">
            <v>-</v>
          </cell>
          <cell r="F109" t="str">
            <v>1KG</v>
          </cell>
        </row>
        <row r="110">
          <cell r="B110" t="str">
            <v>P059</v>
          </cell>
          <cell r="C110" t="str">
            <v>Pong Thai Hai (Dry) 碰大海</v>
          </cell>
          <cell r="D110"/>
          <cell r="E110" t="str">
            <v>-</v>
          </cell>
          <cell r="F110" t="str">
            <v>1 kg</v>
          </cell>
        </row>
        <row r="111">
          <cell r="B111" t="str">
            <v>P060</v>
          </cell>
          <cell r="C111" t="str">
            <v>Bean Curd Sheet 腐竹</v>
          </cell>
          <cell r="D111"/>
          <cell r="E111" t="str">
            <v>丰</v>
          </cell>
          <cell r="F111" t="str">
            <v>150g/pkt</v>
          </cell>
        </row>
        <row r="112">
          <cell r="B112" t="str">
            <v>P061</v>
          </cell>
          <cell r="C112" t="str">
            <v>Bean Curd Sheet 腐竹</v>
          </cell>
          <cell r="D112"/>
          <cell r="E112" t="str">
            <v>生记</v>
          </cell>
          <cell r="F112" t="str">
            <v>150g/pkt</v>
          </cell>
        </row>
        <row r="113">
          <cell r="B113" t="str">
            <v>P061A</v>
          </cell>
          <cell r="C113" t="str">
            <v>Bean Curd Sheet 腐竹</v>
          </cell>
          <cell r="D113"/>
          <cell r="E113" t="str">
            <v>福</v>
          </cell>
          <cell r="F113" t="str">
            <v>120G/PKT</v>
          </cell>
        </row>
        <row r="114">
          <cell r="B114" t="str">
            <v>P062</v>
          </cell>
          <cell r="C114" t="str">
            <v>Sweeten Melon Strip冬瓜条</v>
          </cell>
          <cell r="D114"/>
          <cell r="E114" t="str">
            <v>Rabbit Brand</v>
          </cell>
          <cell r="F114" t="str">
            <v>3KGS/PKT</v>
          </cell>
        </row>
        <row r="115">
          <cell r="B115" t="str">
            <v>P063</v>
          </cell>
          <cell r="C115" t="str">
            <v>Wolfberry 枸杞子</v>
          </cell>
          <cell r="D115"/>
          <cell r="E115"/>
          <cell r="F115" t="str">
            <v>1 kg</v>
          </cell>
        </row>
        <row r="116">
          <cell r="B116" t="str">
            <v>P064</v>
          </cell>
          <cell r="C116" t="str">
            <v>Peanut 花生</v>
          </cell>
          <cell r="D116"/>
          <cell r="E116" t="str">
            <v>-</v>
          </cell>
          <cell r="F116" t="str">
            <v>12.5 kgs</v>
          </cell>
        </row>
        <row r="117">
          <cell r="B117" t="str">
            <v>P065</v>
          </cell>
          <cell r="C117" t="str">
            <v>陈皮</v>
          </cell>
          <cell r="D117"/>
          <cell r="E117" t="str">
            <v>-</v>
          </cell>
          <cell r="F117" t="str">
            <v>1 kg</v>
          </cell>
        </row>
        <row r="118">
          <cell r="B118" t="str">
            <v>P066</v>
          </cell>
          <cell r="C118" t="str">
            <v>Rock Sugar冰糖</v>
          </cell>
          <cell r="D118"/>
          <cell r="E118" t="str">
            <v>-</v>
          </cell>
          <cell r="F118" t="str">
            <v>3 KGS/PKT</v>
          </cell>
        </row>
        <row r="119">
          <cell r="B119" t="str">
            <v>P067</v>
          </cell>
          <cell r="C119" t="str">
            <v>Brown Sugar 黑糖</v>
          </cell>
          <cell r="D119"/>
          <cell r="E119" t="str">
            <v>Star</v>
          </cell>
          <cell r="F119" t="str">
            <v>6 kgs</v>
          </cell>
        </row>
        <row r="120">
          <cell r="B120" t="str">
            <v>P068</v>
          </cell>
          <cell r="C120" t="str">
            <v>Red Sugar 赤糖</v>
          </cell>
          <cell r="D120"/>
          <cell r="E120" t="str">
            <v>-</v>
          </cell>
          <cell r="F120" t="str">
            <v>6 kgs</v>
          </cell>
        </row>
        <row r="121">
          <cell r="B121" t="str">
            <v>P069</v>
          </cell>
          <cell r="C121" t="str">
            <v>Red Sugar 赤糖</v>
          </cell>
          <cell r="D121"/>
          <cell r="E121" t="str">
            <v>-</v>
          </cell>
          <cell r="F121" t="str">
            <v>3 kgs</v>
          </cell>
        </row>
        <row r="122">
          <cell r="B122" t="str">
            <v>P070</v>
          </cell>
          <cell r="C122" t="str">
            <v>Fine Sugar 白糖</v>
          </cell>
          <cell r="D122"/>
          <cell r="E122" t="str">
            <v>-</v>
          </cell>
          <cell r="F122" t="str">
            <v>5 kgs</v>
          </cell>
        </row>
        <row r="123">
          <cell r="B123" t="str">
            <v>P071</v>
          </cell>
          <cell r="C123" t="str">
            <v>Fine Sugar 白糖</v>
          </cell>
          <cell r="D123"/>
          <cell r="E123" t="str">
            <v>-</v>
          </cell>
          <cell r="F123" t="str">
            <v>2 kgs</v>
          </cell>
        </row>
        <row r="124">
          <cell r="B124" t="str">
            <v>P072</v>
          </cell>
          <cell r="C124" t="str">
            <v>Fine Salt  幼盐</v>
          </cell>
          <cell r="D124"/>
          <cell r="E124" t="str">
            <v>-</v>
          </cell>
          <cell r="F124" t="str">
            <v>500 gms</v>
          </cell>
        </row>
        <row r="125">
          <cell r="B125" t="str">
            <v>P073</v>
          </cell>
          <cell r="C125" t="str">
            <v>SALT 盐</v>
          </cell>
          <cell r="D125"/>
          <cell r="E125" t="str">
            <v>-</v>
          </cell>
          <cell r="F125" t="str">
            <v>3 kgs</v>
          </cell>
        </row>
        <row r="126">
          <cell r="B126" t="str">
            <v>P074</v>
          </cell>
          <cell r="C126" t="str">
            <v>Sweet Potato Powder番薯粉</v>
          </cell>
          <cell r="D126"/>
          <cell r="E126" t="str">
            <v>-</v>
          </cell>
          <cell r="F126" t="str">
            <v>3 kgs</v>
          </cell>
        </row>
        <row r="127">
          <cell r="B127" t="str">
            <v>P075</v>
          </cell>
          <cell r="C127" t="str">
            <v>Sweet Potato Powder番薯粉</v>
          </cell>
          <cell r="D127"/>
          <cell r="E127" t="str">
            <v>-</v>
          </cell>
          <cell r="F127" t="str">
            <v>500gm x 20包</v>
          </cell>
        </row>
        <row r="128">
          <cell r="B128" t="str">
            <v>P076</v>
          </cell>
          <cell r="C128" t="str">
            <v>Tapioca Flour 茨粉</v>
          </cell>
          <cell r="D128"/>
          <cell r="E128" t="str">
            <v>F/MAN</v>
          </cell>
          <cell r="F128" t="str">
            <v>500gm/pkt</v>
          </cell>
        </row>
        <row r="129">
          <cell r="B129" t="str">
            <v>P077</v>
          </cell>
          <cell r="C129" t="str">
            <v>Potato Starch 风车粉</v>
          </cell>
          <cell r="D129"/>
          <cell r="E129" t="str">
            <v>Windmill</v>
          </cell>
          <cell r="F129" t="str">
            <v>5 kg</v>
          </cell>
        </row>
        <row r="130">
          <cell r="B130" t="str">
            <v>P078</v>
          </cell>
          <cell r="C130" t="str">
            <v>Tapioca木薯</v>
          </cell>
          <cell r="D130"/>
          <cell r="E130" t="str">
            <v>-</v>
          </cell>
          <cell r="F130" t="str">
            <v>1 kg</v>
          </cell>
        </row>
        <row r="131">
          <cell r="B131" t="str">
            <v>P079</v>
          </cell>
          <cell r="C131" t="str">
            <v>Sweet Potato 番薯</v>
          </cell>
          <cell r="D131"/>
          <cell r="E131" t="str">
            <v>-</v>
          </cell>
          <cell r="F131" t="str">
            <v>1 KG</v>
          </cell>
        </row>
        <row r="132">
          <cell r="B132" t="str">
            <v>P080</v>
          </cell>
          <cell r="C132" t="str">
            <v>Sweet Potato 番薯</v>
          </cell>
          <cell r="D132"/>
          <cell r="E132" t="str">
            <v>-</v>
          </cell>
          <cell r="F132" t="str">
            <v>10 kg</v>
          </cell>
        </row>
        <row r="133">
          <cell r="B133" t="str">
            <v>P081</v>
          </cell>
          <cell r="C133" t="str">
            <v>Sweet Potato 番薯</v>
          </cell>
          <cell r="D133"/>
          <cell r="E133" t="str">
            <v>-</v>
          </cell>
          <cell r="F133" t="str">
            <v>8 kgs</v>
          </cell>
        </row>
        <row r="134">
          <cell r="B134" t="str">
            <v>P082</v>
          </cell>
          <cell r="C134" t="str">
            <v>Yam 芋头</v>
          </cell>
          <cell r="D134" t="str">
            <v>Thiland</v>
          </cell>
          <cell r="E134" t="str">
            <v>-</v>
          </cell>
          <cell r="F134" t="str">
            <v>1 KG</v>
          </cell>
        </row>
        <row r="135">
          <cell r="B135" t="str">
            <v>P082A</v>
          </cell>
          <cell r="C135" t="str">
            <v>Yam 芋头</v>
          </cell>
          <cell r="D135" t="str">
            <v>Malaysia</v>
          </cell>
          <cell r="E135" t="str">
            <v>-</v>
          </cell>
          <cell r="F135" t="str">
            <v>1 KG</v>
          </cell>
        </row>
        <row r="136">
          <cell r="B136" t="str">
            <v>P083</v>
          </cell>
          <cell r="C136" t="str">
            <v>Yam 芋头去皮</v>
          </cell>
          <cell r="D136"/>
          <cell r="E136" t="str">
            <v>-</v>
          </cell>
          <cell r="F136" t="str">
            <v>1 KG</v>
          </cell>
        </row>
        <row r="137">
          <cell r="B137" t="str">
            <v>P084</v>
          </cell>
          <cell r="C137" t="str">
            <v>Pandan Leaf 班兰叶</v>
          </cell>
          <cell r="D137"/>
          <cell r="E137" t="str">
            <v>-</v>
          </cell>
          <cell r="F137" t="str">
            <v>1 kg</v>
          </cell>
        </row>
        <row r="138">
          <cell r="B138" t="str">
            <v>P085</v>
          </cell>
          <cell r="C138" t="str">
            <v>Lime 酸甘</v>
          </cell>
          <cell r="D138"/>
          <cell r="E138" t="str">
            <v>-</v>
          </cell>
          <cell r="F138" t="str">
            <v>1 kg</v>
          </cell>
        </row>
        <row r="139">
          <cell r="B139" t="str">
            <v>P086</v>
          </cell>
          <cell r="C139" t="str">
            <v>Water Chestnut 马蹄</v>
          </cell>
          <cell r="D139"/>
          <cell r="E139" t="str">
            <v>-</v>
          </cell>
          <cell r="F139" t="str">
            <v>1kg</v>
          </cell>
        </row>
        <row r="140">
          <cell r="B140" t="str">
            <v>P087</v>
          </cell>
          <cell r="C140" t="str">
            <v>Water Chestnut 马蹄</v>
          </cell>
          <cell r="D140"/>
          <cell r="E140" t="str">
            <v>-</v>
          </cell>
          <cell r="F140" t="str">
            <v>1 KG</v>
          </cell>
        </row>
        <row r="141">
          <cell r="B141" t="str">
            <v>P088</v>
          </cell>
          <cell r="C141" t="str">
            <v>Ginger 老姜</v>
          </cell>
          <cell r="D141"/>
          <cell r="E141" t="str">
            <v>-</v>
          </cell>
          <cell r="F141" t="str">
            <v>1 kg</v>
          </cell>
        </row>
        <row r="142">
          <cell r="B142" t="str">
            <v>P089</v>
          </cell>
          <cell r="C142" t="str">
            <v>Yu Tiao 油条</v>
          </cell>
          <cell r="D142"/>
          <cell r="E142" t="str">
            <v>-</v>
          </cell>
          <cell r="F142" t="str">
            <v>1 pc</v>
          </cell>
        </row>
        <row r="143">
          <cell r="B143" t="str">
            <v>P090</v>
          </cell>
          <cell r="C143" t="str">
            <v>Food Coloring - Liquid)颜色-水</v>
          </cell>
          <cell r="D143"/>
          <cell r="E143" t="str">
            <v>Red/红</v>
          </cell>
          <cell r="F143" t="str">
            <v>500 ML/BTL</v>
          </cell>
        </row>
        <row r="144">
          <cell r="B144" t="str">
            <v>P091</v>
          </cell>
          <cell r="C144" t="str">
            <v>Food Coloring - Liquid)颜色-水</v>
          </cell>
          <cell r="D144"/>
          <cell r="E144" t="str">
            <v>Black/黑</v>
          </cell>
          <cell r="F144" t="str">
            <v>500 ML/BTL</v>
          </cell>
        </row>
        <row r="145">
          <cell r="B145" t="str">
            <v>P092</v>
          </cell>
          <cell r="C145" t="str">
            <v>Food Coloring Powder  色粉</v>
          </cell>
          <cell r="D145"/>
          <cell r="E145" t="str">
            <v>Red/红</v>
          </cell>
          <cell r="F145" t="str">
            <v>400 gms</v>
          </cell>
        </row>
        <row r="146">
          <cell r="B146" t="str">
            <v>P093</v>
          </cell>
          <cell r="C146" t="str">
            <v>Potato Starch 风车粉</v>
          </cell>
          <cell r="D146"/>
          <cell r="E146" t="str">
            <v>-</v>
          </cell>
          <cell r="F146" t="str">
            <v>5 kg</v>
          </cell>
        </row>
        <row r="147">
          <cell r="B147" t="str">
            <v>P094</v>
          </cell>
          <cell r="C147" t="str">
            <v>GingKo Nut (Peel off)白果仁</v>
          </cell>
          <cell r="D147"/>
          <cell r="E147" t="str">
            <v>-</v>
          </cell>
          <cell r="F147" t="str">
            <v>500 gm x 24/箱</v>
          </cell>
        </row>
        <row r="148">
          <cell r="B148" t="str">
            <v>P095</v>
          </cell>
          <cell r="C148" t="str">
            <v>Food Coloring - Liquid)颜色-水</v>
          </cell>
          <cell r="D148"/>
          <cell r="E148" t="str">
            <v>Green青</v>
          </cell>
          <cell r="F148" t="str">
            <v>500 ML/BTL</v>
          </cell>
        </row>
        <row r="149">
          <cell r="B149" t="str">
            <v>P096</v>
          </cell>
          <cell r="C149" t="str">
            <v>Food Coloring - Liquid)颜色-水</v>
          </cell>
          <cell r="D149"/>
          <cell r="E149" t="str">
            <v>Yellow黄</v>
          </cell>
          <cell r="F149" t="str">
            <v>500 ML/BTL</v>
          </cell>
        </row>
        <row r="150">
          <cell r="B150" t="str">
            <v>P097</v>
          </cell>
          <cell r="C150" t="str">
            <v>Almond Power- Yellow- 杏仁粉</v>
          </cell>
          <cell r="D150"/>
          <cell r="E150"/>
          <cell r="F150"/>
        </row>
        <row r="151">
          <cell r="B151" t="str">
            <v>P098</v>
          </cell>
          <cell r="C151" t="str">
            <v>Food Coloring Powder  色粉</v>
          </cell>
          <cell r="D151"/>
          <cell r="E151" t="str">
            <v>Green青</v>
          </cell>
          <cell r="F151" t="str">
            <v>400 gms</v>
          </cell>
        </row>
        <row r="152">
          <cell r="B152" t="str">
            <v>P099</v>
          </cell>
          <cell r="C152" t="str">
            <v>Food Coloring Powder  色粉</v>
          </cell>
          <cell r="D152"/>
          <cell r="E152" t="str">
            <v>Yellow黄</v>
          </cell>
          <cell r="F152" t="str">
            <v>400 gms</v>
          </cell>
        </row>
        <row r="153">
          <cell r="B153" t="str">
            <v>P100</v>
          </cell>
          <cell r="C153" t="str">
            <v>BUTTERFLY PEAS</v>
          </cell>
          <cell r="D153"/>
          <cell r="E153" t="str">
            <v>-</v>
          </cell>
          <cell r="F153" t="str">
            <v>50 GMS</v>
          </cell>
        </row>
        <row r="154">
          <cell r="B154" t="str">
            <v>P101</v>
          </cell>
          <cell r="C154" t="str">
            <v>Peanut 花生</v>
          </cell>
          <cell r="D154"/>
          <cell r="E154" t="str">
            <v>-</v>
          </cell>
          <cell r="F154" t="str">
            <v>5 KGS</v>
          </cell>
        </row>
        <row r="155">
          <cell r="B155" t="str">
            <v>P102</v>
          </cell>
          <cell r="C155" t="str">
            <v>SODA 苏打粉 (KEE)</v>
          </cell>
          <cell r="D155"/>
          <cell r="E155"/>
          <cell r="F155"/>
        </row>
        <row r="156">
          <cell r="B156" t="str">
            <v>P103</v>
          </cell>
          <cell r="C156" t="str">
            <v>GingKo Nut白果罐</v>
          </cell>
          <cell r="D156"/>
          <cell r="E156" t="str">
            <v>Mini</v>
          </cell>
          <cell r="F156" t="str">
            <v>(397gm x 12)/箱</v>
          </cell>
        </row>
        <row r="157">
          <cell r="B157" t="str">
            <v>P104</v>
          </cell>
          <cell r="C157" t="str">
            <v>Peanut 花生</v>
          </cell>
          <cell r="D157"/>
          <cell r="E157" t="str">
            <v>-</v>
          </cell>
          <cell r="F157" t="str">
            <v>5 KGS</v>
          </cell>
        </row>
        <row r="158">
          <cell r="B158" t="str">
            <v>P105</v>
          </cell>
          <cell r="C158" t="str">
            <v>Lotus Seed 莲子</v>
          </cell>
          <cell r="D158"/>
          <cell r="E158" t="str">
            <v>Fujian</v>
          </cell>
          <cell r="F158" t="str">
            <v>1 kg</v>
          </cell>
        </row>
        <row r="159">
          <cell r="B159" t="str">
            <v>P106</v>
          </cell>
          <cell r="C159" t="str">
            <v>Peanut  powder 花生</v>
          </cell>
          <cell r="D159"/>
          <cell r="E159" t="str">
            <v>-</v>
          </cell>
          <cell r="F159" t="str">
            <v>1 kg</v>
          </cell>
        </row>
        <row r="160">
          <cell r="B160" t="str">
            <v>P107</v>
          </cell>
          <cell r="C160" t="str">
            <v xml:space="preserve">Green Bean Starch </v>
          </cell>
          <cell r="D160"/>
          <cell r="E160" t="str">
            <v>-</v>
          </cell>
          <cell r="F160" t="str">
            <v>1kg</v>
          </cell>
        </row>
        <row r="161">
          <cell r="B161"/>
          <cell r="C161"/>
          <cell r="D161"/>
          <cell r="E161" t="str">
            <v>-</v>
          </cell>
          <cell r="F161"/>
        </row>
        <row r="162">
          <cell r="B162" t="str">
            <v>R001</v>
          </cell>
          <cell r="C162" t="str">
            <v>Atap Seeds in Syrup亚嗒子</v>
          </cell>
          <cell r="D162"/>
          <cell r="E162" t="str">
            <v>-</v>
          </cell>
          <cell r="F162" t="str">
            <v>20 kgs/桶</v>
          </cell>
        </row>
        <row r="163">
          <cell r="B163" t="str">
            <v>R002</v>
          </cell>
          <cell r="C163" t="str">
            <v>Sea Coconut海底椰</v>
          </cell>
          <cell r="D163"/>
          <cell r="E163" t="str">
            <v>MiLi</v>
          </cell>
          <cell r="F163" t="str">
            <v>(565gm x 12)/箱</v>
          </cell>
        </row>
        <row r="164">
          <cell r="B164" t="str">
            <v>R003</v>
          </cell>
          <cell r="C164" t="str">
            <v>Longan in Syrup龙眼</v>
          </cell>
          <cell r="D164"/>
          <cell r="E164" t="str">
            <v>Yit Hong</v>
          </cell>
          <cell r="F164" t="str">
            <v>(565gm x 12)/箱</v>
          </cell>
        </row>
        <row r="165">
          <cell r="B165" t="str">
            <v>R004</v>
          </cell>
          <cell r="C165" t="str">
            <v>Longan in Syrup龙眼</v>
          </cell>
          <cell r="D165"/>
          <cell r="E165" t="str">
            <v>MiLi</v>
          </cell>
          <cell r="F165" t="str">
            <v>(565gm x 12)/箱</v>
          </cell>
        </row>
        <row r="166">
          <cell r="B166" t="str">
            <v>R005</v>
          </cell>
          <cell r="C166" t="str">
            <v>Lychee in Syrup荔枝</v>
          </cell>
          <cell r="D166"/>
          <cell r="E166" t="str">
            <v>黑叶</v>
          </cell>
          <cell r="F166" t="str">
            <v>(567gm x 12)/箱</v>
          </cell>
        </row>
        <row r="167">
          <cell r="B167" t="str">
            <v>R006</v>
          </cell>
          <cell r="C167" t="str">
            <v>Lychee in Syrup荔枝</v>
          </cell>
          <cell r="D167"/>
          <cell r="E167" t="str">
            <v>mili</v>
          </cell>
          <cell r="F167" t="str">
            <v>12can/箱</v>
          </cell>
        </row>
        <row r="168">
          <cell r="B168" t="str">
            <v>R006A</v>
          </cell>
          <cell r="C168" t="str">
            <v>Lychee in Syrup荔枝</v>
          </cell>
          <cell r="D168"/>
          <cell r="E168" t="str">
            <v>Yit Hong</v>
          </cell>
          <cell r="F168" t="str">
            <v>24can/箱</v>
          </cell>
        </row>
        <row r="169">
          <cell r="B169" t="str">
            <v>R007</v>
          </cell>
          <cell r="C169" t="str">
            <v>Fruit Cocktail杂果</v>
          </cell>
          <cell r="D169"/>
          <cell r="E169" t="str">
            <v>Champ</v>
          </cell>
          <cell r="F169" t="str">
            <v>(820gm x 12)/箱</v>
          </cell>
        </row>
        <row r="170">
          <cell r="B170" t="str">
            <v>R008</v>
          </cell>
          <cell r="C170" t="str">
            <v>Fruit Cocktail杂果</v>
          </cell>
          <cell r="D170"/>
          <cell r="E170" t="str">
            <v>Statue</v>
          </cell>
          <cell r="F170" t="str">
            <v>(820gm x 12)/箱</v>
          </cell>
        </row>
        <row r="171">
          <cell r="B171" t="str">
            <v>R009</v>
          </cell>
          <cell r="C171" t="str">
            <v>Cream Corn玉米浆</v>
          </cell>
          <cell r="D171"/>
          <cell r="E171" t="str">
            <v>Statue</v>
          </cell>
          <cell r="F171" t="str">
            <v>(425gm x 24)/箱</v>
          </cell>
        </row>
        <row r="172">
          <cell r="B172" t="str">
            <v>R009A</v>
          </cell>
          <cell r="C172" t="str">
            <v>Cream Corn玉米浆</v>
          </cell>
          <cell r="D172"/>
          <cell r="E172" t="str">
            <v>Statue</v>
          </cell>
          <cell r="F172" t="str">
            <v>(425gm x 12)/箱</v>
          </cell>
        </row>
        <row r="173">
          <cell r="B173" t="str">
            <v>R010</v>
          </cell>
          <cell r="C173" t="str">
            <v>Whole Corn玉米粒</v>
          </cell>
          <cell r="D173"/>
          <cell r="E173" t="str">
            <v>statue</v>
          </cell>
          <cell r="F173" t="str">
            <v>(410gm x 24)/箱</v>
          </cell>
        </row>
        <row r="174">
          <cell r="B174" t="str">
            <v>R010A</v>
          </cell>
          <cell r="C174" t="str">
            <v>Whole Corn玉米粒</v>
          </cell>
          <cell r="D174"/>
          <cell r="E174" t="str">
            <v>statue</v>
          </cell>
          <cell r="F174" t="str">
            <v>(410gm x 12)/箱</v>
          </cell>
        </row>
        <row r="175">
          <cell r="B175" t="str">
            <v>R011</v>
          </cell>
          <cell r="C175" t="str">
            <v>Whole Corn玉米粒</v>
          </cell>
          <cell r="D175"/>
          <cell r="E175" t="str">
            <v>Champ</v>
          </cell>
          <cell r="F175" t="str">
            <v>(425gm x 24)/箱</v>
          </cell>
        </row>
        <row r="176">
          <cell r="B176" t="str">
            <v>R012</v>
          </cell>
          <cell r="C176" t="str">
            <v>Carnation Milk淡奶水</v>
          </cell>
          <cell r="D176"/>
          <cell r="E176" t="str">
            <v>三花</v>
          </cell>
          <cell r="F176" t="str">
            <v>Ctn/箱</v>
          </cell>
        </row>
        <row r="177">
          <cell r="B177" t="str">
            <v>R012A</v>
          </cell>
          <cell r="C177" t="str">
            <v>Carnation Milk淡奶水</v>
          </cell>
          <cell r="D177"/>
          <cell r="E177" t="str">
            <v>三花</v>
          </cell>
          <cell r="F177" t="str">
            <v>405gm/can/罐</v>
          </cell>
        </row>
        <row r="178">
          <cell r="B178" t="str">
            <v>R013</v>
          </cell>
          <cell r="C178" t="str">
            <v>Carnation Milk淡奶水</v>
          </cell>
          <cell r="D178"/>
          <cell r="E178" t="str">
            <v>Marigo牛</v>
          </cell>
          <cell r="F178" t="str">
            <v>Ctn/箱</v>
          </cell>
        </row>
        <row r="179">
          <cell r="B179" t="str">
            <v>R013A</v>
          </cell>
          <cell r="C179" t="str">
            <v>Carnation Milk淡奶水</v>
          </cell>
          <cell r="D179"/>
          <cell r="E179" t="str">
            <v>Marigo牛</v>
          </cell>
          <cell r="F179" t="str">
            <v>405gm/can/罐</v>
          </cell>
        </row>
        <row r="180">
          <cell r="B180" t="str">
            <v>R014</v>
          </cell>
          <cell r="C180" t="str">
            <v>Condnation Milk 练奶</v>
          </cell>
          <cell r="D180"/>
          <cell r="E180" t="str">
            <v>Dawn牛</v>
          </cell>
          <cell r="F180" t="str">
            <v>Ctn/箱</v>
          </cell>
        </row>
        <row r="181">
          <cell r="B181" t="str">
            <v>R015</v>
          </cell>
          <cell r="C181" t="str">
            <v>GingKo Nut白果罐</v>
          </cell>
          <cell r="D181"/>
          <cell r="E181" t="str">
            <v>Mini</v>
          </cell>
          <cell r="F181" t="str">
            <v>(397gm x 24)/箱</v>
          </cell>
        </row>
        <row r="182">
          <cell r="B182" t="str">
            <v>R016</v>
          </cell>
          <cell r="C182" t="str">
            <v>Peach 桃畔</v>
          </cell>
          <cell r="D182"/>
          <cell r="E182" t="str">
            <v>Royal M</v>
          </cell>
          <cell r="F182" t="str">
            <v>12can/箱</v>
          </cell>
        </row>
        <row r="183">
          <cell r="B183" t="str">
            <v>R017</v>
          </cell>
          <cell r="C183" t="str">
            <v>Water Chestnut 马蹄 - 箱</v>
          </cell>
          <cell r="D183"/>
          <cell r="E183" t="str">
            <v>-</v>
          </cell>
          <cell r="F183" t="str">
            <v>(567gm x 24)/箱</v>
          </cell>
        </row>
        <row r="184">
          <cell r="B184" t="str">
            <v>R018</v>
          </cell>
          <cell r="C184" t="str">
            <v xml:space="preserve">Baked Beans </v>
          </cell>
          <cell r="D184"/>
          <cell r="E184" t="str">
            <v>Statue</v>
          </cell>
          <cell r="F184" t="str">
            <v>(425gm x 24)/箱</v>
          </cell>
        </row>
        <row r="185">
          <cell r="B185" t="str">
            <v>R019</v>
          </cell>
          <cell r="C185" t="str">
            <v>Chilli 辣椒酱</v>
          </cell>
          <cell r="D185"/>
          <cell r="E185" t="str">
            <v>-</v>
          </cell>
          <cell r="F185" t="str">
            <v>??</v>
          </cell>
        </row>
        <row r="186">
          <cell r="B186" t="str">
            <v>R020</v>
          </cell>
          <cell r="C186" t="str">
            <v>Coconut Milk 椰浆</v>
          </cell>
          <cell r="D186"/>
          <cell r="E186" t="str">
            <v>Kara UHT</v>
          </cell>
          <cell r="F186" t="str">
            <v>(1L x 12bag)/箱</v>
          </cell>
        </row>
        <row r="187">
          <cell r="B187" t="str">
            <v>R020A</v>
          </cell>
          <cell r="C187" t="str">
            <v>Coconut Milk 椰浆</v>
          </cell>
          <cell r="D187"/>
          <cell r="E187" t="str">
            <v>Kara UHT</v>
          </cell>
          <cell r="F187" t="str">
            <v>1 Lt/BOX</v>
          </cell>
        </row>
        <row r="188">
          <cell r="B188" t="str">
            <v>R021</v>
          </cell>
          <cell r="C188" t="str">
            <v>Coconut Milk 椰浆</v>
          </cell>
          <cell r="D188"/>
          <cell r="E188" t="str">
            <v>Sin-ind</v>
          </cell>
          <cell r="F188" t="str">
            <v>(1L x 12bag)/箱</v>
          </cell>
        </row>
        <row r="189">
          <cell r="B189" t="str">
            <v>R022</v>
          </cell>
          <cell r="C189" t="str">
            <v>Coconut Milk 椰浆</v>
          </cell>
          <cell r="D189"/>
          <cell r="E189" t="str">
            <v>Kara UHT</v>
          </cell>
          <cell r="F189" t="str">
            <v>200gm x 30bag/箱</v>
          </cell>
        </row>
        <row r="190">
          <cell r="B190" t="str">
            <v>R023</v>
          </cell>
          <cell r="C190" t="str">
            <v>Lime Juice 柠檬汁</v>
          </cell>
          <cell r="D190"/>
          <cell r="E190" t="str">
            <v>-</v>
          </cell>
          <cell r="F190" t="str">
            <v>6 BOTTLE</v>
          </cell>
        </row>
        <row r="191">
          <cell r="B191" t="str">
            <v>R024</v>
          </cell>
          <cell r="C191" t="str">
            <v>Water Chestnut Juice 马蹄水</v>
          </cell>
          <cell r="D191"/>
          <cell r="E191" t="str">
            <v>-</v>
          </cell>
          <cell r="F191" t="str">
            <v>4 lt</v>
          </cell>
        </row>
        <row r="192">
          <cell r="B192" t="str">
            <v>R025</v>
          </cell>
          <cell r="C192" t="str">
            <v>Calamansi Juice 酸柑水</v>
          </cell>
          <cell r="D192"/>
          <cell r="E192" t="str">
            <v>-</v>
          </cell>
          <cell r="F192" t="str">
            <v>4 lt</v>
          </cell>
        </row>
        <row r="193">
          <cell r="B193" t="str">
            <v>R026</v>
          </cell>
          <cell r="C193" t="str">
            <v>Sour Plum Juice 酸梅水</v>
          </cell>
          <cell r="D193"/>
          <cell r="E193" t="str">
            <v>-</v>
          </cell>
          <cell r="F193" t="str">
            <v>4 lt</v>
          </cell>
        </row>
        <row r="194">
          <cell r="B194" t="str">
            <v>R027</v>
          </cell>
          <cell r="C194" t="str">
            <v>Rose Juice 玫瑰水</v>
          </cell>
          <cell r="D194"/>
          <cell r="E194" t="str">
            <v>-</v>
          </cell>
          <cell r="F194" t="str">
            <v>4 lt</v>
          </cell>
        </row>
        <row r="195">
          <cell r="B195" t="str">
            <v>R028</v>
          </cell>
          <cell r="C195" t="str">
            <v>Butter 牛油</v>
          </cell>
          <cell r="D195"/>
          <cell r="E195" t="str">
            <v>-</v>
          </cell>
          <cell r="F195" t="str">
            <v>1 box</v>
          </cell>
        </row>
        <row r="196">
          <cell r="B196" t="str">
            <v>R029</v>
          </cell>
          <cell r="C196" t="str">
            <v>Red Bean红豆</v>
          </cell>
          <cell r="D196"/>
          <cell r="E196"/>
          <cell r="F196" t="str">
            <v>25 kgs/bag</v>
          </cell>
        </row>
        <row r="197">
          <cell r="B197" t="str">
            <v>R030</v>
          </cell>
          <cell r="C197" t="str">
            <v>Green Bean 绿豆</v>
          </cell>
          <cell r="D197"/>
          <cell r="E197"/>
          <cell r="F197" t="str">
            <v>25 kgs/bag</v>
          </cell>
        </row>
        <row r="198">
          <cell r="B198" t="str">
            <v>R031</v>
          </cell>
          <cell r="C198" t="str">
            <v>Split Green Mung Bean豆畔</v>
          </cell>
          <cell r="D198"/>
          <cell r="E198" t="str">
            <v>TH/Lion</v>
          </cell>
          <cell r="F198" t="str">
            <v>30 kgs/bag</v>
          </cell>
        </row>
        <row r="199">
          <cell r="B199" t="str">
            <v>R032</v>
          </cell>
          <cell r="C199" t="str">
            <v>Split Green Mung Bean豆畔</v>
          </cell>
          <cell r="D199"/>
          <cell r="E199" t="str">
            <v>TH/SW</v>
          </cell>
          <cell r="F199" t="str">
            <v>30 kgs/bag</v>
          </cell>
        </row>
        <row r="200">
          <cell r="B200" t="str">
            <v>R033</v>
          </cell>
          <cell r="C200" t="str">
            <v>Black Glutinous Rice 黑糯米</v>
          </cell>
          <cell r="D200"/>
          <cell r="E200" t="str">
            <v>INDONESIA</v>
          </cell>
          <cell r="F200" t="str">
            <v>25 kgs/Bag</v>
          </cell>
        </row>
        <row r="201">
          <cell r="B201" t="str">
            <v>R034</v>
          </cell>
          <cell r="C201" t="str">
            <v>White Glutinous Rice白糯米</v>
          </cell>
          <cell r="D201"/>
          <cell r="E201" t="str">
            <v>Thai</v>
          </cell>
          <cell r="F201" t="str">
            <v>50 kgs/Bag</v>
          </cell>
        </row>
        <row r="202">
          <cell r="B202" t="str">
            <v>R035</v>
          </cell>
          <cell r="C202" t="str">
            <v>Sweeten Melon Strip冬瓜条</v>
          </cell>
          <cell r="D202"/>
          <cell r="E202" t="str">
            <v>Rabbit Brand</v>
          </cell>
          <cell r="F202" t="str">
            <v xml:space="preserve">3KGS x 10pkt </v>
          </cell>
        </row>
        <row r="203">
          <cell r="B203" t="str">
            <v>R036</v>
          </cell>
          <cell r="C203" t="str">
            <v>Dried Longan 龙眼干</v>
          </cell>
          <cell r="D203"/>
          <cell r="E203" t="str">
            <v>中</v>
          </cell>
          <cell r="F203" t="str">
            <v>10 kgs/Pkt</v>
          </cell>
        </row>
        <row r="204">
          <cell r="B204" t="str">
            <v>R037</v>
          </cell>
          <cell r="C204" t="str">
            <v>Bean Curd Sheet 腐竹</v>
          </cell>
          <cell r="D204"/>
          <cell r="E204" t="str">
            <v>Maru Sun</v>
          </cell>
          <cell r="F204" t="str">
            <v>150g/pkt x 40pkt</v>
          </cell>
        </row>
        <row r="205">
          <cell r="B205" t="str">
            <v>R038</v>
          </cell>
          <cell r="C205" t="str">
            <v>Sour Plum 酸梅</v>
          </cell>
          <cell r="D205"/>
          <cell r="E205" t="str">
            <v>-</v>
          </cell>
          <cell r="F205" t="str">
            <v>2 kgs</v>
          </cell>
        </row>
        <row r="206">
          <cell r="B206" t="str">
            <v>R039</v>
          </cell>
          <cell r="C206" t="str">
            <v>Sour Plum 酸梅（无子）</v>
          </cell>
          <cell r="D206"/>
          <cell r="E206" t="str">
            <v>-</v>
          </cell>
          <cell r="F206" t="str">
            <v>1 kg</v>
          </cell>
        </row>
        <row r="207">
          <cell r="B207" t="str">
            <v>R040</v>
          </cell>
          <cell r="C207" t="str">
            <v>Colour Rice 七彩米</v>
          </cell>
          <cell r="D207"/>
          <cell r="E207" t="str">
            <v>-</v>
          </cell>
          <cell r="F207" t="str">
            <v>1kg</v>
          </cell>
        </row>
        <row r="208">
          <cell r="B208" t="str">
            <v>R041</v>
          </cell>
          <cell r="C208" t="str">
            <v>CoCo Rice 可可米</v>
          </cell>
          <cell r="D208"/>
          <cell r="E208" t="str">
            <v>-</v>
          </cell>
          <cell r="F208" t="str">
            <v>1kg</v>
          </cell>
        </row>
        <row r="209">
          <cell r="B209" t="str">
            <v>R042</v>
          </cell>
          <cell r="C209" t="str">
            <v>海草 Coral Weed</v>
          </cell>
          <cell r="D209"/>
          <cell r="E209" t="str">
            <v>-</v>
          </cell>
          <cell r="F209" t="str">
            <v>1kg</v>
          </cell>
        </row>
        <row r="210">
          <cell r="B210" t="str">
            <v>R043</v>
          </cell>
          <cell r="C210" t="str">
            <v>Coconut Sugar椰糖</v>
          </cell>
          <cell r="D210"/>
          <cell r="E210" t="str">
            <v>2P</v>
          </cell>
          <cell r="F210" t="str">
            <v>10kgs/ctn</v>
          </cell>
        </row>
        <row r="211">
          <cell r="B211" t="str">
            <v>R044</v>
          </cell>
          <cell r="C211" t="str">
            <v>Coconut Sugar椰糖</v>
          </cell>
          <cell r="D211"/>
          <cell r="E211" t="str">
            <v>BL BRAND</v>
          </cell>
          <cell r="F211" t="str">
            <v>10kgs/ctn</v>
          </cell>
        </row>
        <row r="212">
          <cell r="B212" t="str">
            <v>R045</v>
          </cell>
          <cell r="C212" t="str">
            <v>Coconut Sugar椰糖</v>
          </cell>
          <cell r="D212"/>
          <cell r="E212" t="str">
            <v>Indonesia</v>
          </cell>
          <cell r="F212" t="str">
            <v>10kgs/ctn</v>
          </cell>
        </row>
        <row r="213">
          <cell r="B213" t="str">
            <v>R046</v>
          </cell>
          <cell r="C213" t="str">
            <v>Coconut Sugar椰糖</v>
          </cell>
          <cell r="D213"/>
          <cell r="E213" t="str">
            <v>KHS</v>
          </cell>
          <cell r="F213" t="str">
            <v>10kgs/ctn</v>
          </cell>
        </row>
        <row r="214">
          <cell r="B214" t="str">
            <v>R047</v>
          </cell>
          <cell r="C214" t="str">
            <v>Fine Sugar 白糖</v>
          </cell>
          <cell r="D214"/>
          <cell r="E214" t="str">
            <v>Mitrphol</v>
          </cell>
          <cell r="F214" t="str">
            <v>25 kgs/Bag</v>
          </cell>
        </row>
        <row r="215">
          <cell r="B215" t="str">
            <v>R048</v>
          </cell>
          <cell r="C215" t="str">
            <v>Candy Sugar 片糖</v>
          </cell>
          <cell r="D215"/>
          <cell r="E215" t="str">
            <v>-</v>
          </cell>
          <cell r="F215" t="str">
            <v>400gms x 50pkt/ctn</v>
          </cell>
        </row>
        <row r="216">
          <cell r="B216" t="str">
            <v>R049</v>
          </cell>
          <cell r="C216" t="str">
            <v>Liquid Maltose 麦芽糖</v>
          </cell>
          <cell r="D216"/>
          <cell r="E216" t="str">
            <v>-</v>
          </cell>
          <cell r="F216" t="str">
            <v>20kgs/1 Tin</v>
          </cell>
        </row>
        <row r="217">
          <cell r="B217" t="str">
            <v>R050</v>
          </cell>
          <cell r="C217" t="str">
            <v>Sweet Potato Powder番薯粉</v>
          </cell>
          <cell r="D217"/>
          <cell r="E217" t="str">
            <v>F/Man</v>
          </cell>
          <cell r="F217" t="str">
            <v>(500gm x 20Pkt)箱</v>
          </cell>
        </row>
        <row r="218">
          <cell r="B218" t="str">
            <v>R051</v>
          </cell>
          <cell r="C218" t="str">
            <v>Sweet Potato Powder番薯粉</v>
          </cell>
          <cell r="D218"/>
          <cell r="E218" t="str">
            <v>KHS</v>
          </cell>
          <cell r="F218" t="str">
            <v>(500gm x 20Pkt)箱</v>
          </cell>
        </row>
        <row r="219">
          <cell r="B219" t="str">
            <v>R052</v>
          </cell>
          <cell r="C219" t="str">
            <v>Potato Starch 风车粉</v>
          </cell>
          <cell r="D219"/>
          <cell r="E219" t="str">
            <v>Windmill</v>
          </cell>
          <cell r="F219" t="str">
            <v>(350gm x 24Pkt)/Bag</v>
          </cell>
        </row>
        <row r="220">
          <cell r="B220" t="str">
            <v>R053</v>
          </cell>
          <cell r="C220" t="str">
            <v>RICE FLOUR 粘米粉</v>
          </cell>
          <cell r="D220"/>
          <cell r="E220" t="str">
            <v>ERWAN</v>
          </cell>
          <cell r="F220" t="str">
            <v>(600gm x 20Pkt)箱</v>
          </cell>
        </row>
        <row r="221">
          <cell r="B221" t="str">
            <v>R054</v>
          </cell>
          <cell r="C221" t="str">
            <v>SODA 苏打粉</v>
          </cell>
          <cell r="D221"/>
          <cell r="E221" t="str">
            <v>-</v>
          </cell>
          <cell r="F221" t="str">
            <v>100gms x 12BTLx 4</v>
          </cell>
        </row>
        <row r="222">
          <cell r="B222" t="str">
            <v>R055</v>
          </cell>
          <cell r="C222" t="str">
            <v>Food Coloring 颜色</v>
          </cell>
          <cell r="D222"/>
          <cell r="E222" t="str">
            <v>Black/黑</v>
          </cell>
          <cell r="F222" t="str">
            <v>5 lt</v>
          </cell>
        </row>
        <row r="223">
          <cell r="B223" t="str">
            <v>R056</v>
          </cell>
          <cell r="C223" t="str">
            <v>Flavour Essence香精</v>
          </cell>
          <cell r="D223"/>
          <cell r="E223" t="str">
            <v>Almond No 1</v>
          </cell>
          <cell r="F223" t="str">
            <v>450 ML/BTL</v>
          </cell>
        </row>
        <row r="224">
          <cell r="B224" t="str">
            <v>R057</v>
          </cell>
          <cell r="C224" t="str">
            <v>Flavour Essence香精</v>
          </cell>
          <cell r="D224"/>
          <cell r="E224" t="str">
            <v>Rose 721</v>
          </cell>
          <cell r="F224" t="str">
            <v>450 ML/BTL</v>
          </cell>
        </row>
        <row r="225">
          <cell r="B225" t="str">
            <v>R058</v>
          </cell>
          <cell r="C225" t="str">
            <v>Flavour Essence香精</v>
          </cell>
          <cell r="D225"/>
          <cell r="E225" t="str">
            <v>Honeydew</v>
          </cell>
          <cell r="F225" t="str">
            <v>450 ML/BTL</v>
          </cell>
        </row>
        <row r="226">
          <cell r="B226" t="str">
            <v>R059</v>
          </cell>
          <cell r="C226" t="str">
            <v>Flavour Essence香精</v>
          </cell>
          <cell r="D226"/>
          <cell r="E226" t="str">
            <v>Mango</v>
          </cell>
          <cell r="F226" t="str">
            <v>450 ML/BTL</v>
          </cell>
        </row>
        <row r="227">
          <cell r="B227" t="str">
            <v>R060</v>
          </cell>
          <cell r="C227" t="str">
            <v>Flavour Essence香精</v>
          </cell>
          <cell r="D227"/>
          <cell r="E227" t="str">
            <v>Pandan (FKJ)</v>
          </cell>
          <cell r="F227" t="str">
            <v>450 ML/BTL</v>
          </cell>
        </row>
        <row r="228">
          <cell r="B228" t="str">
            <v>R061</v>
          </cell>
          <cell r="C228" t="str">
            <v>Flavour Essence香精</v>
          </cell>
          <cell r="D228"/>
          <cell r="E228" t="str">
            <v>2552 Strawberry</v>
          </cell>
          <cell r="F228" t="str">
            <v>450 ML/BTL</v>
          </cell>
        </row>
        <row r="229">
          <cell r="B229" t="str">
            <v>R062</v>
          </cell>
          <cell r="C229" t="str">
            <v>Flavour Essence香精</v>
          </cell>
          <cell r="D229"/>
          <cell r="E229" t="str">
            <v>Peach</v>
          </cell>
          <cell r="F229" t="str">
            <v>1 Lt/BTL</v>
          </cell>
        </row>
        <row r="230">
          <cell r="B230" t="str">
            <v>R063</v>
          </cell>
          <cell r="C230" t="str">
            <v>Flavour Essence香精</v>
          </cell>
          <cell r="D230"/>
          <cell r="E230" t="str">
            <v>Strawberry</v>
          </cell>
          <cell r="F230" t="str">
            <v>1 Lt/BTL</v>
          </cell>
        </row>
        <row r="231">
          <cell r="B231" t="str">
            <v>R064</v>
          </cell>
          <cell r="C231" t="str">
            <v>Flavour Essence香精</v>
          </cell>
          <cell r="D231"/>
          <cell r="E231" t="str">
            <v>Orange</v>
          </cell>
          <cell r="F231" t="str">
            <v>1 Lt/BTL</v>
          </cell>
        </row>
        <row r="232">
          <cell r="B232" t="str">
            <v>R065</v>
          </cell>
          <cell r="C232" t="str">
            <v>Flavour Essence香精</v>
          </cell>
          <cell r="D232"/>
          <cell r="E232" t="str">
            <v>Pineapple</v>
          </cell>
          <cell r="F232" t="str">
            <v>1 Lt/BTL</v>
          </cell>
        </row>
        <row r="233">
          <cell r="B233" t="str">
            <v>R066</v>
          </cell>
          <cell r="C233" t="str">
            <v>Flavour Essence香精</v>
          </cell>
          <cell r="D233"/>
          <cell r="E233" t="str">
            <v>Banana 23</v>
          </cell>
          <cell r="F233" t="str">
            <v>1 Lt/BTL</v>
          </cell>
        </row>
        <row r="234">
          <cell r="B234" t="str">
            <v>R067</v>
          </cell>
          <cell r="C234" t="str">
            <v>Netual Cloudifier 白色精</v>
          </cell>
          <cell r="D234"/>
          <cell r="E234" t="str">
            <v>Cloudy</v>
          </cell>
          <cell r="F234" t="str">
            <v>500 ml x12/ Ctn</v>
          </cell>
        </row>
        <row r="235">
          <cell r="B235" t="str">
            <v>R068</v>
          </cell>
          <cell r="C235" t="str">
            <v>3 Q Jelly</v>
          </cell>
          <cell r="D235"/>
          <cell r="E235" t="str">
            <v>-</v>
          </cell>
          <cell r="F235" t="str">
            <v>4 kgs x 4 桶</v>
          </cell>
        </row>
        <row r="236">
          <cell r="B236" t="str">
            <v>R069</v>
          </cell>
          <cell r="C236" t="str">
            <v>Full Cream Milk牛奶</v>
          </cell>
          <cell r="D236"/>
          <cell r="E236" t="str">
            <v>Marigold</v>
          </cell>
          <cell r="F236" t="str">
            <v>1Lt x 12/Ctn</v>
          </cell>
        </row>
        <row r="237">
          <cell r="B237" t="str">
            <v>R070</v>
          </cell>
          <cell r="C237" t="str">
            <v>Pure Milk 牛奶</v>
          </cell>
          <cell r="D237"/>
          <cell r="E237" t="str">
            <v>Cowhead</v>
          </cell>
          <cell r="F237" t="str">
            <v>箱</v>
          </cell>
        </row>
        <row r="238">
          <cell r="B238" t="str">
            <v>R071</v>
          </cell>
          <cell r="C238" t="str">
            <v>GingKo Nut (Peel off)白果仁</v>
          </cell>
          <cell r="D238"/>
          <cell r="E238"/>
          <cell r="F238" t="str">
            <v>500g x 24 pkt/箱</v>
          </cell>
        </row>
        <row r="239">
          <cell r="B239" t="str">
            <v>R072</v>
          </cell>
          <cell r="C239" t="str">
            <v>GingKo Nut白果粒</v>
          </cell>
          <cell r="D239"/>
          <cell r="E239" t="str">
            <v>GRD1</v>
          </cell>
          <cell r="F239" t="str">
            <v>30 kgs/bag</v>
          </cell>
        </row>
        <row r="240">
          <cell r="B240" t="str">
            <v>R073</v>
          </cell>
          <cell r="C240" t="str">
            <v>Peanut 花生</v>
          </cell>
          <cell r="D240"/>
          <cell r="E240"/>
          <cell r="F240" t="str">
            <v>12.5KGx 2PKT</v>
          </cell>
        </row>
        <row r="241">
          <cell r="B241" t="str">
            <v>R074</v>
          </cell>
          <cell r="C241" t="str">
            <v>Dried Longan 龙眼干</v>
          </cell>
          <cell r="D241"/>
          <cell r="E241" t="str">
            <v>T</v>
          </cell>
          <cell r="F241" t="str">
            <v>15 kgs/箱</v>
          </cell>
        </row>
        <row r="242">
          <cell r="B242" t="str">
            <v>R075</v>
          </cell>
          <cell r="C242" t="str">
            <v>Dried Persimmon 柿子</v>
          </cell>
          <cell r="E242" t="str">
            <v>Korea</v>
          </cell>
          <cell r="F242" t="str">
            <v>5 kgs/箱</v>
          </cell>
        </row>
        <row r="243">
          <cell r="B243" t="str">
            <v>R076</v>
          </cell>
          <cell r="C243" t="str">
            <v>Herbal Jelly Powder</v>
          </cell>
          <cell r="E243" t="str">
            <v>-</v>
          </cell>
          <cell r="F243" t="str">
            <v>500 GM/BAG</v>
          </cell>
        </row>
        <row r="244">
          <cell r="B244" t="str">
            <v>R077</v>
          </cell>
          <cell r="C244" t="str">
            <v>Fresh Durian</v>
          </cell>
          <cell r="E244" t="str">
            <v>-</v>
          </cell>
          <cell r="F244" t="str">
            <v>2 kg/pkt</v>
          </cell>
        </row>
        <row r="245">
          <cell r="B245" t="str">
            <v>R078</v>
          </cell>
          <cell r="C245" t="str">
            <v>PACKED TOMATO SAUCE</v>
          </cell>
        </row>
        <row r="246">
          <cell r="B246" t="str">
            <v>R079</v>
          </cell>
          <cell r="C246" t="str">
            <v>Pearl Barley 薏米</v>
          </cell>
          <cell r="E246" t="str">
            <v>-</v>
          </cell>
          <cell r="F246" t="str">
            <v>25 KGS</v>
          </cell>
        </row>
        <row r="247">
          <cell r="B247" t="str">
            <v>R080</v>
          </cell>
          <cell r="C247" t="str">
            <v>GREEN APPLE JUICE</v>
          </cell>
          <cell r="E247" t="str">
            <v>-</v>
          </cell>
          <cell r="F247" t="str">
            <v>5 KGS</v>
          </cell>
        </row>
        <row r="248">
          <cell r="B248" t="str">
            <v>R081</v>
          </cell>
          <cell r="C248" t="str">
            <v>HONEY PEACH JUICE</v>
          </cell>
          <cell r="E248" t="str">
            <v>-</v>
          </cell>
          <cell r="F248" t="str">
            <v>5 KGS</v>
          </cell>
        </row>
        <row r="249">
          <cell r="B249" t="str">
            <v>R082</v>
          </cell>
          <cell r="C249" t="str">
            <v>MANGO JUICE</v>
          </cell>
          <cell r="E249" t="str">
            <v>-</v>
          </cell>
          <cell r="F249" t="str">
            <v>5 KGS</v>
          </cell>
        </row>
        <row r="250">
          <cell r="B250" t="str">
            <v>R083</v>
          </cell>
          <cell r="C250" t="str">
            <v>STRAWBERRY JUICE</v>
          </cell>
          <cell r="E250" t="str">
            <v>-</v>
          </cell>
          <cell r="F250" t="str">
            <v>5 KGS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0.xml"/><Relationship Id="rId2" Type="http://schemas.openxmlformats.org/officeDocument/2006/relationships/printerSettings" Target="../printerSettings/printerSettings123.bin"/><Relationship Id="rId1" Type="http://schemas.openxmlformats.org/officeDocument/2006/relationships/hyperlink" Target="mailto:ykgaccount@yukee.com.sg" TargetMode="External"/></Relationships>
</file>

<file path=xl/worksheets/_rels/sheet1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1.xml"/><Relationship Id="rId2" Type="http://schemas.openxmlformats.org/officeDocument/2006/relationships/printerSettings" Target="../printerSettings/printerSettings124.bin"/><Relationship Id="rId1" Type="http://schemas.openxmlformats.org/officeDocument/2006/relationships/hyperlink" Target="mailto:ykgaccount@yukee.com.sg" TargetMode="External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9.xml"/><Relationship Id="rId2" Type="http://schemas.openxmlformats.org/officeDocument/2006/relationships/printerSettings" Target="../printerSettings/printerSettings142.bin"/><Relationship Id="rId1" Type="http://schemas.openxmlformats.org/officeDocument/2006/relationships/hyperlink" Target="mailto:fj_procurement@breadtalk.com" TargetMode="External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5.xml"/><Relationship Id="rId2" Type="http://schemas.openxmlformats.org/officeDocument/2006/relationships/printerSettings" Target="../printerSettings/printerSettings170.bin"/><Relationship Id="rId1" Type="http://schemas.openxmlformats.org/officeDocument/2006/relationships/hyperlink" Target="mailto:fj_procurement@breadtalk.com" TargetMode="External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7.xml"/><Relationship Id="rId2" Type="http://schemas.openxmlformats.org/officeDocument/2006/relationships/printerSettings" Target="../printerSettings/printerSettings172.bin"/><Relationship Id="rId1" Type="http://schemas.openxmlformats.org/officeDocument/2006/relationships/hyperlink" Target="mailto:fj_procurement@breadtalk.com" TargetMode="External"/></Relationships>
</file>

<file path=xl/worksheets/_rels/sheet17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8.xml"/><Relationship Id="rId2" Type="http://schemas.openxmlformats.org/officeDocument/2006/relationships/printerSettings" Target="../printerSettings/printerSettings173.bin"/><Relationship Id="rId1" Type="http://schemas.openxmlformats.org/officeDocument/2006/relationships/hyperlink" Target="mailto:fj_procurement@breadtalk.com" TargetMode="External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printerSettings" Target="../printerSettings/printerSettings46.bin"/><Relationship Id="rId1" Type="http://schemas.openxmlformats.org/officeDocument/2006/relationships/hyperlink" Target="mailto:fj_procurement@breadtalk.com" TargetMode="External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4.xml"/><Relationship Id="rId2" Type="http://schemas.openxmlformats.org/officeDocument/2006/relationships/printerSettings" Target="../printerSettings/printerSettings47.bin"/><Relationship Id="rId1" Type="http://schemas.openxmlformats.org/officeDocument/2006/relationships/hyperlink" Target="mailto:fj_procurement@breadtalk.com" TargetMode="Externa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7.xml"/><Relationship Id="rId2" Type="http://schemas.openxmlformats.org/officeDocument/2006/relationships/printerSettings" Target="../printerSettings/printerSettings70.bin"/><Relationship Id="rId1" Type="http://schemas.openxmlformats.org/officeDocument/2006/relationships/hyperlink" Target="mailto:fj_procurement@breadtalk.com" TargetMode="External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6.xml"/><Relationship Id="rId2" Type="http://schemas.openxmlformats.org/officeDocument/2006/relationships/printerSettings" Target="../printerSettings/printerSettings79.bin"/><Relationship Id="rId1" Type="http://schemas.openxmlformats.org/officeDocument/2006/relationships/hyperlink" Target="mailto:fj_procurement@breadtalk.com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7.xml"/><Relationship Id="rId2" Type="http://schemas.openxmlformats.org/officeDocument/2006/relationships/printerSettings" Target="../printerSettings/printerSettings80.bin"/><Relationship Id="rId1" Type="http://schemas.openxmlformats.org/officeDocument/2006/relationships/hyperlink" Target="mailto:fj_procurement@breadtalk.com" TargetMode="External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9.xml"/><Relationship Id="rId2" Type="http://schemas.openxmlformats.org/officeDocument/2006/relationships/printerSettings" Target="../printerSettings/printerSettings82.bin"/><Relationship Id="rId1" Type="http://schemas.openxmlformats.org/officeDocument/2006/relationships/hyperlink" Target="mailto:fj_procurement@breadtalk.com" TargetMode="External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1.xml"/><Relationship Id="rId2" Type="http://schemas.openxmlformats.org/officeDocument/2006/relationships/printerSettings" Target="../printerSettings/printerSettings84.bin"/><Relationship Id="rId1" Type="http://schemas.openxmlformats.org/officeDocument/2006/relationships/hyperlink" Target="mailto:fj_procurement@breadtalk.com" TargetMode="External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2.xml"/><Relationship Id="rId2" Type="http://schemas.openxmlformats.org/officeDocument/2006/relationships/printerSettings" Target="../printerSettings/printerSettings85.bin"/><Relationship Id="rId1" Type="http://schemas.openxmlformats.org/officeDocument/2006/relationships/hyperlink" Target="mailto:fj_procurement@breadtalk.com" TargetMode="External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3.xml"/><Relationship Id="rId2" Type="http://schemas.openxmlformats.org/officeDocument/2006/relationships/printerSettings" Target="../printerSettings/printerSettings86.bin"/><Relationship Id="rId1" Type="http://schemas.openxmlformats.org/officeDocument/2006/relationships/hyperlink" Target="mailto:fj_procurement@breadtalk.com" TargetMode="External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4.xml"/><Relationship Id="rId2" Type="http://schemas.openxmlformats.org/officeDocument/2006/relationships/printerSettings" Target="../printerSettings/printerSettings87.bin"/><Relationship Id="rId1" Type="http://schemas.openxmlformats.org/officeDocument/2006/relationships/hyperlink" Target="mailto:fj_procurement@breadtalk.com" TargetMode="External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5.xml"/><Relationship Id="rId2" Type="http://schemas.openxmlformats.org/officeDocument/2006/relationships/printerSettings" Target="../printerSettings/printerSettings88.bin"/><Relationship Id="rId1" Type="http://schemas.openxmlformats.org/officeDocument/2006/relationships/hyperlink" Target="mailto:fj_procurement@breadtalk.com" TargetMode="External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2677B1-5637-46A4-B6F6-75FA321B5DEF}">
  <sheetPr codeName="Sheet1">
    <pageSetUpPr fitToPage="1"/>
  </sheetPr>
  <dimension ref="B1:Q45"/>
  <sheetViews>
    <sheetView topLeftCell="A8" workbookViewId="0">
      <selection activeCell="F16" sqref="D16:F17"/>
    </sheetView>
  </sheetViews>
  <sheetFormatPr defaultColWidth="12.54296875" defaultRowHeight="18.5" x14ac:dyDescent="0.45"/>
  <cols>
    <col min="1" max="1" width="12.54296875" style="24"/>
    <col min="2" max="3" width="12.54296875" style="24" customWidth="1"/>
    <col min="4" max="4" width="14.26953125" style="24" customWidth="1"/>
    <col min="5" max="5" width="1.54296875" style="24" customWidth="1"/>
    <col min="6" max="6" width="17.453125" style="24" customWidth="1"/>
    <col min="7" max="7" width="8.54296875" style="24" customWidth="1"/>
    <col min="8" max="8" width="17.1796875" style="24" customWidth="1"/>
    <col min="9" max="9" width="2.54296875" style="24" customWidth="1"/>
    <col min="10" max="10" width="15.54296875" style="24" customWidth="1"/>
    <col min="11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224</v>
      </c>
      <c r="J10" s="29" t="s">
        <v>29</v>
      </c>
      <c r="K10" s="452">
        <v>202208425</v>
      </c>
      <c r="L10" s="453"/>
    </row>
    <row r="11" spans="2:12" ht="20.149999999999999" customHeight="1" x14ac:dyDescent="0.45">
      <c r="B11" s="454"/>
      <c r="C11" s="455"/>
      <c r="D11" s="456"/>
      <c r="E11" s="30"/>
      <c r="F11" s="457" t="str">
        <f>VLOOKUP(H10,'Delivery Location'!A$4:N$416,2,0)</f>
        <v>Ronnie kitchen Pte Ltd                            8A, Admiralty Street Food Exchange      #06-07. Singapore 757437.</v>
      </c>
      <c r="G11" s="458"/>
      <c r="H11" s="459"/>
      <c r="J11" s="31" t="s">
        <v>11</v>
      </c>
      <c r="K11" s="466">
        <v>44798</v>
      </c>
      <c r="L11" s="467"/>
    </row>
    <row r="12" spans="2:12" ht="20.149999999999999" customHeight="1" x14ac:dyDescent="0.45">
      <c r="B12" s="468"/>
      <c r="C12" s="469"/>
      <c r="D12" s="470"/>
      <c r="E12" s="30"/>
      <c r="F12" s="460"/>
      <c r="G12" s="461"/>
      <c r="H12" s="462"/>
      <c r="J12" s="31" t="s">
        <v>171</v>
      </c>
      <c r="K12" s="471" t="s">
        <v>533</v>
      </c>
      <c r="L12" s="472"/>
    </row>
    <row r="13" spans="2:12" ht="20.149999999999999" customHeight="1" x14ac:dyDescent="0.45">
      <c r="B13" s="468"/>
      <c r="C13" s="469"/>
      <c r="D13" s="470"/>
      <c r="E13" s="30"/>
      <c r="F13" s="460"/>
      <c r="G13" s="461"/>
      <c r="H13" s="462"/>
      <c r="J13" s="31" t="s">
        <v>12</v>
      </c>
      <c r="K13" s="471" t="s">
        <v>14</v>
      </c>
      <c r="L13" s="472"/>
    </row>
    <row r="14" spans="2:12" ht="20.149999999999999" customHeight="1" x14ac:dyDescent="0.45">
      <c r="B14" s="468"/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473"/>
      <c r="C15" s="474"/>
      <c r="D15" s="475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16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16" ht="20.149999999999999" customHeight="1" x14ac:dyDescent="0.45">
      <c r="B18" s="70"/>
      <c r="C18" s="22" t="s">
        <v>1793</v>
      </c>
      <c r="D18" s="480" t="str">
        <f>VLOOKUP(C18,'Sales Master'!B$3:D$499,2,)</f>
        <v>Yam Skinless 芋头去皮</v>
      </c>
      <c r="E18" s="480"/>
      <c r="F18" s="480"/>
      <c r="G18" s="90">
        <v>50</v>
      </c>
      <c r="H18" s="389" t="str">
        <f>VLOOKUP(C18,'Sales Master'!$B$3:$F$3179,5,0)</f>
        <v>1 KG</v>
      </c>
      <c r="I18" s="482" t="str">
        <f>VLOOKUP(C18,'Sales Master'!$B$3:$E$3179,4,0)</f>
        <v>Thailand</v>
      </c>
      <c r="J18" s="482"/>
      <c r="K18" s="98">
        <f>VLOOKUP(C18,'Sales Master'!B$3:X$581,23,0)</f>
        <v>6.5</v>
      </c>
      <c r="L18" s="99">
        <f>K18*G18</f>
        <v>325</v>
      </c>
      <c r="M18" s="78"/>
      <c r="N18" s="225">
        <f>VLOOKUP(C18,'Sales Master'!$B$3:$DA$3038,104,0)</f>
        <v>0</v>
      </c>
      <c r="O18" s="225">
        <f>K18-N18</f>
        <v>6.5</v>
      </c>
      <c r="P18" s="225">
        <f>O18*G18</f>
        <v>325</v>
      </c>
    </row>
    <row r="19" spans="2:16" ht="20.149999999999999" customHeight="1" x14ac:dyDescent="0.45">
      <c r="B19" s="70"/>
      <c r="C19" s="22"/>
      <c r="D19" s="480"/>
      <c r="E19" s="480"/>
      <c r="F19" s="480"/>
      <c r="G19" s="90"/>
      <c r="H19" s="68"/>
      <c r="I19" s="481"/>
      <c r="J19" s="481"/>
      <c r="K19" s="98"/>
      <c r="L19" s="99"/>
      <c r="M19" s="78"/>
      <c r="N19" s="225"/>
      <c r="O19" s="225"/>
      <c r="P19" s="225"/>
    </row>
    <row r="20" spans="2:16" ht="20.149999999999999" customHeight="1" x14ac:dyDescent="0.45">
      <c r="B20" s="70"/>
      <c r="C20" s="22"/>
      <c r="D20" s="480"/>
      <c r="E20" s="480"/>
      <c r="F20" s="480"/>
      <c r="G20" s="90"/>
      <c r="H20" s="68"/>
      <c r="I20" s="481"/>
      <c r="J20" s="481"/>
      <c r="K20" s="98"/>
      <c r="L20" s="99"/>
      <c r="M20" s="78"/>
      <c r="N20" s="225"/>
      <c r="O20" s="225"/>
      <c r="P20" s="225"/>
    </row>
    <row r="21" spans="2:16" ht="20.149999999999999" customHeight="1" x14ac:dyDescent="0.45">
      <c r="B21" s="70"/>
      <c r="C21" s="22"/>
      <c r="D21" s="480"/>
      <c r="E21" s="480"/>
      <c r="F21" s="480"/>
      <c r="G21" s="90"/>
      <c r="H21" s="68"/>
      <c r="I21" s="481"/>
      <c r="J21" s="481"/>
      <c r="K21" s="98"/>
      <c r="L21" s="99"/>
      <c r="M21" s="78"/>
      <c r="N21" s="225"/>
      <c r="O21" s="225"/>
      <c r="P21" s="225"/>
    </row>
    <row r="22" spans="2:16" ht="20.149999999999999" customHeight="1" x14ac:dyDescent="0.45">
      <c r="B22" s="70"/>
      <c r="C22" s="22"/>
      <c r="D22" s="480"/>
      <c r="E22" s="480"/>
      <c r="F22" s="480"/>
      <c r="G22" s="90"/>
      <c r="H22" s="68"/>
      <c r="I22" s="481"/>
      <c r="J22" s="481"/>
      <c r="K22" s="98"/>
      <c r="L22" s="99"/>
      <c r="M22" s="78"/>
      <c r="N22" s="225"/>
      <c r="O22" s="225"/>
      <c r="P22" s="225"/>
    </row>
    <row r="23" spans="2:16" ht="20.149999999999999" customHeight="1" x14ac:dyDescent="0.45">
      <c r="B23" s="70"/>
      <c r="C23" s="22"/>
      <c r="D23" s="480"/>
      <c r="E23" s="480"/>
      <c r="F23" s="480"/>
      <c r="G23" s="90"/>
      <c r="H23" s="68"/>
      <c r="I23" s="481"/>
      <c r="J23" s="481"/>
      <c r="K23" s="98"/>
      <c r="L23" s="99"/>
      <c r="M23" s="78"/>
      <c r="N23" s="225"/>
      <c r="O23" s="225"/>
      <c r="P23" s="225"/>
    </row>
    <row r="24" spans="2:16" ht="20.149999999999999" customHeight="1" x14ac:dyDescent="0.45">
      <c r="B24" s="70"/>
      <c r="C24" s="22"/>
      <c r="D24" s="480"/>
      <c r="E24" s="480"/>
      <c r="F24" s="480"/>
      <c r="G24" s="90"/>
      <c r="H24" s="68"/>
      <c r="I24" s="481"/>
      <c r="J24" s="481"/>
      <c r="K24" s="98"/>
      <c r="L24" s="99"/>
      <c r="M24" s="78"/>
      <c r="N24" s="225"/>
      <c r="O24" s="225"/>
      <c r="P24" s="225"/>
    </row>
    <row r="25" spans="2:16" ht="20.149999999999999" customHeight="1" x14ac:dyDescent="0.45">
      <c r="B25" s="70"/>
      <c r="C25" s="22"/>
      <c r="D25" s="480"/>
      <c r="E25" s="480"/>
      <c r="F25" s="480"/>
      <c r="G25" s="90"/>
      <c r="H25" s="68"/>
      <c r="I25" s="481"/>
      <c r="J25" s="481"/>
      <c r="K25" s="98"/>
      <c r="L25" s="99"/>
      <c r="M25" s="78"/>
      <c r="N25" s="225"/>
      <c r="O25" s="225"/>
      <c r="P25" s="225"/>
    </row>
    <row r="26" spans="2:16" ht="20.149999999999999" customHeight="1" x14ac:dyDescent="0.45">
      <c r="B26" s="70"/>
      <c r="C26" s="22"/>
      <c r="D26" s="480"/>
      <c r="E26" s="480"/>
      <c r="F26" s="480"/>
      <c r="G26" s="90"/>
      <c r="H26" s="68"/>
      <c r="I26" s="481"/>
      <c r="J26" s="481"/>
      <c r="K26" s="98"/>
      <c r="L26" s="99"/>
      <c r="M26" s="78"/>
      <c r="N26" s="225"/>
      <c r="O26" s="225"/>
      <c r="P26" s="225"/>
    </row>
    <row r="27" spans="2:16" ht="20.149999999999999" customHeight="1" x14ac:dyDescent="0.45">
      <c r="B27" s="70"/>
      <c r="C27" s="22"/>
      <c r="D27" s="480"/>
      <c r="E27" s="480"/>
      <c r="F27" s="480"/>
      <c r="G27" s="90"/>
      <c r="H27" s="68"/>
      <c r="I27" s="481"/>
      <c r="J27" s="481"/>
      <c r="K27" s="98"/>
      <c r="L27" s="99"/>
      <c r="M27" s="78"/>
      <c r="N27" s="225"/>
      <c r="O27" s="225"/>
      <c r="P27" s="225"/>
    </row>
    <row r="28" spans="2:16" ht="20.149999999999999" customHeight="1" x14ac:dyDescent="0.45">
      <c r="B28" s="70"/>
      <c r="C28" s="22"/>
      <c r="D28" s="480"/>
      <c r="E28" s="480"/>
      <c r="F28" s="480"/>
      <c r="G28" s="90"/>
      <c r="H28" s="68"/>
      <c r="I28" s="481"/>
      <c r="J28" s="481"/>
      <c r="K28" s="98"/>
      <c r="L28" s="99"/>
      <c r="M28" s="78"/>
      <c r="N28" s="225"/>
      <c r="O28" s="225"/>
      <c r="P28" s="225"/>
    </row>
    <row r="29" spans="2:16" ht="20.149999999999999" customHeight="1" x14ac:dyDescent="0.45">
      <c r="B29" s="70"/>
      <c r="C29" s="22"/>
      <c r="D29" s="480"/>
      <c r="E29" s="480"/>
      <c r="F29" s="480"/>
      <c r="G29" s="90"/>
      <c r="H29" s="68"/>
      <c r="I29" s="481"/>
      <c r="J29" s="481"/>
      <c r="K29" s="98"/>
      <c r="L29" s="99"/>
      <c r="M29" s="78"/>
      <c r="N29" s="225"/>
      <c r="O29" s="225"/>
      <c r="P29" s="225"/>
    </row>
    <row r="30" spans="2:16" ht="20.149999999999999" customHeight="1" x14ac:dyDescent="0.45">
      <c r="B30" s="70"/>
      <c r="C30" s="22"/>
      <c r="D30" s="480"/>
      <c r="E30" s="480"/>
      <c r="F30" s="480"/>
      <c r="G30" s="90"/>
      <c r="H30" s="68"/>
      <c r="I30" s="481"/>
      <c r="J30" s="481"/>
      <c r="K30" s="98"/>
      <c r="L30" s="99"/>
      <c r="M30" s="78"/>
      <c r="N30" s="225"/>
      <c r="O30" s="225"/>
      <c r="P30" s="225"/>
    </row>
    <row r="31" spans="2:16" ht="20.149999999999999" customHeight="1" x14ac:dyDescent="0.45">
      <c r="B31" s="70"/>
      <c r="C31" s="22"/>
      <c r="D31" s="480"/>
      <c r="E31" s="480"/>
      <c r="F31" s="480"/>
      <c r="G31" s="90"/>
      <c r="H31" s="68"/>
      <c r="I31" s="481"/>
      <c r="J31" s="481"/>
      <c r="K31" s="98"/>
      <c r="L31" s="99"/>
      <c r="M31" s="78"/>
      <c r="N31" s="225"/>
      <c r="O31" s="225"/>
      <c r="P31" s="225"/>
    </row>
    <row r="32" spans="2:16" ht="20.149999999999999" customHeight="1" x14ac:dyDescent="0.45">
      <c r="B32" s="70"/>
      <c r="C32" s="22"/>
      <c r="D32" s="480"/>
      <c r="E32" s="480"/>
      <c r="F32" s="480"/>
      <c r="G32" s="90"/>
      <c r="H32" s="68"/>
      <c r="I32" s="481"/>
      <c r="J32" s="481"/>
      <c r="K32" s="98"/>
      <c r="L32" s="99"/>
      <c r="M32" s="78"/>
      <c r="N32" s="225"/>
      <c r="O32" s="225"/>
      <c r="P32" s="225"/>
    </row>
    <row r="33" spans="2:17" ht="20.149999999999999" customHeight="1" x14ac:dyDescent="0.45">
      <c r="B33" s="70"/>
      <c r="C33" s="22"/>
      <c r="D33" s="480"/>
      <c r="E33" s="480"/>
      <c r="F33" s="480"/>
      <c r="G33" s="90"/>
      <c r="H33" s="68"/>
      <c r="I33" s="481"/>
      <c r="J33" s="481"/>
      <c r="K33" s="98"/>
      <c r="L33" s="99"/>
      <c r="M33" s="78"/>
      <c r="N33" s="225"/>
      <c r="O33" s="225"/>
      <c r="P33" s="225"/>
    </row>
    <row r="34" spans="2:17" ht="20.149999999999999" customHeight="1" x14ac:dyDescent="0.45">
      <c r="B34" s="186"/>
      <c r="C34" s="156"/>
      <c r="D34" s="490"/>
      <c r="E34" s="490"/>
      <c r="F34" s="490"/>
      <c r="G34" s="134"/>
      <c r="H34" s="189"/>
      <c r="I34" s="491"/>
      <c r="J34" s="491"/>
      <c r="K34" s="128"/>
      <c r="L34" s="137"/>
    </row>
    <row r="35" spans="2:17" ht="20.149999999999999" customHeight="1" x14ac:dyDescent="0.45">
      <c r="B35" s="11" t="s">
        <v>18</v>
      </c>
      <c r="C35" s="7"/>
      <c r="D35" s="7"/>
      <c r="E35" s="7"/>
      <c r="F35" s="7"/>
      <c r="G35" s="7"/>
      <c r="H35" s="7"/>
      <c r="I35" s="7"/>
      <c r="J35" s="484" t="s">
        <v>15</v>
      </c>
      <c r="K35" s="485"/>
      <c r="L35" s="185">
        <f>SUM(L17:L34)</f>
        <v>325</v>
      </c>
      <c r="M35" s="76">
        <v>55</v>
      </c>
      <c r="N35" s="201">
        <f>M35/L35</f>
        <v>0.16923076923076924</v>
      </c>
      <c r="Q35" s="201"/>
    </row>
    <row r="36" spans="2:17" ht="20.149999999999999" customHeight="1" x14ac:dyDescent="0.45">
      <c r="B36" s="11" t="s">
        <v>19</v>
      </c>
      <c r="C36" s="7"/>
      <c r="D36" s="7"/>
      <c r="E36" s="7"/>
      <c r="F36" s="7"/>
      <c r="G36" s="7"/>
      <c r="H36" s="7"/>
      <c r="I36" s="7"/>
      <c r="J36" s="44" t="s">
        <v>22</v>
      </c>
      <c r="K36" s="45"/>
      <c r="L36" s="46">
        <f>L35*K36</f>
        <v>0</v>
      </c>
    </row>
    <row r="37" spans="2:17" ht="20.149999999999999" customHeight="1" x14ac:dyDescent="0.45">
      <c r="B37" s="11" t="s">
        <v>20</v>
      </c>
      <c r="C37" s="7"/>
      <c r="D37" s="7"/>
      <c r="E37" s="7"/>
      <c r="F37" s="7"/>
      <c r="G37" s="7"/>
      <c r="H37" s="7"/>
      <c r="I37" s="7"/>
      <c r="J37" s="486" t="s">
        <v>21</v>
      </c>
      <c r="K37" s="487"/>
      <c r="L37" s="46">
        <f>L35-L36</f>
        <v>325</v>
      </c>
    </row>
    <row r="38" spans="2:17" ht="20.149999999999999" customHeight="1" x14ac:dyDescent="0.45">
      <c r="B38" s="11" t="s">
        <v>24</v>
      </c>
      <c r="C38" s="7"/>
      <c r="D38" s="7"/>
      <c r="E38" s="7"/>
      <c r="F38" s="7"/>
      <c r="G38" s="7"/>
      <c r="H38" s="7"/>
      <c r="I38" s="7"/>
      <c r="J38" s="150" t="s">
        <v>17</v>
      </c>
      <c r="K38" s="151">
        <v>7.0000000000000007E-2</v>
      </c>
      <c r="L38" s="47">
        <f>L37*K38</f>
        <v>22.750000000000004</v>
      </c>
    </row>
    <row r="39" spans="2:17" ht="20.149999999999999" customHeight="1" thickBot="1" x14ac:dyDescent="0.5">
      <c r="B39" s="11" t="s">
        <v>1400</v>
      </c>
      <c r="C39" s="7"/>
      <c r="D39" s="7"/>
      <c r="E39" s="7"/>
      <c r="F39" s="7"/>
      <c r="G39" s="7"/>
      <c r="H39" s="7"/>
      <c r="I39" s="7"/>
      <c r="J39" s="488" t="s">
        <v>23</v>
      </c>
      <c r="K39" s="489"/>
      <c r="L39" s="48">
        <f>L37+L38</f>
        <v>347.75</v>
      </c>
    </row>
    <row r="40" spans="2:17" ht="20.149999999999999" customHeight="1" x14ac:dyDescent="0.45">
      <c r="B40" s="11" t="s">
        <v>26</v>
      </c>
      <c r="C40" s="7"/>
      <c r="D40" s="7"/>
      <c r="E40" s="7"/>
      <c r="F40" s="7"/>
      <c r="G40" s="7"/>
      <c r="H40" s="7"/>
      <c r="I40" s="7"/>
      <c r="L40" s="42"/>
      <c r="N40" s="362">
        <v>44641</v>
      </c>
      <c r="O40" s="24">
        <v>196.3</v>
      </c>
      <c r="P40" s="24">
        <v>40.590000000000003</v>
      </c>
      <c r="Q40" s="201">
        <f>P40/O40</f>
        <v>0.20677534386143659</v>
      </c>
    </row>
    <row r="41" spans="2:17" ht="20.149999999999999" customHeight="1" x14ac:dyDescent="0.45">
      <c r="B41" s="224" t="s">
        <v>1379</v>
      </c>
      <c r="L41" s="42"/>
    </row>
    <row r="42" spans="2:17" ht="20.149999999999999" customHeight="1" x14ac:dyDescent="0.45">
      <c r="B42" s="41"/>
      <c r="L42" s="42"/>
    </row>
    <row r="43" spans="2:17" ht="20.149999999999999" customHeight="1" x14ac:dyDescent="0.45">
      <c r="B43" s="49"/>
      <c r="C43" s="50"/>
      <c r="D43" s="50"/>
      <c r="J43" s="50"/>
      <c r="K43" s="50"/>
      <c r="L43" s="51"/>
    </row>
    <row r="44" spans="2:17" ht="20.149999999999999" customHeight="1" x14ac:dyDescent="0.45">
      <c r="B44" s="41" t="s">
        <v>27</v>
      </c>
      <c r="J44" s="24" t="s">
        <v>28</v>
      </c>
      <c r="L44" s="42"/>
    </row>
    <row r="45" spans="2:17" ht="19" thickBot="1" x14ac:dyDescent="0.5">
      <c r="B45" s="52"/>
      <c r="C45" s="53"/>
      <c r="D45" s="53"/>
      <c r="E45" s="53"/>
      <c r="F45" s="53"/>
      <c r="G45" s="53"/>
      <c r="H45" s="53"/>
      <c r="I45" s="53"/>
      <c r="J45" s="53"/>
      <c r="K45" s="53"/>
      <c r="L45" s="54"/>
    </row>
  </sheetData>
  <mergeCells count="52">
    <mergeCell ref="D33:F33"/>
    <mergeCell ref="I33:J33"/>
    <mergeCell ref="J35:K35"/>
    <mergeCell ref="J37:K37"/>
    <mergeCell ref="J39:K39"/>
    <mergeCell ref="D34:F34"/>
    <mergeCell ref="I34:J34"/>
    <mergeCell ref="D30:F30"/>
    <mergeCell ref="I30:J30"/>
    <mergeCell ref="D31:F31"/>
    <mergeCell ref="I31:J31"/>
    <mergeCell ref="D32:F32"/>
    <mergeCell ref="I32:J32"/>
    <mergeCell ref="D27:F27"/>
    <mergeCell ref="I27:J27"/>
    <mergeCell ref="D28:F28"/>
    <mergeCell ref="I28:J28"/>
    <mergeCell ref="D29:F29"/>
    <mergeCell ref="I29:J29"/>
    <mergeCell ref="D24:F24"/>
    <mergeCell ref="I24:J24"/>
    <mergeCell ref="D25:F25"/>
    <mergeCell ref="I25:J25"/>
    <mergeCell ref="D26:F26"/>
    <mergeCell ref="I26:J26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3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4EFF09-4990-4365-9820-0DC7074E9EC7}">
  <sheetPr>
    <tabColor theme="9" tint="0.39997558519241921"/>
    <pageSetUpPr fitToPage="1"/>
  </sheetPr>
  <dimension ref="B1:P47"/>
  <sheetViews>
    <sheetView topLeftCell="A15" workbookViewId="0">
      <selection activeCell="K18" sqref="K18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8.36328125" style="24" customWidth="1"/>
    <col min="7" max="7" width="8.54296875" style="24" customWidth="1"/>
    <col min="8" max="8" width="15.7265625" style="24" customWidth="1"/>
    <col min="9" max="9" width="0.7265625" style="24" customWidth="1"/>
    <col min="10" max="10" width="20.26953125" style="24" customWidth="1"/>
    <col min="11" max="11" width="10.54296875" style="24" customWidth="1"/>
    <col min="12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2335</v>
      </c>
      <c r="J10" s="29" t="s">
        <v>29</v>
      </c>
      <c r="K10" s="452">
        <v>202209452</v>
      </c>
      <c r="L10" s="453"/>
    </row>
    <row r="11" spans="2:12" ht="20.149999999999999" customHeight="1" x14ac:dyDescent="0.45">
      <c r="B11" s="454" t="s">
        <v>2302</v>
      </c>
      <c r="C11" s="455"/>
      <c r="D11" s="456"/>
      <c r="E11" s="30"/>
      <c r="F11" s="457" t="str">
        <f>VLOOKUP(H10,'Delivery Location'!A$4:N$416,2,0)</f>
        <v xml:space="preserve">R&amp;B Tea Singapore                                                         Millenia Walk, 9 Raffles Blvd,              #01-K15, Singapore 039596         </v>
      </c>
      <c r="G11" s="458"/>
      <c r="H11" s="459"/>
      <c r="J11" s="31" t="s">
        <v>11</v>
      </c>
      <c r="K11" s="466">
        <v>44833</v>
      </c>
      <c r="L11" s="467"/>
    </row>
    <row r="12" spans="2:12" ht="20.149999999999999" customHeight="1" x14ac:dyDescent="0.45">
      <c r="B12" s="468" t="s">
        <v>2303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533</v>
      </c>
      <c r="L12" s="472"/>
    </row>
    <row r="13" spans="2:12" ht="20.149999999999999" customHeight="1" x14ac:dyDescent="0.45">
      <c r="B13" s="468" t="s">
        <v>2024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14</v>
      </c>
      <c r="L13" s="472"/>
    </row>
    <row r="14" spans="2:12" ht="20.149999999999999" customHeight="1" x14ac:dyDescent="0.45">
      <c r="B14" s="468" t="s">
        <v>2025</v>
      </c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463" t="s">
        <v>2026</v>
      </c>
      <c r="C15" s="464"/>
      <c r="D15" s="465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16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16" ht="20.149999999999999" customHeight="1" x14ac:dyDescent="0.45">
      <c r="B18" s="34"/>
      <c r="C18" s="22" t="s">
        <v>2305</v>
      </c>
      <c r="D18" s="508" t="str">
        <f>VLOOKUP(C18,'Sales Master'!B$3:D$499,2,)</f>
        <v>Passion Fruit Puree 百香果浆</v>
      </c>
      <c r="E18" s="508"/>
      <c r="F18" s="508"/>
      <c r="G18" s="90">
        <v>6</v>
      </c>
      <c r="H18" s="389" t="str">
        <f>VLOOKUP(C18,'Sales Master'!$B$3:$F$3247,5,0)</f>
        <v>1 KG/BOX</v>
      </c>
      <c r="I18" s="482" t="str">
        <f>VLOOKUP(C18,'Sales Master'!$B$3:$E$3247,4,0)</f>
        <v>-</v>
      </c>
      <c r="J18" s="482"/>
      <c r="K18" s="35">
        <f>VLOOKUP(C18,'Sales Master'!B$3:AD$498,29,0)</f>
        <v>8.5</v>
      </c>
      <c r="L18" s="77">
        <f>K18*G18</f>
        <v>51</v>
      </c>
      <c r="M18" s="78"/>
      <c r="N18" s="225">
        <f>VLOOKUP(C18,'Sales Master'!$B$3:$DA$3038,104,0)</f>
        <v>4.4000000000000004</v>
      </c>
      <c r="O18" s="225">
        <f>K18-N18</f>
        <v>4.0999999999999996</v>
      </c>
      <c r="P18" s="225">
        <f>O18*G18</f>
        <v>24.599999999999998</v>
      </c>
    </row>
    <row r="19" spans="2:16" ht="20.149999999999999" customHeight="1" x14ac:dyDescent="0.45">
      <c r="B19" s="34"/>
      <c r="C19" s="22"/>
      <c r="D19" s="508"/>
      <c r="E19" s="508"/>
      <c r="F19" s="508"/>
      <c r="G19" s="90"/>
      <c r="H19" s="389"/>
      <c r="I19" s="482"/>
      <c r="J19" s="482"/>
      <c r="K19" s="35"/>
      <c r="L19" s="77"/>
      <c r="M19" s="78"/>
      <c r="N19" s="225"/>
      <c r="O19" s="225"/>
      <c r="P19" s="225"/>
    </row>
    <row r="20" spans="2:16" ht="20.149999999999999" customHeight="1" x14ac:dyDescent="0.45">
      <c r="B20" s="34"/>
      <c r="C20" s="22"/>
      <c r="D20" s="508"/>
      <c r="E20" s="508"/>
      <c r="F20" s="508"/>
      <c r="G20" s="90"/>
      <c r="H20" s="68"/>
      <c r="I20" s="481"/>
      <c r="J20" s="481"/>
      <c r="K20" s="35"/>
      <c r="L20" s="77"/>
      <c r="M20" s="78"/>
      <c r="N20" s="225"/>
      <c r="O20" s="225"/>
      <c r="P20" s="225"/>
    </row>
    <row r="21" spans="2:16" ht="20.149999999999999" customHeight="1" x14ac:dyDescent="0.45">
      <c r="B21" s="34"/>
      <c r="C21" s="22"/>
      <c r="D21" s="508"/>
      <c r="E21" s="508"/>
      <c r="F21" s="508"/>
      <c r="G21" s="90"/>
      <c r="H21" s="68"/>
      <c r="I21" s="481"/>
      <c r="J21" s="481"/>
      <c r="K21" s="35"/>
      <c r="L21" s="77"/>
      <c r="M21" s="78"/>
      <c r="N21" s="225"/>
      <c r="O21" s="225"/>
      <c r="P21" s="225"/>
    </row>
    <row r="22" spans="2:16" ht="20.149999999999999" customHeight="1" x14ac:dyDescent="0.45">
      <c r="B22" s="34"/>
      <c r="C22" s="22"/>
      <c r="D22" s="508"/>
      <c r="E22" s="508"/>
      <c r="F22" s="508"/>
      <c r="G22" s="90"/>
      <c r="H22" s="68"/>
      <c r="I22" s="481"/>
      <c r="J22" s="481"/>
      <c r="K22" s="35"/>
      <c r="L22" s="77"/>
      <c r="M22" s="78"/>
      <c r="N22" s="225"/>
      <c r="O22" s="225"/>
      <c r="P22" s="225"/>
    </row>
    <row r="23" spans="2:16" ht="20.149999999999999" customHeight="1" x14ac:dyDescent="0.45">
      <c r="B23" s="34"/>
      <c r="C23" s="22"/>
      <c r="D23" s="508"/>
      <c r="E23" s="508"/>
      <c r="F23" s="508"/>
      <c r="G23" s="90"/>
      <c r="H23" s="68"/>
      <c r="I23" s="481"/>
      <c r="J23" s="481"/>
      <c r="K23" s="35"/>
      <c r="L23" s="77"/>
      <c r="M23" s="78"/>
      <c r="N23" s="225"/>
      <c r="O23" s="225"/>
      <c r="P23" s="225"/>
    </row>
    <row r="24" spans="2:16" ht="20.149999999999999" customHeight="1" x14ac:dyDescent="0.45">
      <c r="B24" s="34"/>
      <c r="C24" s="22"/>
      <c r="D24" s="508"/>
      <c r="E24" s="508"/>
      <c r="F24" s="508"/>
      <c r="G24" s="90"/>
      <c r="H24" s="68"/>
      <c r="I24" s="481"/>
      <c r="J24" s="481"/>
      <c r="K24" s="35"/>
      <c r="L24" s="77"/>
      <c r="M24" s="78"/>
      <c r="N24" s="225"/>
      <c r="O24" s="225"/>
      <c r="P24" s="225"/>
    </row>
    <row r="25" spans="2:16" ht="20.149999999999999" customHeight="1" x14ac:dyDescent="0.45">
      <c r="B25" s="34"/>
      <c r="C25" s="22"/>
      <c r="D25" s="508"/>
      <c r="E25" s="508"/>
      <c r="F25" s="508"/>
      <c r="G25" s="90"/>
      <c r="H25" s="68"/>
      <c r="I25" s="481"/>
      <c r="J25" s="481"/>
      <c r="K25" s="35"/>
      <c r="L25" s="77"/>
      <c r="M25" s="78"/>
      <c r="N25" s="225"/>
      <c r="O25" s="225"/>
      <c r="P25" s="225"/>
    </row>
    <row r="26" spans="2:16" ht="20.149999999999999" customHeight="1" x14ac:dyDescent="0.45">
      <c r="B26" s="34"/>
      <c r="C26" s="22"/>
      <c r="D26" s="508"/>
      <c r="E26" s="508"/>
      <c r="F26" s="508"/>
      <c r="G26" s="90"/>
      <c r="H26" s="68"/>
      <c r="I26" s="481"/>
      <c r="J26" s="481"/>
      <c r="K26" s="35"/>
      <c r="L26" s="77"/>
      <c r="M26" s="78"/>
      <c r="N26" s="225"/>
      <c r="O26" s="225"/>
      <c r="P26" s="225"/>
    </row>
    <row r="27" spans="2:16" ht="20.149999999999999" customHeight="1" x14ac:dyDescent="0.45">
      <c r="B27" s="34"/>
      <c r="C27" s="22"/>
      <c r="D27" s="508"/>
      <c r="E27" s="508"/>
      <c r="F27" s="508"/>
      <c r="G27" s="90"/>
      <c r="H27" s="68"/>
      <c r="I27" s="481"/>
      <c r="J27" s="481"/>
      <c r="K27" s="35"/>
      <c r="L27" s="77"/>
      <c r="M27" s="78"/>
      <c r="N27" s="225"/>
      <c r="O27" s="225"/>
      <c r="P27" s="225"/>
    </row>
    <row r="28" spans="2:16" ht="20.149999999999999" customHeight="1" x14ac:dyDescent="0.45">
      <c r="B28" s="34"/>
      <c r="C28" s="22"/>
      <c r="D28" s="508"/>
      <c r="E28" s="508"/>
      <c r="F28" s="508"/>
      <c r="G28" s="90"/>
      <c r="H28" s="68"/>
      <c r="I28" s="481"/>
      <c r="J28" s="481"/>
      <c r="K28" s="35"/>
      <c r="L28" s="77"/>
      <c r="M28" s="78"/>
      <c r="N28" s="225"/>
      <c r="O28" s="225"/>
      <c r="P28" s="225"/>
    </row>
    <row r="29" spans="2:16" ht="20.149999999999999" customHeight="1" x14ac:dyDescent="0.45">
      <c r="B29" s="34"/>
      <c r="C29" s="22"/>
      <c r="D29" s="508"/>
      <c r="E29" s="508"/>
      <c r="F29" s="508"/>
      <c r="G29" s="90"/>
      <c r="H29" s="389"/>
      <c r="I29" s="512"/>
      <c r="J29" s="512"/>
      <c r="K29" s="35"/>
      <c r="L29" s="77"/>
      <c r="M29" s="78"/>
      <c r="N29" s="225"/>
      <c r="O29" s="225"/>
      <c r="P29" s="225"/>
    </row>
    <row r="30" spans="2:16" ht="20.149999999999999" customHeight="1" x14ac:dyDescent="0.45">
      <c r="B30" s="34"/>
      <c r="C30" s="22"/>
      <c r="D30" s="508"/>
      <c r="E30" s="508"/>
      <c r="F30" s="508"/>
      <c r="G30" s="90"/>
      <c r="H30" s="389"/>
      <c r="I30" s="512"/>
      <c r="J30" s="512"/>
      <c r="K30" s="35"/>
      <c r="L30" s="77"/>
      <c r="M30" s="78"/>
      <c r="N30" s="225"/>
      <c r="O30" s="225"/>
      <c r="P30" s="225"/>
    </row>
    <row r="31" spans="2:16" ht="20.149999999999999" customHeight="1" x14ac:dyDescent="0.45">
      <c r="B31" s="34"/>
      <c r="C31" s="22"/>
      <c r="D31" s="508"/>
      <c r="E31" s="508"/>
      <c r="F31" s="508"/>
      <c r="G31" s="90"/>
      <c r="H31" s="346"/>
      <c r="I31" s="481"/>
      <c r="J31" s="481"/>
      <c r="K31" s="35"/>
      <c r="L31" s="77"/>
      <c r="M31" s="78"/>
      <c r="N31" s="225"/>
      <c r="O31" s="225"/>
      <c r="P31" s="225"/>
    </row>
    <row r="32" spans="2:16" ht="20.149999999999999" customHeight="1" x14ac:dyDescent="0.45">
      <c r="B32" s="34"/>
      <c r="C32" s="22"/>
      <c r="G32" s="90"/>
      <c r="H32" s="346"/>
      <c r="I32" s="68"/>
      <c r="J32" s="68"/>
      <c r="K32" s="35"/>
      <c r="L32" s="77"/>
      <c r="M32" s="78"/>
      <c r="N32" s="225"/>
      <c r="O32" s="225"/>
      <c r="P32" s="225"/>
    </row>
    <row r="33" spans="2:14" ht="20.149999999999999" customHeight="1" thickBot="1" x14ac:dyDescent="0.5">
      <c r="B33" s="37"/>
      <c r="C33" s="38"/>
      <c r="D33" s="509"/>
      <c r="E33" s="509"/>
      <c r="F33" s="509"/>
      <c r="G33" s="38"/>
      <c r="H33" s="69"/>
      <c r="I33" s="451"/>
      <c r="J33" s="451"/>
      <c r="K33" s="39"/>
      <c r="L33" s="40"/>
    </row>
    <row r="34" spans="2:14" ht="20.149999999999999" customHeight="1" thickBot="1" x14ac:dyDescent="0.5">
      <c r="B34" s="41"/>
      <c r="L34" s="42"/>
    </row>
    <row r="35" spans="2:14" ht="20.149999999999999" customHeight="1" x14ac:dyDescent="0.45">
      <c r="B35" s="11" t="s">
        <v>18</v>
      </c>
      <c r="C35" s="7"/>
      <c r="D35" s="7"/>
      <c r="E35" s="7"/>
      <c r="F35" s="7"/>
      <c r="G35" s="7"/>
      <c r="H35" s="7"/>
      <c r="I35" s="7"/>
      <c r="J35" s="510" t="s">
        <v>15</v>
      </c>
      <c r="K35" s="511"/>
      <c r="L35" s="43">
        <f>SUM(L14:L31)</f>
        <v>51</v>
      </c>
      <c r="M35" s="76">
        <f>SUM(P18:P31)</f>
        <v>24.599999999999998</v>
      </c>
      <c r="N35" s="201">
        <f>M35/L35</f>
        <v>0.48235294117647054</v>
      </c>
    </row>
    <row r="36" spans="2:14" ht="20.149999999999999" customHeight="1" x14ac:dyDescent="0.45">
      <c r="B36" s="11" t="s">
        <v>19</v>
      </c>
      <c r="C36" s="7"/>
      <c r="D36" s="7"/>
      <c r="E36" s="7"/>
      <c r="F36" s="7"/>
      <c r="G36" s="7"/>
      <c r="H36" s="7"/>
      <c r="I36" s="7"/>
      <c r="J36" s="44" t="s">
        <v>22</v>
      </c>
      <c r="K36" s="45"/>
      <c r="L36" s="46">
        <f>L35*K36</f>
        <v>0</v>
      </c>
    </row>
    <row r="37" spans="2:14" ht="20.149999999999999" customHeight="1" x14ac:dyDescent="0.45">
      <c r="B37" s="11" t="s">
        <v>20</v>
      </c>
      <c r="C37" s="7"/>
      <c r="D37" s="7"/>
      <c r="E37" s="7"/>
      <c r="F37" s="7"/>
      <c r="G37" s="7"/>
      <c r="H37" s="7"/>
      <c r="I37" s="7"/>
      <c r="J37" s="486" t="s">
        <v>21</v>
      </c>
      <c r="K37" s="487"/>
      <c r="L37" s="46">
        <f>L35-L36</f>
        <v>51</v>
      </c>
    </row>
    <row r="38" spans="2:14" ht="20.149999999999999" customHeight="1" x14ac:dyDescent="0.45">
      <c r="B38" s="11" t="s">
        <v>24</v>
      </c>
      <c r="C38" s="7"/>
      <c r="D38" s="7"/>
      <c r="E38" s="7"/>
      <c r="F38" s="7"/>
      <c r="G38" s="7"/>
      <c r="H38" s="7"/>
      <c r="I38" s="7"/>
      <c r="J38" s="150" t="s">
        <v>17</v>
      </c>
      <c r="K38" s="151">
        <v>7.0000000000000007E-2</v>
      </c>
      <c r="L38" s="47">
        <f>L37*K38</f>
        <v>3.5700000000000003</v>
      </c>
    </row>
    <row r="39" spans="2:14" ht="20.149999999999999" customHeight="1" thickBot="1" x14ac:dyDescent="0.5">
      <c r="B39" s="11" t="s">
        <v>25</v>
      </c>
      <c r="C39" s="7"/>
      <c r="D39" s="7"/>
      <c r="E39" s="7"/>
      <c r="F39" s="7"/>
      <c r="G39" s="7"/>
      <c r="H39" s="7"/>
      <c r="I39" s="7"/>
      <c r="J39" s="488" t="s">
        <v>23</v>
      </c>
      <c r="K39" s="489"/>
      <c r="L39" s="48">
        <f>L37+L38</f>
        <v>54.57</v>
      </c>
    </row>
    <row r="40" spans="2:14" ht="20.149999999999999" customHeight="1" x14ac:dyDescent="0.45">
      <c r="B40" s="11" t="s">
        <v>26</v>
      </c>
      <c r="C40" s="7"/>
      <c r="D40" s="7"/>
      <c r="E40" s="7"/>
      <c r="F40" s="7"/>
      <c r="G40" s="7"/>
      <c r="H40" s="7"/>
      <c r="I40" s="7"/>
      <c r="L40" s="42"/>
    </row>
    <row r="41" spans="2:14" ht="20.149999999999999" customHeight="1" x14ac:dyDescent="0.45">
      <c r="B41" s="41"/>
      <c r="L41" s="42"/>
    </row>
    <row r="42" spans="2:14" x14ac:dyDescent="0.45">
      <c r="B42" s="41"/>
      <c r="L42" s="42"/>
    </row>
    <row r="43" spans="2:14" ht="20.149999999999999" customHeight="1" x14ac:dyDescent="0.45">
      <c r="B43" s="41"/>
      <c r="L43" s="42"/>
    </row>
    <row r="44" spans="2:14" ht="20.149999999999999" customHeight="1" x14ac:dyDescent="0.45">
      <c r="B44" s="41"/>
      <c r="L44" s="42"/>
    </row>
    <row r="45" spans="2:14" x14ac:dyDescent="0.45">
      <c r="B45" s="49"/>
      <c r="C45" s="50"/>
      <c r="D45" s="50"/>
      <c r="J45" s="50"/>
      <c r="K45" s="50"/>
      <c r="L45" s="51"/>
    </row>
    <row r="46" spans="2:14" ht="20.149999999999999" customHeight="1" x14ac:dyDescent="0.45">
      <c r="B46" s="41" t="s">
        <v>27</v>
      </c>
      <c r="J46" s="24" t="s">
        <v>28</v>
      </c>
      <c r="L46" s="42"/>
    </row>
    <row r="47" spans="2:14" ht="19" thickBot="1" x14ac:dyDescent="0.5">
      <c r="B47" s="52"/>
      <c r="C47" s="53"/>
      <c r="D47" s="53"/>
      <c r="E47" s="53"/>
      <c r="F47" s="53"/>
      <c r="G47" s="53"/>
      <c r="H47" s="53"/>
      <c r="I47" s="53"/>
      <c r="J47" s="53"/>
      <c r="K47" s="53"/>
      <c r="L47" s="54"/>
    </row>
  </sheetData>
  <mergeCells count="48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D28:F28"/>
    <mergeCell ref="I28:J28"/>
    <mergeCell ref="D29:F29"/>
    <mergeCell ref="I29:J29"/>
    <mergeCell ref="J35:K35"/>
    <mergeCell ref="J37:K37"/>
    <mergeCell ref="J39:K39"/>
    <mergeCell ref="D30:F30"/>
    <mergeCell ref="I30:J30"/>
    <mergeCell ref="D31:F31"/>
    <mergeCell ref="I31:J31"/>
    <mergeCell ref="D33:F33"/>
    <mergeCell ref="I33:J33"/>
  </mergeCells>
  <pageMargins left="0.70866141732283505" right="0.31496062992126" top="0.59055118110236204" bottom="0" header="0.31496062992126" footer="0.31496062992126"/>
  <pageSetup paperSize="9" scale="74" orientation="portrait" horizontalDpi="300" verticalDpi="300" r:id="rId1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78B7A7-19A4-4647-BD77-80CB98B0DB4E}">
  <sheetPr codeName="Sheet92">
    <tabColor rgb="FF92D050"/>
    <pageSetUpPr fitToPage="1"/>
  </sheetPr>
  <dimension ref="B1:P46"/>
  <sheetViews>
    <sheetView workbookViewId="0">
      <selection activeCell="I13" sqref="I13"/>
    </sheetView>
  </sheetViews>
  <sheetFormatPr defaultColWidth="12.54296875" defaultRowHeight="18.5" x14ac:dyDescent="0.45"/>
  <cols>
    <col min="1" max="1" width="12.54296875" style="24"/>
    <col min="2" max="3" width="12.54296875" style="24" customWidth="1"/>
    <col min="4" max="4" width="13.81640625" style="24" customWidth="1"/>
    <col min="5" max="5" width="1.54296875" style="24" customWidth="1"/>
    <col min="6" max="6" width="15.54296875" style="24" customWidth="1"/>
    <col min="7" max="7" width="8.54296875" style="24" customWidth="1"/>
    <col min="8" max="8" width="15.54296875" style="24" customWidth="1"/>
    <col min="9" max="9" width="2.54296875" style="24" customWidth="1"/>
    <col min="10" max="10" width="15.54296875" style="24" customWidth="1"/>
    <col min="11" max="11" width="10.54296875" style="24" customWidth="1"/>
    <col min="12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264</v>
      </c>
      <c r="J10" s="29" t="s">
        <v>29</v>
      </c>
      <c r="K10" s="452">
        <v>202210004</v>
      </c>
      <c r="L10" s="453"/>
    </row>
    <row r="11" spans="2:12" ht="20.149999999999999" customHeight="1" x14ac:dyDescent="0.45">
      <c r="B11" s="454" t="s">
        <v>2037</v>
      </c>
      <c r="C11" s="455"/>
      <c r="D11" s="456"/>
      <c r="E11" s="30"/>
      <c r="F11" s="457" t="str">
        <f>VLOOKUP(H10,'Delivery Location'!A$4:N$416,2,0)</f>
        <v>WaterWay Point                                            83 Punggol Central #02-20/21 Singapore 828761                               (Dessert)</v>
      </c>
      <c r="G11" s="458"/>
      <c r="H11" s="459"/>
      <c r="J11" s="31" t="s">
        <v>11</v>
      </c>
      <c r="K11" s="466">
        <v>44835</v>
      </c>
      <c r="L11" s="467"/>
    </row>
    <row r="12" spans="2:12" ht="20.149999999999999" customHeight="1" x14ac:dyDescent="0.45">
      <c r="B12" s="468" t="s">
        <v>2139</v>
      </c>
      <c r="C12" s="469"/>
      <c r="D12" s="470"/>
      <c r="E12" s="30"/>
      <c r="F12" s="460"/>
      <c r="G12" s="461"/>
      <c r="H12" s="462"/>
      <c r="J12" s="31" t="s">
        <v>171</v>
      </c>
      <c r="K12" s="551" t="s">
        <v>36</v>
      </c>
      <c r="L12" s="472"/>
    </row>
    <row r="13" spans="2:12" ht="20.149999999999999" customHeight="1" x14ac:dyDescent="0.45">
      <c r="B13" s="468" t="s">
        <v>2024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14</v>
      </c>
      <c r="L13" s="472"/>
    </row>
    <row r="14" spans="2:12" ht="20.149999999999999" customHeight="1" x14ac:dyDescent="0.45">
      <c r="B14" s="468" t="s">
        <v>2025</v>
      </c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463" t="s">
        <v>2026</v>
      </c>
      <c r="C15" s="464"/>
      <c r="D15" s="465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16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410" t="s">
        <v>31</v>
      </c>
      <c r="I17" s="478" t="s">
        <v>60</v>
      </c>
      <c r="J17" s="479"/>
      <c r="K17" s="10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16" ht="20.149999999999999" customHeight="1" x14ac:dyDescent="0.45">
      <c r="B18" s="34"/>
      <c r="C18" s="22" t="s">
        <v>1498</v>
      </c>
      <c r="D18" s="558" t="str">
        <f>VLOOKUP(C18,'Sales Master'!B$3:D$499,2,)</f>
        <v>Jelly Powder "文头雪粉" (CARRAGEENAN)</v>
      </c>
      <c r="E18" s="558"/>
      <c r="F18" s="558"/>
      <c r="G18" s="22">
        <v>1</v>
      </c>
      <c r="H18" s="391" t="str">
        <f>VLOOKUP(C18,'Sales Master'!$B$3:$F$3179,5,0)</f>
        <v>42gm x 10PKT/Bag</v>
      </c>
      <c r="I18" s="482" t="str">
        <f>VLOOKUP(C18,'Sales Master'!$B$3:$E$3179,4,0)</f>
        <v>500/4000</v>
      </c>
      <c r="J18" s="482"/>
      <c r="K18" s="35">
        <f>VLOOKUP(C18,'Sales Master'!B$3:AO$499,40,0)</f>
        <v>28</v>
      </c>
      <c r="L18" s="77">
        <f>K18*G18</f>
        <v>28</v>
      </c>
      <c r="M18" s="78"/>
      <c r="N18" s="225">
        <f>VLOOKUP(C18,'Sales Master'!$B$3:$DA$3038,104,0)</f>
        <v>10.5</v>
      </c>
      <c r="O18" s="225">
        <f>K18-N18</f>
        <v>17.5</v>
      </c>
      <c r="P18" s="225">
        <f>O18*G18</f>
        <v>17.5</v>
      </c>
    </row>
    <row r="19" spans="2:16" ht="20.149999999999999" customHeight="1" x14ac:dyDescent="0.45">
      <c r="B19" s="34"/>
      <c r="C19" s="22" t="s">
        <v>1532</v>
      </c>
      <c r="D19" s="508" t="str">
        <f>VLOOKUP(C19,'Sales Master'!B$3:D$499,2,)</f>
        <v>Sweet Potato Powder番薯粉</v>
      </c>
      <c r="E19" s="508"/>
      <c r="F19" s="508"/>
      <c r="G19" s="22">
        <v>1</v>
      </c>
      <c r="H19" s="391" t="str">
        <f>VLOOKUP(C19,'Sales Master'!$B$3:$F$3179,5,0)</f>
        <v>(500gm x 20Pkt)包</v>
      </c>
      <c r="I19" s="482" t="str">
        <f>VLOOKUP(C19,'Sales Master'!$B$3:$E$3179,4,0)</f>
        <v>RE-PACK</v>
      </c>
      <c r="J19" s="482"/>
      <c r="K19" s="35">
        <f>VLOOKUP(C19,'Sales Master'!B$3:AO$499,40,0)</f>
        <v>32</v>
      </c>
      <c r="L19" s="77">
        <f t="shared" ref="L19" si="0">K19*G19</f>
        <v>32</v>
      </c>
      <c r="M19" s="78"/>
      <c r="N19" s="225">
        <f>VLOOKUP(C19,'Sales Master'!$B$3:$DA$3038,104,0)</f>
        <v>24.8</v>
      </c>
      <c r="O19" s="225">
        <f t="shared" ref="O19" si="1">K19-N19</f>
        <v>7.1999999999999993</v>
      </c>
      <c r="P19" s="225">
        <f t="shared" ref="P19" si="2">O19*G19</f>
        <v>7.1999999999999993</v>
      </c>
    </row>
    <row r="20" spans="2:16" ht="20.149999999999999" customHeight="1" x14ac:dyDescent="0.45">
      <c r="B20" s="34"/>
      <c r="C20" s="22" t="s">
        <v>1736</v>
      </c>
      <c r="D20" s="508" t="str">
        <f>VLOOKUP(C20,'Sales Master'!B$3:D$499,2,)</f>
        <v>Coconut Milk 椰浆</v>
      </c>
      <c r="E20" s="508"/>
      <c r="F20" s="508"/>
      <c r="G20" s="22">
        <v>2</v>
      </c>
      <c r="H20" s="389" t="str">
        <f>VLOOKUP(C20,'Sales Master'!$B$3:$F$3179,5,0)</f>
        <v>(1L x 12bag)/箱</v>
      </c>
      <c r="I20" s="482" t="str">
        <f>VLOOKUP(C20,'Sales Master'!$B$3:$E$3179,4,0)</f>
        <v>Kara UHT</v>
      </c>
      <c r="J20" s="482"/>
      <c r="K20" s="35">
        <f>VLOOKUP(C20,'Sales Master'!B$3:AO$499,40,0)</f>
        <v>42</v>
      </c>
      <c r="L20" s="77">
        <f t="shared" ref="L20" si="3">K20*G20</f>
        <v>84</v>
      </c>
      <c r="M20" s="78"/>
      <c r="N20" s="225">
        <f>VLOOKUP(C20,'Sales Master'!$B$3:$DA$3038,104,0)</f>
        <v>35.5</v>
      </c>
      <c r="O20" s="225">
        <f t="shared" ref="O20" si="4">K20-N20</f>
        <v>6.5</v>
      </c>
      <c r="P20" s="225">
        <f t="shared" ref="P20" si="5">O20*G20</f>
        <v>13</v>
      </c>
    </row>
    <row r="21" spans="2:16" ht="20.149999999999999" customHeight="1" x14ac:dyDescent="0.45">
      <c r="B21" s="34"/>
      <c r="C21" s="22"/>
      <c r="D21" s="508"/>
      <c r="E21" s="508"/>
      <c r="F21" s="508"/>
      <c r="G21" s="22"/>
      <c r="H21" s="68"/>
      <c r="I21" s="481"/>
      <c r="J21" s="481"/>
      <c r="K21" s="35"/>
      <c r="L21" s="77"/>
      <c r="M21" s="78"/>
      <c r="N21" s="225"/>
      <c r="O21" s="225"/>
      <c r="P21" s="225"/>
    </row>
    <row r="22" spans="2:16" ht="20.149999999999999" customHeight="1" x14ac:dyDescent="0.45">
      <c r="B22" s="34"/>
      <c r="C22" s="22"/>
      <c r="D22" s="508"/>
      <c r="E22" s="508"/>
      <c r="F22" s="508"/>
      <c r="G22" s="22"/>
      <c r="H22" s="68"/>
      <c r="I22" s="481"/>
      <c r="J22" s="481"/>
      <c r="K22" s="35"/>
      <c r="L22" s="77"/>
      <c r="M22" s="78"/>
      <c r="N22" s="225"/>
      <c r="O22" s="225"/>
      <c r="P22" s="225"/>
    </row>
    <row r="23" spans="2:16" ht="20.149999999999999" customHeight="1" x14ac:dyDescent="0.45">
      <c r="B23" s="34"/>
      <c r="C23" s="22"/>
      <c r="D23" s="508"/>
      <c r="E23" s="508"/>
      <c r="F23" s="508"/>
      <c r="G23" s="22"/>
      <c r="H23" s="68"/>
      <c r="I23" s="481"/>
      <c r="J23" s="481"/>
      <c r="K23" s="35"/>
      <c r="L23" s="77"/>
      <c r="M23" s="78"/>
      <c r="N23" s="225"/>
      <c r="O23" s="225"/>
      <c r="P23" s="225"/>
    </row>
    <row r="24" spans="2:16" ht="20.149999999999999" customHeight="1" x14ac:dyDescent="0.45">
      <c r="B24" s="34"/>
      <c r="C24" s="22"/>
      <c r="D24" s="508"/>
      <c r="E24" s="508"/>
      <c r="F24" s="508"/>
      <c r="G24" s="22"/>
      <c r="H24" s="68"/>
      <c r="I24" s="481"/>
      <c r="J24" s="481"/>
      <c r="K24" s="35"/>
      <c r="L24" s="77"/>
      <c r="M24" s="78"/>
      <c r="N24" s="225"/>
      <c r="O24" s="225"/>
      <c r="P24" s="225"/>
    </row>
    <row r="25" spans="2:16" ht="20.149999999999999" customHeight="1" x14ac:dyDescent="0.45">
      <c r="B25" s="34"/>
      <c r="C25" s="22"/>
      <c r="D25" s="508"/>
      <c r="E25" s="508"/>
      <c r="F25" s="508"/>
      <c r="G25" s="22"/>
      <c r="H25" s="68"/>
      <c r="I25" s="481"/>
      <c r="J25" s="481"/>
      <c r="K25" s="35"/>
      <c r="L25" s="77"/>
      <c r="M25" s="78"/>
      <c r="N25" s="225"/>
      <c r="O25" s="225"/>
      <c r="P25" s="225"/>
    </row>
    <row r="26" spans="2:16" ht="20.149999999999999" customHeight="1" x14ac:dyDescent="0.45">
      <c r="B26" s="34"/>
      <c r="C26" s="22"/>
      <c r="D26" s="508"/>
      <c r="E26" s="508"/>
      <c r="F26" s="508"/>
      <c r="G26" s="22"/>
      <c r="H26" s="68"/>
      <c r="I26" s="481"/>
      <c r="J26" s="481"/>
      <c r="K26" s="35"/>
      <c r="L26" s="77"/>
      <c r="M26" s="78"/>
      <c r="N26" s="225"/>
      <c r="O26" s="225"/>
      <c r="P26" s="225"/>
    </row>
    <row r="27" spans="2:16" ht="20.149999999999999" customHeight="1" x14ac:dyDescent="0.45">
      <c r="B27" s="34"/>
      <c r="C27" s="22"/>
      <c r="D27" s="508"/>
      <c r="E27" s="508"/>
      <c r="F27" s="508"/>
      <c r="G27" s="22"/>
      <c r="H27" s="68"/>
      <c r="I27" s="481"/>
      <c r="J27" s="481"/>
      <c r="K27" s="35"/>
      <c r="L27" s="77"/>
      <c r="M27" s="78"/>
      <c r="N27" s="225"/>
      <c r="O27" s="225"/>
      <c r="P27" s="225"/>
    </row>
    <row r="28" spans="2:16" ht="20.149999999999999" customHeight="1" x14ac:dyDescent="0.45">
      <c r="B28" s="34"/>
      <c r="C28" s="22"/>
      <c r="G28" s="22"/>
      <c r="H28" s="68"/>
      <c r="I28" s="68"/>
      <c r="J28" s="68"/>
      <c r="K28" s="35"/>
      <c r="L28" s="77"/>
      <c r="M28" s="78"/>
    </row>
    <row r="29" spans="2:16" ht="20.149999999999999" customHeight="1" x14ac:dyDescent="0.45">
      <c r="B29" s="34"/>
      <c r="C29" s="22"/>
      <c r="G29" s="22"/>
      <c r="H29" s="68"/>
      <c r="I29" s="68"/>
      <c r="J29" s="68"/>
      <c r="K29" s="35"/>
      <c r="L29" s="77"/>
      <c r="M29" s="78"/>
    </row>
    <row r="30" spans="2:16" ht="20.149999999999999" customHeight="1" x14ac:dyDescent="0.45">
      <c r="B30" s="34"/>
      <c r="C30" s="22"/>
      <c r="G30" s="22"/>
      <c r="H30" s="68"/>
      <c r="I30" s="68"/>
      <c r="J30" s="68"/>
      <c r="K30" s="35"/>
      <c r="L30" s="77"/>
      <c r="M30" s="78"/>
    </row>
    <row r="31" spans="2:16" ht="20.149999999999999" customHeight="1" thickBot="1" x14ac:dyDescent="0.5">
      <c r="B31" s="37"/>
      <c r="C31" s="38"/>
      <c r="D31" s="509"/>
      <c r="E31" s="509"/>
      <c r="F31" s="509"/>
      <c r="G31" s="38"/>
      <c r="H31" s="69"/>
      <c r="I31" s="451"/>
      <c r="J31" s="451"/>
      <c r="K31" s="39"/>
      <c r="L31" s="40"/>
    </row>
    <row r="32" spans="2:16" ht="20.149999999999999" customHeight="1" thickBot="1" x14ac:dyDescent="0.5">
      <c r="B32" s="41"/>
      <c r="L32" s="42"/>
    </row>
    <row r="33" spans="2:14" ht="20.149999999999999" customHeight="1" x14ac:dyDescent="0.45">
      <c r="B33" s="11" t="s">
        <v>18</v>
      </c>
      <c r="D33" s="7"/>
      <c r="E33" s="7"/>
      <c r="F33" s="7"/>
      <c r="G33" s="7"/>
      <c r="H33" s="7"/>
      <c r="I33" s="7"/>
      <c r="J33" s="510" t="s">
        <v>15</v>
      </c>
      <c r="K33" s="511"/>
      <c r="L33" s="43">
        <f>SUM(L17:L32)</f>
        <v>144</v>
      </c>
      <c r="M33" s="76">
        <f>SUM(P18:P27)-L33*0.02</f>
        <v>34.82</v>
      </c>
      <c r="N33" s="201">
        <f>M33/L33</f>
        <v>0.24180555555555555</v>
      </c>
    </row>
    <row r="34" spans="2:14" ht="20.149999999999999" customHeight="1" x14ac:dyDescent="0.45">
      <c r="B34" s="11" t="s">
        <v>19</v>
      </c>
      <c r="C34" s="7"/>
      <c r="D34" s="7"/>
      <c r="E34" s="7"/>
      <c r="F34" s="7"/>
      <c r="G34" s="7"/>
      <c r="H34" s="7"/>
      <c r="I34" s="7"/>
      <c r="J34" s="44" t="s">
        <v>22</v>
      </c>
      <c r="K34" s="45"/>
      <c r="L34" s="46">
        <f>L33*K34</f>
        <v>0</v>
      </c>
    </row>
    <row r="35" spans="2:14" ht="20.149999999999999" customHeight="1" x14ac:dyDescent="0.45">
      <c r="B35" s="11" t="s">
        <v>20</v>
      </c>
      <c r="C35" s="7"/>
      <c r="D35" s="7"/>
      <c r="E35" s="7"/>
      <c r="F35" s="7"/>
      <c r="G35" s="7"/>
      <c r="H35" s="7"/>
      <c r="I35" s="7"/>
      <c r="J35" s="486" t="s">
        <v>21</v>
      </c>
      <c r="K35" s="487"/>
      <c r="L35" s="46">
        <f>L33-L34</f>
        <v>144</v>
      </c>
    </row>
    <row r="36" spans="2:14" ht="20.149999999999999" customHeight="1" x14ac:dyDescent="0.45">
      <c r="B36" s="11" t="s">
        <v>24</v>
      </c>
      <c r="C36" s="7"/>
      <c r="D36" s="7"/>
      <c r="E36" s="7"/>
      <c r="F36" s="7"/>
      <c r="G36" s="7"/>
      <c r="H36" s="7"/>
      <c r="I36" s="7"/>
      <c r="J36" s="150" t="s">
        <v>17</v>
      </c>
      <c r="K36" s="151">
        <v>7.0000000000000007E-2</v>
      </c>
      <c r="L36" s="47">
        <f>L35*K36</f>
        <v>10.080000000000002</v>
      </c>
    </row>
    <row r="37" spans="2:14" ht="20.149999999999999" customHeight="1" thickBot="1" x14ac:dyDescent="0.5">
      <c r="B37" s="11" t="s">
        <v>1400</v>
      </c>
      <c r="C37" s="7"/>
      <c r="D37" s="7"/>
      <c r="E37" s="7"/>
      <c r="F37" s="7"/>
      <c r="G37" s="7"/>
      <c r="H37" s="7"/>
      <c r="I37" s="7"/>
      <c r="J37" s="488" t="s">
        <v>23</v>
      </c>
      <c r="K37" s="489"/>
      <c r="L37" s="48">
        <f>L35+L36</f>
        <v>154.08000000000001</v>
      </c>
    </row>
    <row r="38" spans="2:14" ht="20.149999999999999" customHeight="1" x14ac:dyDescent="0.45">
      <c r="B38" s="11" t="s">
        <v>26</v>
      </c>
      <c r="C38" s="7"/>
      <c r="D38" s="7"/>
      <c r="E38" s="7"/>
      <c r="F38" s="7"/>
      <c r="G38" s="7"/>
      <c r="H38" s="7"/>
      <c r="I38" s="7"/>
      <c r="L38" s="42"/>
    </row>
    <row r="39" spans="2:14" ht="20.149999999999999" customHeight="1" x14ac:dyDescent="0.45">
      <c r="B39" s="224" t="s">
        <v>1379</v>
      </c>
      <c r="C39" s="7"/>
      <c r="L39" s="42"/>
    </row>
    <row r="40" spans="2:14" ht="20.149999999999999" customHeight="1" x14ac:dyDescent="0.45">
      <c r="B40" s="41"/>
      <c r="L40" s="42"/>
    </row>
    <row r="41" spans="2:14" ht="20.149999999999999" customHeight="1" x14ac:dyDescent="0.45">
      <c r="B41" s="41"/>
      <c r="L41" s="42"/>
    </row>
    <row r="42" spans="2:14" ht="20.149999999999999" customHeight="1" x14ac:dyDescent="0.45">
      <c r="B42" s="41"/>
      <c r="L42" s="42"/>
    </row>
    <row r="43" spans="2:14" ht="20.149999999999999" customHeight="1" x14ac:dyDescent="0.45">
      <c r="B43" s="49"/>
      <c r="C43" s="50"/>
      <c r="D43" s="50"/>
      <c r="J43" s="50"/>
      <c r="K43" s="50"/>
      <c r="L43" s="51"/>
    </row>
    <row r="44" spans="2:14" ht="20.149999999999999" customHeight="1" x14ac:dyDescent="0.45">
      <c r="B44" s="41" t="s">
        <v>27</v>
      </c>
      <c r="C44" s="50"/>
      <c r="J44" s="24" t="s">
        <v>28</v>
      </c>
      <c r="L44" s="42"/>
    </row>
    <row r="45" spans="2:14" ht="19" thickBot="1" x14ac:dyDescent="0.5">
      <c r="B45" s="52"/>
      <c r="C45" s="194"/>
      <c r="D45" s="53"/>
      <c r="E45" s="53"/>
      <c r="F45" s="53"/>
      <c r="G45" s="53"/>
      <c r="H45" s="53"/>
      <c r="I45" s="53"/>
      <c r="J45" s="53"/>
      <c r="K45" s="53"/>
      <c r="L45" s="54"/>
    </row>
    <row r="46" spans="2:14" ht="19" thickBot="1" x14ac:dyDescent="0.5">
      <c r="C46" s="53"/>
    </row>
  </sheetData>
  <mergeCells count="40">
    <mergeCell ref="I20:J20"/>
    <mergeCell ref="D25:F25"/>
    <mergeCell ref="D24:F24"/>
    <mergeCell ref="I24:J24"/>
    <mergeCell ref="D18:F18"/>
    <mergeCell ref="D19:F19"/>
    <mergeCell ref="D20:F20"/>
    <mergeCell ref="I23:J23"/>
    <mergeCell ref="D21:F21"/>
    <mergeCell ref="B1:L8"/>
    <mergeCell ref="D17:F17"/>
    <mergeCell ref="I17:J17"/>
    <mergeCell ref="K10:L10"/>
    <mergeCell ref="B11:D11"/>
    <mergeCell ref="F11:H15"/>
    <mergeCell ref="K11:L11"/>
    <mergeCell ref="B12:D12"/>
    <mergeCell ref="K15:L15"/>
    <mergeCell ref="K12:L12"/>
    <mergeCell ref="B13:D13"/>
    <mergeCell ref="K13:L13"/>
    <mergeCell ref="B14:D14"/>
    <mergeCell ref="K14:L14"/>
    <mergeCell ref="B15:D15"/>
    <mergeCell ref="J37:K37"/>
    <mergeCell ref="I18:J18"/>
    <mergeCell ref="D22:F22"/>
    <mergeCell ref="I22:J22"/>
    <mergeCell ref="I19:J19"/>
    <mergeCell ref="D31:F31"/>
    <mergeCell ref="J33:K33"/>
    <mergeCell ref="J35:K35"/>
    <mergeCell ref="I31:J31"/>
    <mergeCell ref="D26:F26"/>
    <mergeCell ref="D27:F27"/>
    <mergeCell ref="I26:J26"/>
    <mergeCell ref="I27:J27"/>
    <mergeCell ref="I25:J25"/>
    <mergeCell ref="I21:J21"/>
    <mergeCell ref="D23:F23"/>
  </mergeCells>
  <pageMargins left="0.70866141732283472" right="0.31496062992125984" top="0.59055118110236227" bottom="0" header="0.31496062992125984" footer="0.31496062992125984"/>
  <pageSetup paperSize="9" scale="77" orientation="portrait" horizontalDpi="300" verticalDpi="300" r:id="rId1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1410C-CC6F-41D8-BBD7-33EEA45CA281}">
  <sheetPr codeName="Sheet93">
    <tabColor rgb="FF92D050"/>
    <pageSetUpPr fitToPage="1"/>
  </sheetPr>
  <dimension ref="B1:P51"/>
  <sheetViews>
    <sheetView workbookViewId="0">
      <selection activeCell="B1" sqref="B1:L51"/>
    </sheetView>
  </sheetViews>
  <sheetFormatPr defaultColWidth="12.54296875" defaultRowHeight="18.5" x14ac:dyDescent="0.45"/>
  <cols>
    <col min="1" max="1" width="12.54296875" style="24"/>
    <col min="2" max="3" width="12.54296875" style="24" customWidth="1"/>
    <col min="4" max="4" width="13.81640625" style="24" customWidth="1"/>
    <col min="5" max="5" width="1.54296875" style="24" customWidth="1"/>
    <col min="6" max="6" width="15.54296875" style="24" customWidth="1"/>
    <col min="7" max="7" width="8.54296875" style="24" customWidth="1"/>
    <col min="8" max="8" width="15.54296875" style="24" customWidth="1"/>
    <col min="9" max="9" width="2.54296875" style="24" customWidth="1"/>
    <col min="10" max="10" width="15.54296875" style="24" customWidth="1"/>
    <col min="11" max="11" width="10.54296875" style="24" customWidth="1"/>
    <col min="12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1010</v>
      </c>
      <c r="J10" s="29" t="s">
        <v>29</v>
      </c>
      <c r="K10" s="593">
        <v>202003454</v>
      </c>
      <c r="L10" s="594"/>
    </row>
    <row r="11" spans="2:12" ht="20.149999999999999" customHeight="1" x14ac:dyDescent="0.45">
      <c r="B11" s="454" t="s">
        <v>2022</v>
      </c>
      <c r="C11" s="455"/>
      <c r="D11" s="456"/>
      <c r="E11" s="30"/>
      <c r="F11" s="457" t="str">
        <f>VLOOKUP(H10,'Delivery Location'!A$4:N$416,2,0)</f>
        <v>WaterWay Point                                            83 Punggol Central #02-20/21 Singapore 828761                               (DRINK STALL)</v>
      </c>
      <c r="G11" s="458"/>
      <c r="H11" s="459"/>
      <c r="J11" s="31" t="s">
        <v>11</v>
      </c>
      <c r="K11" s="551" t="s">
        <v>1009</v>
      </c>
      <c r="L11" s="472"/>
    </row>
    <row r="12" spans="2:12" ht="20.149999999999999" customHeight="1" x14ac:dyDescent="0.45">
      <c r="B12" s="468" t="s">
        <v>2139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533</v>
      </c>
      <c r="L12" s="472"/>
    </row>
    <row r="13" spans="2:12" ht="20.149999999999999" customHeight="1" x14ac:dyDescent="0.45">
      <c r="B13" s="468" t="s">
        <v>2024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14</v>
      </c>
      <c r="L13" s="472"/>
    </row>
    <row r="14" spans="2:12" ht="20.149999999999999" customHeight="1" x14ac:dyDescent="0.45">
      <c r="B14" s="468" t="s">
        <v>2025</v>
      </c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463" t="s">
        <v>2026</v>
      </c>
      <c r="C15" s="464"/>
      <c r="D15" s="465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16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16" ht="20.149999999999999" customHeight="1" x14ac:dyDescent="0.45">
      <c r="B18" s="34"/>
      <c r="C18" s="22" t="s">
        <v>471</v>
      </c>
      <c r="D18" s="508" t="e">
        <f>VLOOKUP(C18,'Sales Master'!B$3:D$499,2,)</f>
        <v>#N/A</v>
      </c>
      <c r="E18" s="508"/>
      <c r="F18" s="508"/>
      <c r="G18" s="22">
        <v>1</v>
      </c>
      <c r="H18" s="68" t="e">
        <f>VLOOKUP(C18,'Sales Master'!$B$3:$F$3179,5,0)</f>
        <v>#N/A</v>
      </c>
      <c r="I18" s="481" t="e">
        <f>VLOOKUP(C18,'Sales Master'!$B$3:$E$3179,4,0)</f>
        <v>#N/A</v>
      </c>
      <c r="J18" s="481"/>
      <c r="K18" s="35" t="e">
        <f>VLOOKUP(C18,'Sales Master'!B$3:AO$499,40,0)</f>
        <v>#N/A</v>
      </c>
      <c r="L18" s="77" t="e">
        <f>K18*G18</f>
        <v>#N/A</v>
      </c>
      <c r="M18" s="78"/>
      <c r="N18" s="225" t="e">
        <f>VLOOKUP(C18,'Sales Master'!$B$3:$DA$3038,104,0)</f>
        <v>#N/A</v>
      </c>
      <c r="O18" s="225" t="e">
        <f>K18-N18</f>
        <v>#N/A</v>
      </c>
      <c r="P18" s="225" t="e">
        <f>O18*G18</f>
        <v>#N/A</v>
      </c>
    </row>
    <row r="19" spans="2:16" ht="20.149999999999999" customHeight="1" x14ac:dyDescent="0.45">
      <c r="B19" s="34"/>
      <c r="C19" s="22"/>
      <c r="D19" s="508"/>
      <c r="E19" s="508"/>
      <c r="F19" s="508"/>
      <c r="G19" s="22"/>
      <c r="H19" s="68"/>
      <c r="I19" s="481"/>
      <c r="J19" s="481"/>
      <c r="K19" s="35"/>
      <c r="L19" s="77"/>
      <c r="M19" s="78"/>
    </row>
    <row r="20" spans="2:16" ht="20.149999999999999" customHeight="1" x14ac:dyDescent="0.45">
      <c r="B20" s="34"/>
      <c r="C20" s="22"/>
      <c r="D20" s="508"/>
      <c r="E20" s="508"/>
      <c r="F20" s="508"/>
      <c r="G20" s="22"/>
      <c r="H20" s="68"/>
      <c r="I20" s="481"/>
      <c r="J20" s="481"/>
      <c r="K20" s="35"/>
      <c r="L20" s="77"/>
      <c r="M20" s="78"/>
    </row>
    <row r="21" spans="2:16" ht="20.149999999999999" customHeight="1" x14ac:dyDescent="0.45">
      <c r="B21" s="34"/>
      <c r="C21" s="22"/>
      <c r="D21" s="508"/>
      <c r="E21" s="508"/>
      <c r="F21" s="508"/>
      <c r="G21" s="22"/>
      <c r="H21" s="68"/>
      <c r="I21" s="481"/>
      <c r="J21" s="481"/>
      <c r="K21" s="35"/>
      <c r="L21" s="77"/>
      <c r="M21" s="78"/>
    </row>
    <row r="22" spans="2:16" ht="20.149999999999999" customHeight="1" x14ac:dyDescent="0.45">
      <c r="B22" s="34"/>
      <c r="C22" s="22"/>
      <c r="D22" s="508"/>
      <c r="E22" s="508"/>
      <c r="F22" s="508"/>
      <c r="G22" s="22"/>
      <c r="H22" s="68"/>
      <c r="I22" s="481"/>
      <c r="J22" s="481"/>
      <c r="K22" s="35"/>
      <c r="L22" s="77"/>
      <c r="M22" s="78"/>
    </row>
    <row r="23" spans="2:16" ht="20.149999999999999" customHeight="1" x14ac:dyDescent="0.45">
      <c r="B23" s="34"/>
      <c r="C23" s="22"/>
      <c r="D23" s="508"/>
      <c r="E23" s="508"/>
      <c r="F23" s="508"/>
      <c r="G23" s="22"/>
      <c r="H23" s="68"/>
      <c r="I23" s="481"/>
      <c r="J23" s="481"/>
      <c r="K23" s="35"/>
      <c r="L23" s="77"/>
      <c r="M23" s="78"/>
      <c r="N23" s="125"/>
    </row>
    <row r="24" spans="2:16" ht="20.149999999999999" customHeight="1" x14ac:dyDescent="0.45">
      <c r="B24" s="34"/>
      <c r="C24" s="22"/>
      <c r="D24" s="508"/>
      <c r="E24" s="508"/>
      <c r="F24" s="508"/>
      <c r="G24" s="22"/>
      <c r="H24" s="68"/>
      <c r="I24" s="481"/>
      <c r="J24" s="481"/>
      <c r="K24" s="35"/>
      <c r="L24" s="77"/>
      <c r="M24" s="78"/>
    </row>
    <row r="25" spans="2:16" ht="20.149999999999999" customHeight="1" x14ac:dyDescent="0.45">
      <c r="B25" s="34"/>
      <c r="C25" s="22"/>
      <c r="D25" s="508"/>
      <c r="E25" s="508"/>
      <c r="F25" s="508"/>
      <c r="G25" s="22"/>
      <c r="H25" s="68"/>
      <c r="I25" s="481"/>
      <c r="J25" s="481"/>
      <c r="K25" s="35"/>
      <c r="L25" s="77"/>
      <c r="M25" s="78"/>
      <c r="N25" s="125"/>
    </row>
    <row r="26" spans="2:16" ht="20.149999999999999" customHeight="1" x14ac:dyDescent="0.45">
      <c r="B26" s="34"/>
      <c r="C26" s="22"/>
      <c r="D26" s="508"/>
      <c r="E26" s="508"/>
      <c r="F26" s="508"/>
      <c r="G26" s="22"/>
      <c r="H26" s="68"/>
      <c r="I26" s="481"/>
      <c r="J26" s="481"/>
      <c r="K26" s="35"/>
      <c r="L26" s="77"/>
      <c r="M26" s="78"/>
    </row>
    <row r="27" spans="2:16" ht="20.149999999999999" customHeight="1" x14ac:dyDescent="0.45">
      <c r="B27" s="34"/>
      <c r="C27" s="22"/>
      <c r="D27" s="508"/>
      <c r="E27" s="508"/>
      <c r="F27" s="508"/>
      <c r="G27" s="22"/>
      <c r="H27" s="68"/>
      <c r="I27" s="481"/>
      <c r="J27" s="481"/>
      <c r="K27" s="35"/>
      <c r="L27" s="77"/>
      <c r="M27" s="78"/>
      <c r="N27" s="125"/>
    </row>
    <row r="28" spans="2:16" ht="20.149999999999999" customHeight="1" x14ac:dyDescent="0.45">
      <c r="B28" s="34"/>
      <c r="C28" s="22"/>
      <c r="D28" s="508"/>
      <c r="E28" s="508"/>
      <c r="F28" s="508"/>
      <c r="G28" s="22"/>
      <c r="H28" s="68"/>
      <c r="I28" s="481"/>
      <c r="J28" s="481"/>
      <c r="K28" s="35"/>
      <c r="L28" s="77"/>
      <c r="M28" s="78"/>
    </row>
    <row r="29" spans="2:16" ht="20.149999999999999" customHeight="1" x14ac:dyDescent="0.45">
      <c r="B29" s="34"/>
      <c r="C29" s="22"/>
      <c r="D29" s="508"/>
      <c r="E29" s="508"/>
      <c r="F29" s="508"/>
      <c r="G29" s="22"/>
      <c r="H29" s="68"/>
      <c r="I29" s="481"/>
      <c r="J29" s="481"/>
      <c r="K29" s="35"/>
      <c r="L29" s="77"/>
      <c r="M29" s="78"/>
    </row>
    <row r="30" spans="2:16" ht="20.149999999999999" customHeight="1" x14ac:dyDescent="0.45">
      <c r="B30" s="34"/>
      <c r="C30" s="22"/>
      <c r="D30" s="480"/>
      <c r="E30" s="480"/>
      <c r="F30" s="480"/>
      <c r="G30" s="22"/>
      <c r="H30" s="68"/>
      <c r="I30" s="481"/>
      <c r="J30" s="481"/>
      <c r="K30" s="35"/>
      <c r="L30" s="77"/>
      <c r="M30" s="78"/>
    </row>
    <row r="31" spans="2:16" ht="20.149999999999999" customHeight="1" x14ac:dyDescent="0.45">
      <c r="B31" s="34"/>
      <c r="C31" s="22"/>
      <c r="D31" s="480"/>
      <c r="E31" s="480"/>
      <c r="F31" s="480"/>
      <c r="G31" s="22"/>
      <c r="H31" s="68"/>
      <c r="I31" s="481"/>
      <c r="J31" s="481"/>
      <c r="K31" s="35"/>
      <c r="L31" s="77"/>
      <c r="M31" s="78"/>
    </row>
    <row r="32" spans="2:16" ht="20.149999999999999" customHeight="1" x14ac:dyDescent="0.45">
      <c r="B32" s="34"/>
      <c r="C32" s="22"/>
      <c r="D32" s="480"/>
      <c r="E32" s="480"/>
      <c r="F32" s="480"/>
      <c r="G32" s="22"/>
      <c r="H32" s="68"/>
      <c r="I32" s="481"/>
      <c r="J32" s="481"/>
      <c r="K32" s="35"/>
      <c r="L32" s="77"/>
      <c r="M32" s="78"/>
    </row>
    <row r="33" spans="2:13" ht="20.149999999999999" customHeight="1" x14ac:dyDescent="0.45">
      <c r="B33" s="34"/>
      <c r="C33" s="22"/>
      <c r="G33" s="22"/>
      <c r="H33" s="68"/>
      <c r="I33" s="450"/>
      <c r="J33" s="450"/>
      <c r="K33" s="35"/>
      <c r="L33" s="77"/>
      <c r="M33" s="78"/>
    </row>
    <row r="34" spans="2:13" ht="20.149999999999999" customHeight="1" x14ac:dyDescent="0.45">
      <c r="B34" s="34"/>
      <c r="C34" s="22"/>
      <c r="G34" s="22"/>
      <c r="H34" s="68"/>
      <c r="I34" s="450"/>
      <c r="J34" s="450"/>
      <c r="K34" s="35"/>
      <c r="L34" s="77"/>
      <c r="M34" s="78"/>
    </row>
    <row r="35" spans="2:13" ht="20.149999999999999" customHeight="1" x14ac:dyDescent="0.45">
      <c r="B35" s="34"/>
      <c r="C35" s="22"/>
      <c r="G35" s="22"/>
      <c r="H35" s="68"/>
      <c r="I35" s="450"/>
      <c r="J35" s="450"/>
      <c r="K35" s="35"/>
      <c r="L35" s="77"/>
      <c r="M35" s="78"/>
    </row>
    <row r="36" spans="2:13" ht="20.149999999999999" customHeight="1" x14ac:dyDescent="0.45">
      <c r="B36" s="34"/>
      <c r="C36" s="22"/>
      <c r="D36" s="508"/>
      <c r="E36" s="508"/>
      <c r="F36" s="508"/>
      <c r="G36" s="22"/>
      <c r="H36" s="68"/>
      <c r="I36" s="450"/>
      <c r="J36" s="450"/>
      <c r="K36" s="35"/>
      <c r="L36" s="77"/>
    </row>
    <row r="37" spans="2:13" ht="20.149999999999999" customHeight="1" thickBot="1" x14ac:dyDescent="0.5">
      <c r="B37" s="37"/>
      <c r="C37" s="38"/>
      <c r="D37" s="509"/>
      <c r="E37" s="509"/>
      <c r="F37" s="509"/>
      <c r="G37" s="38"/>
      <c r="H37" s="69"/>
      <c r="I37" s="451"/>
      <c r="J37" s="451"/>
      <c r="K37" s="39"/>
      <c r="L37" s="40"/>
    </row>
    <row r="38" spans="2:13" ht="20.149999999999999" customHeight="1" thickBot="1" x14ac:dyDescent="0.5">
      <c r="B38" s="41"/>
      <c r="L38" s="42"/>
    </row>
    <row r="39" spans="2:13" ht="20.149999999999999" customHeight="1" x14ac:dyDescent="0.45">
      <c r="B39" s="11" t="s">
        <v>18</v>
      </c>
      <c r="D39" s="7"/>
      <c r="E39" s="7"/>
      <c r="F39" s="7"/>
      <c r="G39" s="7"/>
      <c r="H39" s="7"/>
      <c r="I39" s="7"/>
      <c r="J39" s="510" t="s">
        <v>15</v>
      </c>
      <c r="K39" s="511"/>
      <c r="L39" s="43" t="e">
        <f>SUM(L17:L38)</f>
        <v>#N/A</v>
      </c>
      <c r="M39" s="76">
        <f>341.3-365.3</f>
        <v>-24</v>
      </c>
    </row>
    <row r="40" spans="2:13" ht="20.149999999999999" customHeight="1" x14ac:dyDescent="0.45">
      <c r="B40" s="11" t="s">
        <v>19</v>
      </c>
      <c r="C40" s="7"/>
      <c r="D40" s="7"/>
      <c r="E40" s="7"/>
      <c r="F40" s="7"/>
      <c r="G40" s="7"/>
      <c r="H40" s="7"/>
      <c r="I40" s="7"/>
      <c r="J40" s="44" t="s">
        <v>22</v>
      </c>
      <c r="K40" s="45"/>
      <c r="L40" s="46" t="e">
        <f>L39*K40</f>
        <v>#N/A</v>
      </c>
    </row>
    <row r="41" spans="2:13" ht="20.149999999999999" customHeight="1" x14ac:dyDescent="0.45">
      <c r="B41" s="11" t="s">
        <v>20</v>
      </c>
      <c r="C41" s="7"/>
      <c r="D41" s="7"/>
      <c r="E41" s="7"/>
      <c r="F41" s="7"/>
      <c r="G41" s="7"/>
      <c r="H41" s="7"/>
      <c r="I41" s="7"/>
      <c r="J41" s="486" t="s">
        <v>21</v>
      </c>
      <c r="K41" s="487"/>
      <c r="L41" s="46" t="e">
        <f>L39-L40</f>
        <v>#N/A</v>
      </c>
    </row>
    <row r="42" spans="2:13" ht="20.149999999999999" customHeight="1" x14ac:dyDescent="0.45">
      <c r="B42" s="11" t="s">
        <v>24</v>
      </c>
      <c r="C42" s="7"/>
      <c r="D42" s="7"/>
      <c r="E42" s="7"/>
      <c r="F42" s="7"/>
      <c r="G42" s="7"/>
      <c r="H42" s="7"/>
      <c r="I42" s="7"/>
      <c r="J42" s="150" t="s">
        <v>17</v>
      </c>
      <c r="K42" s="151">
        <v>7.0000000000000007E-2</v>
      </c>
      <c r="L42" s="47" t="e">
        <f>L41*K42</f>
        <v>#N/A</v>
      </c>
    </row>
    <row r="43" spans="2:13" ht="20.149999999999999" customHeight="1" thickBot="1" x14ac:dyDescent="0.5">
      <c r="B43" s="11" t="s">
        <v>1400</v>
      </c>
      <c r="C43" s="7"/>
      <c r="D43" s="7"/>
      <c r="E43" s="7"/>
      <c r="F43" s="7"/>
      <c r="G43" s="7"/>
      <c r="H43" s="7"/>
      <c r="I43" s="7"/>
      <c r="J43" s="488" t="s">
        <v>23</v>
      </c>
      <c r="K43" s="489"/>
      <c r="L43" s="48" t="e">
        <f>L41+L42</f>
        <v>#N/A</v>
      </c>
    </row>
    <row r="44" spans="2:13" ht="20.149999999999999" customHeight="1" x14ac:dyDescent="0.45">
      <c r="B44" s="11" t="s">
        <v>26</v>
      </c>
      <c r="C44" s="7"/>
      <c r="D44" s="7"/>
      <c r="E44" s="7"/>
      <c r="F44" s="7"/>
      <c r="G44" s="7"/>
      <c r="H44" s="7"/>
      <c r="I44" s="7"/>
      <c r="L44" s="42"/>
    </row>
    <row r="45" spans="2:13" ht="20.149999999999999" customHeight="1" x14ac:dyDescent="0.45">
      <c r="B45" s="224" t="s">
        <v>1379</v>
      </c>
      <c r="C45" s="7"/>
      <c r="L45" s="42"/>
    </row>
    <row r="46" spans="2:13" ht="20.149999999999999" customHeight="1" x14ac:dyDescent="0.45">
      <c r="B46" s="41"/>
      <c r="L46" s="42"/>
    </row>
    <row r="47" spans="2:13" ht="20.149999999999999" customHeight="1" x14ac:dyDescent="0.45">
      <c r="B47" s="41"/>
      <c r="L47" s="42"/>
    </row>
    <row r="48" spans="2:13" ht="20.149999999999999" customHeight="1" x14ac:dyDescent="0.45">
      <c r="B48" s="41"/>
      <c r="L48" s="42"/>
    </row>
    <row r="49" spans="2:12" ht="20.149999999999999" customHeight="1" x14ac:dyDescent="0.45">
      <c r="B49" s="49"/>
      <c r="C49" s="50"/>
      <c r="D49" s="50"/>
      <c r="J49" s="50"/>
      <c r="K49" s="50"/>
      <c r="L49" s="51"/>
    </row>
    <row r="50" spans="2:12" ht="20.149999999999999" customHeight="1" x14ac:dyDescent="0.45">
      <c r="B50" s="41" t="s">
        <v>27</v>
      </c>
      <c r="J50" s="24" t="s">
        <v>28</v>
      </c>
      <c r="L50" s="42"/>
    </row>
    <row r="51" spans="2:12" ht="19" thickBot="1" x14ac:dyDescent="0.5">
      <c r="B51" s="52"/>
      <c r="C51" s="53"/>
      <c r="D51" s="53"/>
      <c r="E51" s="53"/>
      <c r="F51" s="53"/>
      <c r="G51" s="53"/>
      <c r="H51" s="53"/>
      <c r="I51" s="53"/>
      <c r="J51" s="53"/>
      <c r="K51" s="53"/>
      <c r="L51" s="54"/>
    </row>
  </sheetData>
  <mergeCells count="55"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  <mergeCell ref="D19:F19"/>
    <mergeCell ref="I19:J19"/>
    <mergeCell ref="D17:F17"/>
    <mergeCell ref="I17:J17"/>
    <mergeCell ref="D18:F18"/>
    <mergeCell ref="I18:J18"/>
    <mergeCell ref="I24:J24"/>
    <mergeCell ref="D20:F20"/>
    <mergeCell ref="I20:J20"/>
    <mergeCell ref="D21:F21"/>
    <mergeCell ref="I21:J21"/>
    <mergeCell ref="J43:K43"/>
    <mergeCell ref="D28:F28"/>
    <mergeCell ref="I28:J28"/>
    <mergeCell ref="D36:F36"/>
    <mergeCell ref="I36:J36"/>
    <mergeCell ref="D29:F29"/>
    <mergeCell ref="I29:J29"/>
    <mergeCell ref="D30:F30"/>
    <mergeCell ref="I30:J30"/>
    <mergeCell ref="D31:F31"/>
    <mergeCell ref="I31:J31"/>
    <mergeCell ref="D32:F32"/>
    <mergeCell ref="I32:J32"/>
    <mergeCell ref="I33:J33"/>
    <mergeCell ref="I34:J34"/>
    <mergeCell ref="I35:J35"/>
    <mergeCell ref="B1:L8"/>
    <mergeCell ref="D37:F37"/>
    <mergeCell ref="I37:J37"/>
    <mergeCell ref="J39:K39"/>
    <mergeCell ref="J41:K41"/>
    <mergeCell ref="D25:F25"/>
    <mergeCell ref="I25:J25"/>
    <mergeCell ref="D26:F26"/>
    <mergeCell ref="I26:J26"/>
    <mergeCell ref="D27:F27"/>
    <mergeCell ref="I27:J27"/>
    <mergeCell ref="D22:F22"/>
    <mergeCell ref="I22:J22"/>
    <mergeCell ref="D23:F23"/>
    <mergeCell ref="I23:J23"/>
    <mergeCell ref="D24:F24"/>
  </mergeCells>
  <pageMargins left="0.70866141732283472" right="0.31496062992125984" top="0.59055118110236227" bottom="0" header="0.31496062992125984" footer="0.31496062992125984"/>
  <pageSetup paperSize="9" scale="75" orientation="portrait" verticalDpi="300" r:id="rId1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40753D-27BC-437D-988D-E8C621F2A648}">
  <sheetPr codeName="Sheet87">
    <tabColor rgb="FF92D050"/>
    <pageSetUpPr fitToPage="1"/>
  </sheetPr>
  <dimension ref="B1:V48"/>
  <sheetViews>
    <sheetView workbookViewId="0">
      <selection activeCell="D16" sqref="D16"/>
    </sheetView>
  </sheetViews>
  <sheetFormatPr defaultColWidth="12.54296875" defaultRowHeight="18.5" x14ac:dyDescent="0.45"/>
  <cols>
    <col min="1" max="1" width="12.54296875" style="24"/>
    <col min="2" max="3" width="12.54296875" style="24" customWidth="1"/>
    <col min="4" max="4" width="14.54296875" style="24" customWidth="1"/>
    <col min="5" max="5" width="1.54296875" style="24" customWidth="1"/>
    <col min="6" max="6" width="18.453125" style="24" customWidth="1"/>
    <col min="7" max="7" width="8.54296875" style="24" customWidth="1"/>
    <col min="8" max="8" width="19" style="24" customWidth="1"/>
    <col min="9" max="9" width="1.1796875" style="81" customWidth="1"/>
    <col min="10" max="10" width="13.81640625" style="81" customWidth="1"/>
    <col min="11" max="11" width="11.54296875" style="24" customWidth="1"/>
    <col min="12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207</v>
      </c>
      <c r="J10" s="82" t="s">
        <v>29</v>
      </c>
      <c r="K10" s="452">
        <v>202204410</v>
      </c>
      <c r="L10" s="453"/>
    </row>
    <row r="11" spans="2:12" ht="20.149999999999999" customHeight="1" x14ac:dyDescent="0.45">
      <c r="B11" s="454" t="s">
        <v>2037</v>
      </c>
      <c r="C11" s="455"/>
      <c r="D11" s="456"/>
      <c r="E11" s="30"/>
      <c r="F11" s="457" t="str">
        <f>VLOOKUP(H10,'Delivery Location'!A$4:N$416,2,0)</f>
        <v>Jem cook House                                                  50, Jurong Gateway Road #05-01 JEMS Singapore 608549                                          (Dessert)</v>
      </c>
      <c r="G11" s="458"/>
      <c r="H11" s="459"/>
      <c r="J11" s="83" t="s">
        <v>11</v>
      </c>
      <c r="K11" s="551" t="s">
        <v>2202</v>
      </c>
      <c r="L11" s="472"/>
    </row>
    <row r="12" spans="2:12" ht="20.149999999999999" customHeight="1" x14ac:dyDescent="0.45">
      <c r="B12" s="468" t="s">
        <v>2139</v>
      </c>
      <c r="C12" s="469"/>
      <c r="D12" s="470"/>
      <c r="E12" s="30"/>
      <c r="F12" s="460"/>
      <c r="G12" s="461"/>
      <c r="H12" s="462"/>
      <c r="J12" s="83" t="s">
        <v>171</v>
      </c>
      <c r="K12" s="471" t="s">
        <v>533</v>
      </c>
      <c r="L12" s="472"/>
    </row>
    <row r="13" spans="2:12" ht="20.149999999999999" customHeight="1" x14ac:dyDescent="0.45">
      <c r="B13" s="468" t="s">
        <v>2024</v>
      </c>
      <c r="C13" s="469"/>
      <c r="D13" s="470"/>
      <c r="E13" s="30"/>
      <c r="F13" s="460"/>
      <c r="G13" s="461"/>
      <c r="H13" s="462"/>
      <c r="J13" s="83" t="s">
        <v>12</v>
      </c>
      <c r="K13" s="471" t="s">
        <v>14</v>
      </c>
      <c r="L13" s="472"/>
    </row>
    <row r="14" spans="2:12" ht="20.149999999999999" customHeight="1" x14ac:dyDescent="0.45">
      <c r="B14" s="468" t="s">
        <v>2025</v>
      </c>
      <c r="C14" s="469"/>
      <c r="D14" s="470"/>
      <c r="E14" s="30"/>
      <c r="F14" s="460"/>
      <c r="G14" s="461"/>
      <c r="H14" s="462"/>
      <c r="J14" s="83" t="s">
        <v>30</v>
      </c>
      <c r="K14" s="471" t="s">
        <v>16</v>
      </c>
      <c r="L14" s="472"/>
    </row>
    <row r="15" spans="2:12" ht="18" customHeight="1" thickBot="1" x14ac:dyDescent="0.5">
      <c r="B15" s="463" t="s">
        <v>2026</v>
      </c>
      <c r="C15" s="464"/>
      <c r="D15" s="465"/>
      <c r="E15" s="26"/>
      <c r="F15" s="463"/>
      <c r="G15" s="464"/>
      <c r="H15" s="465"/>
      <c r="J15" s="84" t="s">
        <v>13</v>
      </c>
      <c r="K15" s="476"/>
      <c r="L15" s="477"/>
    </row>
    <row r="16" spans="2:12" ht="19" thickBot="1" x14ac:dyDescent="0.5">
      <c r="J16" s="85"/>
    </row>
    <row r="17" spans="2:22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22" ht="20.149999999999999" customHeight="1" x14ac:dyDescent="0.45">
      <c r="B18" s="34"/>
      <c r="C18" s="22" t="s">
        <v>1564</v>
      </c>
      <c r="D18" s="508" t="str">
        <f>VLOOKUP(C18,'Sales Master'!B$3:D$499,2,)</f>
        <v>Atap Seeds in Syrup亚嗒子</v>
      </c>
      <c r="E18" s="508"/>
      <c r="F18" s="508"/>
      <c r="G18" s="90">
        <v>3</v>
      </c>
      <c r="H18" s="68" t="str">
        <f>VLOOKUP(C18,'Sales Master'!$B$3:$F$3179,5,0)</f>
        <v>NW (1.6:0.6) 2.2 kgs</v>
      </c>
      <c r="I18" s="481" t="str">
        <f>VLOOKUP(C18,'Sales Master'!$B$3:$E$3179,4,0)</f>
        <v>DO!</v>
      </c>
      <c r="J18" s="481"/>
      <c r="K18" s="35">
        <f>VLOOKUP(C18,'Sales Master'!B$3:AZ$499,51,0)</f>
        <v>9</v>
      </c>
      <c r="L18" s="77">
        <f t="shared" ref="L18:L23" si="0">K18*G18</f>
        <v>27</v>
      </c>
      <c r="M18" s="78"/>
      <c r="N18" s="225">
        <f>VLOOKUP(C18,'Sales Master'!$B$3:$DA$3038,104,0)</f>
        <v>4.8240000000000007</v>
      </c>
      <c r="O18" s="225">
        <f t="shared" ref="O18:O23" si="1">K18-N18</f>
        <v>4.1759999999999993</v>
      </c>
      <c r="P18" s="225">
        <f t="shared" ref="P18:P23" si="2">O18*G18</f>
        <v>12.527999999999999</v>
      </c>
      <c r="V18" s="24">
        <v>16</v>
      </c>
    </row>
    <row r="19" spans="2:22" ht="20.149999999999999" customHeight="1" x14ac:dyDescent="0.45">
      <c r="B19" s="34"/>
      <c r="C19" s="22" t="s">
        <v>1599</v>
      </c>
      <c r="D19" s="508" t="str">
        <f>VLOOKUP(C19,'Sales Master'!B$3:D$499,2,)</f>
        <v>Black Glutinous Rice 黑糯米</v>
      </c>
      <c r="E19" s="508"/>
      <c r="F19" s="508"/>
      <c r="G19" s="90">
        <v>1</v>
      </c>
      <c r="H19" s="68" t="str">
        <f>VLOOKUP(C19,'Sales Master'!$B$3:$F$3179,5,0)</f>
        <v>5 kgs</v>
      </c>
      <c r="I19" s="481" t="str">
        <f>VLOOKUP(C19,'Sales Master'!$B$3:$E$3179,4,0)</f>
        <v>-</v>
      </c>
      <c r="J19" s="481"/>
      <c r="K19" s="35">
        <f>VLOOKUP(C19,'Sales Master'!B$3:AZ$499,51,0)</f>
        <v>18</v>
      </c>
      <c r="L19" s="77">
        <f t="shared" si="0"/>
        <v>18</v>
      </c>
      <c r="M19" s="78"/>
      <c r="N19" s="225">
        <f>VLOOKUP(C19,'Sales Master'!$B$3:$DA$3038,104,0)</f>
        <v>12</v>
      </c>
      <c r="O19" s="225">
        <f t="shared" si="1"/>
        <v>6</v>
      </c>
      <c r="P19" s="225">
        <f t="shared" si="2"/>
        <v>6</v>
      </c>
    </row>
    <row r="20" spans="2:22" ht="20.149999999999999" customHeight="1" x14ac:dyDescent="0.45">
      <c r="B20" s="34"/>
      <c r="C20" s="22" t="s">
        <v>1585</v>
      </c>
      <c r="D20" s="508" t="str">
        <f>VLOOKUP(C20,'Sales Master'!B$3:D$499,2,)</f>
        <v>Green Bean 绿豆</v>
      </c>
      <c r="E20" s="508"/>
      <c r="F20" s="508"/>
      <c r="G20" s="90">
        <v>1</v>
      </c>
      <c r="H20" s="68" t="str">
        <f>VLOOKUP(C20,'Sales Master'!$B$3:$F$3179,5,0)</f>
        <v>5 kgs</v>
      </c>
      <c r="I20" s="481" t="str">
        <f>VLOOKUP(C20,'Sales Master'!$B$3:$E$3179,4,0)</f>
        <v>-</v>
      </c>
      <c r="J20" s="481"/>
      <c r="K20" s="35">
        <f>VLOOKUP(C20,'Sales Master'!B$3:AZ$499,51,0)</f>
        <v>13</v>
      </c>
      <c r="L20" s="77">
        <f t="shared" si="0"/>
        <v>13</v>
      </c>
      <c r="M20" s="78"/>
      <c r="N20" s="225">
        <f>VLOOKUP(C20,'Sales Master'!$B$3:$DA$3038,104,0)</f>
        <v>9.3999999999999986</v>
      </c>
      <c r="O20" s="225">
        <f t="shared" si="1"/>
        <v>3.6000000000000014</v>
      </c>
      <c r="P20" s="225">
        <f t="shared" si="2"/>
        <v>3.6000000000000014</v>
      </c>
      <c r="V20" s="24">
        <v>41</v>
      </c>
    </row>
    <row r="21" spans="2:22" ht="20.149999999999999" customHeight="1" x14ac:dyDescent="0.45">
      <c r="B21" s="34"/>
      <c r="C21" s="22" t="s">
        <v>1457</v>
      </c>
      <c r="D21" s="508" t="str">
        <f>VLOOKUP(C21,'Sales Master'!B$3:D$499,2,)</f>
        <v>Bobo ChaCha Cubes 摩摩喳喳</v>
      </c>
      <c r="E21" s="508"/>
      <c r="F21" s="508"/>
      <c r="G21" s="90">
        <v>1</v>
      </c>
      <c r="H21" s="68" t="str">
        <f>VLOOKUP(C21,'Sales Master'!$B$3:$F$3179,5,0)</f>
        <v>800 GM/BAG</v>
      </c>
      <c r="I21" s="481" t="str">
        <f>VLOOKUP(C21,'Sales Master'!$B$3:$E$3179,4,0)</f>
        <v>DO!</v>
      </c>
      <c r="J21" s="481"/>
      <c r="K21" s="35">
        <f>VLOOKUP(C21,'Sales Master'!B$3:AZ$499,51,0)</f>
        <v>6</v>
      </c>
      <c r="L21" s="77">
        <f t="shared" si="0"/>
        <v>6</v>
      </c>
      <c r="M21" s="78"/>
      <c r="N21" s="225">
        <f>VLOOKUP(C21,'Sales Master'!$B$3:$DA$3038,104,0)</f>
        <v>0.71</v>
      </c>
      <c r="O21" s="225">
        <f t="shared" si="1"/>
        <v>5.29</v>
      </c>
      <c r="P21" s="225">
        <f t="shared" si="2"/>
        <v>5.29</v>
      </c>
    </row>
    <row r="22" spans="2:22" ht="20.149999999999999" customHeight="1" x14ac:dyDescent="0.45">
      <c r="B22" s="34"/>
      <c r="C22" s="22" t="s">
        <v>1736</v>
      </c>
      <c r="D22" s="508" t="str">
        <f>VLOOKUP(C22,'Sales Master'!B$3:D$499,2,)</f>
        <v>Coconut Milk 椰浆</v>
      </c>
      <c r="E22" s="508"/>
      <c r="F22" s="508"/>
      <c r="G22" s="90">
        <v>1</v>
      </c>
      <c r="H22" s="68" t="str">
        <f>VLOOKUP(C22,'Sales Master'!$B$3:$F$3179,5,0)</f>
        <v>(1L x 12bag)/箱</v>
      </c>
      <c r="I22" s="481" t="str">
        <f>VLOOKUP(C22,'Sales Master'!$B$3:$E$3179,4,0)</f>
        <v>Kara UHT</v>
      </c>
      <c r="J22" s="481"/>
      <c r="K22" s="35">
        <f>VLOOKUP(C22,'Sales Master'!B$3:AZ$499,51,0)</f>
        <v>42</v>
      </c>
      <c r="L22" s="77">
        <f t="shared" si="0"/>
        <v>42</v>
      </c>
      <c r="M22" s="78"/>
      <c r="N22" s="225">
        <f>VLOOKUP(C22,'Sales Master'!$B$3:$DA$3038,104,0)</f>
        <v>35.5</v>
      </c>
      <c r="O22" s="225">
        <f t="shared" si="1"/>
        <v>6.5</v>
      </c>
      <c r="P22" s="225">
        <f t="shared" si="2"/>
        <v>6.5</v>
      </c>
    </row>
    <row r="23" spans="2:22" ht="20.149999999999999" customHeight="1" x14ac:dyDescent="0.45">
      <c r="B23" s="34"/>
      <c r="C23" s="22" t="s">
        <v>1788</v>
      </c>
      <c r="D23" s="508" t="str">
        <f>VLOOKUP(C23,'Sales Master'!B$3:D$499,2,)</f>
        <v>Tapioca木薯</v>
      </c>
      <c r="E23" s="508"/>
      <c r="F23" s="508"/>
      <c r="G23" s="90">
        <v>10</v>
      </c>
      <c r="H23" s="68" t="str">
        <f>VLOOKUP(C23,'Sales Master'!$B$3:$F$3179,5,0)</f>
        <v>1 kg</v>
      </c>
      <c r="I23" s="481" t="str">
        <f>VLOOKUP(C23,'Sales Master'!$B$3:$E$3179,4,0)</f>
        <v>Malaysia</v>
      </c>
      <c r="J23" s="481"/>
      <c r="K23" s="35">
        <f>VLOOKUP(C23,'Sales Master'!B$3:AZ$499,51,0)</f>
        <v>1.8</v>
      </c>
      <c r="L23" s="77">
        <f t="shared" si="0"/>
        <v>18</v>
      </c>
      <c r="M23" s="78"/>
      <c r="N23" s="225">
        <f>VLOOKUP(C23,'Sales Master'!$B$3:$DA$3038,104,0)</f>
        <v>1</v>
      </c>
      <c r="O23" s="225">
        <f t="shared" si="1"/>
        <v>0.8</v>
      </c>
      <c r="P23" s="225">
        <f t="shared" si="2"/>
        <v>8</v>
      </c>
    </row>
    <row r="24" spans="2:22" ht="20.149999999999999" customHeight="1" x14ac:dyDescent="0.45">
      <c r="B24" s="34"/>
      <c r="C24" s="22"/>
      <c r="D24" s="508"/>
      <c r="E24" s="508"/>
      <c r="F24" s="508"/>
      <c r="G24" s="90"/>
      <c r="H24" s="68"/>
      <c r="I24" s="481"/>
      <c r="J24" s="481"/>
      <c r="K24" s="35"/>
      <c r="L24" s="77"/>
      <c r="M24" s="78"/>
      <c r="N24" s="225"/>
      <c r="O24" s="225"/>
      <c r="P24" s="225"/>
    </row>
    <row r="25" spans="2:22" ht="20.149999999999999" customHeight="1" x14ac:dyDescent="0.45">
      <c r="B25" s="34"/>
      <c r="C25" s="22"/>
      <c r="D25" s="508"/>
      <c r="E25" s="508"/>
      <c r="F25" s="508"/>
      <c r="G25" s="90"/>
      <c r="H25" s="68"/>
      <c r="I25" s="481"/>
      <c r="J25" s="481"/>
      <c r="K25" s="35"/>
      <c r="L25" s="77"/>
      <c r="M25" s="78"/>
      <c r="N25" s="125"/>
    </row>
    <row r="26" spans="2:22" ht="20.149999999999999" customHeight="1" x14ac:dyDescent="0.45">
      <c r="B26" s="34"/>
      <c r="C26" s="22"/>
      <c r="D26" s="508"/>
      <c r="E26" s="508"/>
      <c r="F26" s="508"/>
      <c r="G26" s="90"/>
      <c r="H26" s="68"/>
      <c r="I26" s="481"/>
      <c r="J26" s="481"/>
      <c r="K26" s="35"/>
      <c r="L26" s="77"/>
      <c r="M26" s="78"/>
      <c r="N26" s="125"/>
    </row>
    <row r="27" spans="2:22" ht="20.149999999999999" customHeight="1" x14ac:dyDescent="0.45">
      <c r="B27" s="80"/>
      <c r="C27" s="22"/>
      <c r="D27" s="508"/>
      <c r="E27" s="508"/>
      <c r="F27" s="508"/>
      <c r="G27" s="90"/>
      <c r="H27" s="68"/>
      <c r="I27" s="481"/>
      <c r="J27" s="481"/>
      <c r="K27" s="35"/>
      <c r="L27" s="77"/>
      <c r="M27" s="78"/>
    </row>
    <row r="28" spans="2:22" ht="20.149999999999999" customHeight="1" x14ac:dyDescent="0.45">
      <c r="B28" s="34"/>
      <c r="C28" s="22"/>
      <c r="D28" s="508"/>
      <c r="E28" s="508"/>
      <c r="F28" s="508"/>
      <c r="G28" s="90"/>
      <c r="H28" s="68"/>
      <c r="I28" s="481"/>
      <c r="J28" s="481"/>
      <c r="K28" s="35"/>
      <c r="L28" s="77"/>
      <c r="M28" s="78"/>
    </row>
    <row r="29" spans="2:22" ht="20.149999999999999" customHeight="1" x14ac:dyDescent="0.45">
      <c r="B29" s="34"/>
      <c r="C29" s="22"/>
      <c r="D29" s="508"/>
      <c r="E29" s="508"/>
      <c r="F29" s="508"/>
      <c r="G29" s="90"/>
      <c r="H29" s="68"/>
      <c r="I29" s="481"/>
      <c r="J29" s="481"/>
      <c r="K29" s="35"/>
      <c r="L29" s="77"/>
      <c r="M29" s="78"/>
    </row>
    <row r="30" spans="2:22" ht="20.149999999999999" customHeight="1" x14ac:dyDescent="0.45">
      <c r="B30" s="34"/>
      <c r="C30" s="22"/>
      <c r="D30" s="508"/>
      <c r="E30" s="508"/>
      <c r="F30" s="508"/>
      <c r="G30" s="90"/>
      <c r="H30" s="68"/>
      <c r="I30" s="481"/>
      <c r="J30" s="481"/>
      <c r="K30" s="35"/>
      <c r="L30" s="77"/>
      <c r="M30" s="78"/>
    </row>
    <row r="31" spans="2:22" ht="20.149999999999999" customHeight="1" x14ac:dyDescent="0.45">
      <c r="B31" s="34"/>
      <c r="C31" s="22"/>
      <c r="D31" s="508"/>
      <c r="E31" s="508"/>
      <c r="F31" s="508"/>
      <c r="G31" s="90"/>
      <c r="H31" s="68"/>
      <c r="I31" s="481"/>
      <c r="J31" s="481"/>
      <c r="K31" s="35"/>
      <c r="L31" s="77"/>
      <c r="M31" s="78"/>
    </row>
    <row r="32" spans="2:22" ht="20.149999999999999" customHeight="1" x14ac:dyDescent="0.45">
      <c r="B32" s="34"/>
      <c r="C32" s="22"/>
      <c r="D32" s="508"/>
      <c r="E32" s="508"/>
      <c r="F32" s="508"/>
      <c r="G32" s="90"/>
      <c r="H32" s="68"/>
      <c r="I32" s="481"/>
      <c r="J32" s="481"/>
      <c r="K32" s="35"/>
      <c r="L32" s="77"/>
      <c r="M32" s="78"/>
    </row>
    <row r="33" spans="2:14" ht="20.149999999999999" customHeight="1" x14ac:dyDescent="0.45">
      <c r="B33" s="34"/>
      <c r="C33" s="22"/>
      <c r="D33" s="508"/>
      <c r="E33" s="508"/>
      <c r="F33" s="508"/>
      <c r="G33" s="90"/>
      <c r="H33" s="68"/>
      <c r="I33" s="481"/>
      <c r="J33" s="481"/>
      <c r="K33" s="35"/>
      <c r="L33" s="77"/>
      <c r="M33" s="78"/>
    </row>
    <row r="34" spans="2:14" ht="20.149999999999999" customHeight="1" x14ac:dyDescent="0.45">
      <c r="B34" s="155"/>
      <c r="C34" s="156"/>
      <c r="D34" s="556"/>
      <c r="E34" s="556"/>
      <c r="F34" s="556"/>
      <c r="G34" s="134"/>
      <c r="H34" s="189"/>
      <c r="I34" s="491"/>
      <c r="J34" s="491"/>
      <c r="K34" s="163"/>
      <c r="L34" s="158"/>
      <c r="M34" s="78"/>
    </row>
    <row r="35" spans="2:14" ht="20.149999999999999" customHeight="1" thickBot="1" x14ac:dyDescent="0.5">
      <c r="B35" s="41"/>
      <c r="L35" s="42"/>
    </row>
    <row r="36" spans="2:14" ht="20.149999999999999" customHeight="1" x14ac:dyDescent="0.45">
      <c r="B36" s="11" t="s">
        <v>18</v>
      </c>
      <c r="C36" s="7"/>
      <c r="D36" s="7"/>
      <c r="E36" s="7"/>
      <c r="F36" s="7"/>
      <c r="G36" s="7"/>
      <c r="H36" s="7"/>
      <c r="I36" s="86"/>
      <c r="J36" s="510" t="s">
        <v>15</v>
      </c>
      <c r="K36" s="511"/>
      <c r="L36" s="43">
        <f>SUM(L17:L34)</f>
        <v>124</v>
      </c>
      <c r="M36" s="76">
        <f>SUM(P18:P34)</f>
        <v>41.917999999999999</v>
      </c>
      <c r="N36" s="201">
        <f>M36/L36</f>
        <v>0.33804838709677421</v>
      </c>
    </row>
    <row r="37" spans="2:14" ht="20.149999999999999" customHeight="1" x14ac:dyDescent="0.45">
      <c r="B37" s="11" t="s">
        <v>19</v>
      </c>
      <c r="C37" s="7"/>
      <c r="D37" s="7"/>
      <c r="E37" s="7"/>
      <c r="F37" s="7"/>
      <c r="G37" s="7"/>
      <c r="H37" s="7"/>
      <c r="I37" s="86"/>
      <c r="J37" s="44" t="s">
        <v>22</v>
      </c>
      <c r="K37" s="45"/>
      <c r="L37" s="46">
        <f>L36*K37</f>
        <v>0</v>
      </c>
    </row>
    <row r="38" spans="2:14" ht="20.149999999999999" customHeight="1" x14ac:dyDescent="0.45">
      <c r="B38" s="11" t="s">
        <v>20</v>
      </c>
      <c r="C38" s="7"/>
      <c r="D38" s="7"/>
      <c r="E38" s="7"/>
      <c r="F38" s="7"/>
      <c r="G38" s="7"/>
      <c r="H38" s="7"/>
      <c r="I38" s="86"/>
      <c r="J38" s="486" t="s">
        <v>21</v>
      </c>
      <c r="K38" s="487"/>
      <c r="L38" s="46">
        <f>L36-L37</f>
        <v>124</v>
      </c>
    </row>
    <row r="39" spans="2:14" ht="20.149999999999999" customHeight="1" x14ac:dyDescent="0.45">
      <c r="B39" s="11" t="s">
        <v>24</v>
      </c>
      <c r="C39" s="7"/>
      <c r="D39" s="7"/>
      <c r="E39" s="7"/>
      <c r="F39" s="7"/>
      <c r="G39" s="7"/>
      <c r="H39" s="7"/>
      <c r="I39" s="86"/>
      <c r="J39" s="150" t="s">
        <v>17</v>
      </c>
      <c r="K39" s="151">
        <v>7.0000000000000007E-2</v>
      </c>
      <c r="L39" s="47">
        <f>L38*K39</f>
        <v>8.6800000000000015</v>
      </c>
    </row>
    <row r="40" spans="2:14" ht="20.149999999999999" customHeight="1" thickBot="1" x14ac:dyDescent="0.5">
      <c r="B40" s="11" t="s">
        <v>1400</v>
      </c>
      <c r="C40" s="7"/>
      <c r="D40" s="7"/>
      <c r="E40" s="7"/>
      <c r="F40" s="7"/>
      <c r="G40" s="7"/>
      <c r="H40" s="7"/>
      <c r="I40" s="86"/>
      <c r="J40" s="488" t="s">
        <v>23</v>
      </c>
      <c r="K40" s="489"/>
      <c r="L40" s="48">
        <f>L38+L39</f>
        <v>132.68</v>
      </c>
    </row>
    <row r="41" spans="2:14" ht="20.149999999999999" customHeight="1" x14ac:dyDescent="0.45">
      <c r="B41" s="11" t="s">
        <v>26</v>
      </c>
      <c r="C41" s="7"/>
      <c r="D41" s="7"/>
      <c r="E41" s="7"/>
      <c r="F41" s="7"/>
      <c r="G41" s="7"/>
      <c r="H41" s="7"/>
      <c r="I41" s="86"/>
      <c r="L41" s="42"/>
    </row>
    <row r="42" spans="2:14" ht="20.149999999999999" customHeight="1" x14ac:dyDescent="0.45">
      <c r="B42" s="224" t="s">
        <v>1379</v>
      </c>
      <c r="L42" s="42"/>
    </row>
    <row r="43" spans="2:14" ht="20.149999999999999" customHeight="1" x14ac:dyDescent="0.45">
      <c r="B43" s="41"/>
      <c r="L43" s="42"/>
    </row>
    <row r="44" spans="2:14" ht="20.149999999999999" customHeight="1" x14ac:dyDescent="0.45">
      <c r="B44" s="41"/>
      <c r="L44" s="42"/>
    </row>
    <row r="45" spans="2:14" ht="20.149999999999999" customHeight="1" x14ac:dyDescent="0.45">
      <c r="B45" s="41"/>
      <c r="L45" s="42"/>
    </row>
    <row r="46" spans="2:14" ht="20.149999999999999" customHeight="1" x14ac:dyDescent="0.45">
      <c r="B46" s="49"/>
      <c r="C46" s="50"/>
      <c r="D46" s="50"/>
      <c r="J46" s="87"/>
      <c r="K46" s="50"/>
      <c r="L46" s="51"/>
    </row>
    <row r="47" spans="2:14" ht="20.149999999999999" customHeight="1" x14ac:dyDescent="0.45">
      <c r="B47" s="41" t="s">
        <v>27</v>
      </c>
      <c r="J47" s="81" t="s">
        <v>28</v>
      </c>
      <c r="L47" s="42"/>
    </row>
    <row r="48" spans="2:14" ht="19" thickBot="1" x14ac:dyDescent="0.5">
      <c r="B48" s="52"/>
      <c r="C48" s="53"/>
      <c r="D48" s="53"/>
      <c r="E48" s="53"/>
      <c r="F48" s="53"/>
      <c r="G48" s="53"/>
      <c r="H48" s="53"/>
      <c r="I48" s="88"/>
      <c r="J48" s="88"/>
      <c r="K48" s="53"/>
      <c r="L48" s="54"/>
    </row>
  </sheetData>
  <mergeCells count="52">
    <mergeCell ref="D34:F34"/>
    <mergeCell ref="I34:J34"/>
    <mergeCell ref="I22:J22"/>
    <mergeCell ref="D25:F25"/>
    <mergeCell ref="I25:J25"/>
    <mergeCell ref="D32:F32"/>
    <mergeCell ref="I32:J32"/>
    <mergeCell ref="D24:F24"/>
    <mergeCell ref="I24:J24"/>
    <mergeCell ref="D26:F26"/>
    <mergeCell ref="I26:J26"/>
    <mergeCell ref="D30:F30"/>
    <mergeCell ref="I30:J30"/>
    <mergeCell ref="D29:F29"/>
    <mergeCell ref="I29:J29"/>
    <mergeCell ref="D22:F22"/>
    <mergeCell ref="J38:K38"/>
    <mergeCell ref="J40:K40"/>
    <mergeCell ref="J36:K36"/>
    <mergeCell ref="I23:J23"/>
    <mergeCell ref="I33:J33"/>
    <mergeCell ref="I31:J31"/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5:D15"/>
    <mergeCell ref="B14:D14"/>
    <mergeCell ref="K14:L14"/>
    <mergeCell ref="K15:L15"/>
    <mergeCell ref="D33:F33"/>
    <mergeCell ref="I18:J18"/>
    <mergeCell ref="D21:F21"/>
    <mergeCell ref="I21:J21"/>
    <mergeCell ref="D28:F28"/>
    <mergeCell ref="I28:J28"/>
    <mergeCell ref="D19:F19"/>
    <mergeCell ref="I19:J19"/>
    <mergeCell ref="D27:F27"/>
    <mergeCell ref="I27:J27"/>
    <mergeCell ref="D20:F20"/>
    <mergeCell ref="I20:J20"/>
    <mergeCell ref="D23:F23"/>
    <mergeCell ref="D31:F31"/>
  </mergeCells>
  <pageMargins left="0.70866141732283505" right="0.31496062992126" top="0.59055118110236204" bottom="0" header="0.31496062992126" footer="0.31496062992126"/>
  <pageSetup paperSize="9" scale="74" orientation="portrait" horizontalDpi="300" verticalDpi="300" r:id="rId1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987F10-FBDE-46D4-AB56-BEEF5E7A339E}">
  <sheetPr codeName="Sheet95">
    <tabColor rgb="FF92D050"/>
    <pageSetUpPr fitToPage="1"/>
  </sheetPr>
  <dimension ref="B1:R46"/>
  <sheetViews>
    <sheetView topLeftCell="D1" workbookViewId="0">
      <selection activeCell="N17" sqref="N17:Q19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7.453125" style="24" customWidth="1"/>
    <col min="7" max="7" width="8.54296875" style="24" customWidth="1"/>
    <col min="8" max="8" width="12.54296875" style="24" customWidth="1"/>
    <col min="9" max="9" width="2.54296875" style="24" customWidth="1"/>
    <col min="10" max="10" width="15.54296875" style="24" customWidth="1"/>
    <col min="11" max="12" width="12.54296875" style="24" customWidth="1"/>
    <col min="13" max="16384" width="12.54296875" style="24"/>
  </cols>
  <sheetData>
    <row r="1" spans="2:18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8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8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8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8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8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8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8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8" ht="19" thickBot="1" x14ac:dyDescent="0.5">
      <c r="B9" s="23"/>
    </row>
    <row r="10" spans="2:18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691</v>
      </c>
      <c r="J10" s="29" t="s">
        <v>29</v>
      </c>
      <c r="K10" s="452">
        <v>202203087</v>
      </c>
      <c r="L10" s="453"/>
      <c r="N10" s="595" t="s">
        <v>2127</v>
      </c>
      <c r="O10" s="595"/>
      <c r="P10" s="595"/>
      <c r="Q10" s="595"/>
      <c r="R10" s="595"/>
    </row>
    <row r="11" spans="2:18" ht="20.149999999999999" customHeight="1" x14ac:dyDescent="0.45">
      <c r="B11" s="454"/>
      <c r="C11" s="455"/>
      <c r="D11" s="456"/>
      <c r="E11" s="30"/>
      <c r="F11" s="457" t="str">
        <f>VLOOKUP(H10,'Delivery Location'!A$4:N$416,2,0)</f>
        <v>Soon Soon Soon Wenton Noodles                           1 Pasir Ris Down Town East                      EHUB #02-109  Singapore 519599</v>
      </c>
      <c r="G11" s="458"/>
      <c r="H11" s="459"/>
      <c r="J11" s="31" t="s">
        <v>11</v>
      </c>
      <c r="K11" s="551">
        <v>44684</v>
      </c>
      <c r="L11" s="472"/>
    </row>
    <row r="12" spans="2:18" ht="20.149999999999999" customHeight="1" x14ac:dyDescent="0.45">
      <c r="B12" s="468"/>
      <c r="C12" s="469"/>
      <c r="D12" s="470"/>
      <c r="E12" s="30"/>
      <c r="F12" s="460"/>
      <c r="G12" s="461"/>
      <c r="H12" s="462"/>
      <c r="J12" s="31" t="s">
        <v>171</v>
      </c>
      <c r="K12" s="471" t="s">
        <v>533</v>
      </c>
      <c r="L12" s="472"/>
    </row>
    <row r="13" spans="2:18" ht="20.149999999999999" customHeight="1" x14ac:dyDescent="0.45">
      <c r="B13" s="468"/>
      <c r="C13" s="469"/>
      <c r="D13" s="470"/>
      <c r="E13" s="30"/>
      <c r="F13" s="460"/>
      <c r="G13" s="461"/>
      <c r="H13" s="462"/>
      <c r="J13" s="31" t="s">
        <v>12</v>
      </c>
      <c r="K13" s="471" t="s">
        <v>692</v>
      </c>
      <c r="L13" s="472"/>
    </row>
    <row r="14" spans="2:18" ht="20.149999999999999" customHeight="1" x14ac:dyDescent="0.45">
      <c r="B14" s="468"/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8" ht="18" customHeight="1" thickBot="1" x14ac:dyDescent="0.5">
      <c r="B15" s="552"/>
      <c r="C15" s="474"/>
      <c r="D15" s="475"/>
      <c r="E15" s="26"/>
      <c r="F15" s="463"/>
      <c r="G15" s="464"/>
      <c r="H15" s="465"/>
      <c r="J15" s="32" t="s">
        <v>13</v>
      </c>
      <c r="K15" s="476"/>
      <c r="L15" s="477"/>
    </row>
    <row r="16" spans="2:18" ht="19" thickBot="1" x14ac:dyDescent="0.5">
      <c r="J16" s="22"/>
    </row>
    <row r="17" spans="2:16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8" t="s">
        <v>622</v>
      </c>
      <c r="I17" s="478" t="s">
        <v>621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16" ht="20.149999999999999" customHeight="1" x14ac:dyDescent="0.45">
      <c r="B18" s="70"/>
      <c r="C18" s="22" t="s">
        <v>1572</v>
      </c>
      <c r="D18" s="508" t="str">
        <f>VLOOKUP(C18,'Sales Master'!B$3:D$499,2,)</f>
        <v>Red Bean红豆 (5.5 mm)</v>
      </c>
      <c r="E18" s="508"/>
      <c r="F18" s="508"/>
      <c r="G18" s="90">
        <v>2</v>
      </c>
      <c r="H18" s="97" t="str">
        <f>VLOOKUP(C18,'Sales Master'!$B$3:$E$590,4,0)</f>
        <v>-</v>
      </c>
      <c r="I18" s="578" t="str">
        <f>VLOOKUP(C18,'Sales Master'!$B$3:F$590,5,0)</f>
        <v>5 kgs</v>
      </c>
      <c r="J18" s="578"/>
      <c r="K18" s="98">
        <f>VLOOKUP(C18,'Sales Master'!B$3:V$581,21,0)</f>
        <v>20</v>
      </c>
      <c r="L18" s="99">
        <f>K18*G18</f>
        <v>40</v>
      </c>
      <c r="M18" s="78"/>
      <c r="N18" s="225">
        <f>VLOOKUP(C18,'Sales Master'!$B$3:$DA$3038,104,0)</f>
        <v>17</v>
      </c>
      <c r="O18" s="225">
        <f>K18-N18</f>
        <v>3</v>
      </c>
      <c r="P18" s="225">
        <f>O18*G18</f>
        <v>6</v>
      </c>
    </row>
    <row r="19" spans="2:16" ht="20.149999999999999" customHeight="1" x14ac:dyDescent="0.45">
      <c r="B19" s="70"/>
      <c r="C19" s="22" t="s">
        <v>1585</v>
      </c>
      <c r="D19" s="508" t="str">
        <f>VLOOKUP(C19,'Sales Master'!B$3:D$499,2,)</f>
        <v>Green Bean 绿豆</v>
      </c>
      <c r="E19" s="508"/>
      <c r="F19" s="508"/>
      <c r="G19" s="90">
        <v>2</v>
      </c>
      <c r="H19" s="97" t="str">
        <f>VLOOKUP(C19,'Sales Master'!$B$3:$E$590,4,0)</f>
        <v>-</v>
      </c>
      <c r="I19" s="578" t="str">
        <f>VLOOKUP(C19,'Sales Master'!$B$3:F$590,5,0)</f>
        <v>5 kgs</v>
      </c>
      <c r="J19" s="578"/>
      <c r="K19" s="98">
        <f>VLOOKUP(C19,'Sales Master'!B$3:V$581,21,0)</f>
        <v>14.5</v>
      </c>
      <c r="L19" s="99">
        <f>K19*G19</f>
        <v>29</v>
      </c>
      <c r="M19" s="78"/>
      <c r="N19" s="225">
        <f>VLOOKUP(C19,'Sales Master'!$B$3:$DA$3038,104,0)</f>
        <v>9.3999999999999986</v>
      </c>
      <c r="O19" s="225">
        <f>K19-N19</f>
        <v>5.1000000000000014</v>
      </c>
      <c r="P19" s="225">
        <f>O19*G19</f>
        <v>10.200000000000003</v>
      </c>
    </row>
    <row r="20" spans="2:16" ht="20.149999999999999" customHeight="1" x14ac:dyDescent="0.45">
      <c r="B20" s="70"/>
      <c r="C20" s="22" t="s">
        <v>1615</v>
      </c>
      <c r="D20" s="508" t="str">
        <f>VLOOKUP(C20,'Sales Master'!B$3:D$499,2,)</f>
        <v>Small Sago 小丸</v>
      </c>
      <c r="E20" s="508"/>
      <c r="F20" s="508"/>
      <c r="G20" s="90">
        <v>1</v>
      </c>
      <c r="H20" s="97" t="str">
        <f>VLOOKUP(C20,'Sales Master'!$B$3:$E$590,4,0)</f>
        <v>-</v>
      </c>
      <c r="I20" s="578" t="str">
        <f>VLOOKUP(C20,'Sales Master'!$B$3:F$590,5,0)</f>
        <v>5 kgs</v>
      </c>
      <c r="J20" s="578"/>
      <c r="K20" s="98">
        <f>VLOOKUP(C20,'Sales Master'!B$3:V$581,21,0)</f>
        <v>10.5</v>
      </c>
      <c r="L20" s="99">
        <f>K20*G20</f>
        <v>10.5</v>
      </c>
      <c r="M20" s="78"/>
      <c r="N20" s="225">
        <f>VLOOKUP(C20,'Sales Master'!$B$3:$DA$3038,104,0)</f>
        <v>8</v>
      </c>
      <c r="O20" s="225">
        <f>K20-N20</f>
        <v>2.5</v>
      </c>
      <c r="P20" s="225">
        <f>O20*G20</f>
        <v>2.5</v>
      </c>
    </row>
    <row r="21" spans="2:16" ht="20.149999999999999" customHeight="1" x14ac:dyDescent="0.45">
      <c r="B21" s="70"/>
      <c r="C21" s="22" t="s">
        <v>1646</v>
      </c>
      <c r="D21" s="508" t="str">
        <f>VLOOKUP(C21,'Sales Master'!B$3:D$499,2,)</f>
        <v>Dried Orange Peel 陈皮</v>
      </c>
      <c r="E21" s="508"/>
      <c r="F21" s="508"/>
      <c r="G21" s="90">
        <v>1</v>
      </c>
      <c r="H21" s="97" t="str">
        <f>VLOOKUP(C21,'Sales Master'!$B$3:$E$590,4,0)</f>
        <v>-</v>
      </c>
      <c r="I21" s="578" t="str">
        <f>VLOOKUP(C21,'Sales Master'!$B$3:F$590,5,0)</f>
        <v>1 kg</v>
      </c>
      <c r="J21" s="578"/>
      <c r="K21" s="98">
        <f>VLOOKUP(C21,'Sales Master'!B$3:V$581,21,0)</f>
        <v>7</v>
      </c>
      <c r="L21" s="99">
        <f>K21*G21</f>
        <v>7</v>
      </c>
      <c r="M21" s="78"/>
      <c r="N21" s="225">
        <f>VLOOKUP(C21,'Sales Master'!$B$3:$DA$3038,104,0)</f>
        <v>3.8</v>
      </c>
      <c r="O21" s="225">
        <f>K21-N21</f>
        <v>3.2</v>
      </c>
      <c r="P21" s="225">
        <f>O21*G21</f>
        <v>3.2</v>
      </c>
    </row>
    <row r="22" spans="2:16" ht="20.149999999999999" customHeight="1" x14ac:dyDescent="0.45">
      <c r="B22" s="70"/>
      <c r="C22" s="22"/>
      <c r="D22" s="508"/>
      <c r="E22" s="508"/>
      <c r="F22" s="508"/>
      <c r="G22" s="90"/>
      <c r="H22" s="97"/>
      <c r="I22" s="578"/>
      <c r="J22" s="578"/>
      <c r="K22" s="98"/>
      <c r="L22" s="99"/>
      <c r="M22" s="78"/>
    </row>
    <row r="23" spans="2:16" ht="20.149999999999999" customHeight="1" x14ac:dyDescent="0.45">
      <c r="B23" s="70"/>
      <c r="C23" s="22"/>
      <c r="D23" s="508"/>
      <c r="E23" s="508"/>
      <c r="F23" s="508"/>
      <c r="G23" s="90"/>
      <c r="H23" s="97"/>
      <c r="I23" s="578"/>
      <c r="J23" s="578"/>
      <c r="K23" s="98"/>
      <c r="L23" s="99"/>
      <c r="M23" s="78"/>
    </row>
    <row r="24" spans="2:16" ht="20.149999999999999" customHeight="1" x14ac:dyDescent="0.45">
      <c r="B24" s="70"/>
      <c r="C24" s="595" t="s">
        <v>2128</v>
      </c>
      <c r="D24" s="595"/>
      <c r="E24" s="595"/>
      <c r="F24" s="595"/>
      <c r="G24" s="595"/>
      <c r="H24" s="97"/>
      <c r="I24" s="578"/>
      <c r="J24" s="578"/>
      <c r="K24" s="98"/>
      <c r="L24" s="99"/>
      <c r="M24" s="78"/>
    </row>
    <row r="25" spans="2:16" ht="20.149999999999999" customHeight="1" x14ac:dyDescent="0.45">
      <c r="B25" s="70"/>
      <c r="C25" s="230" t="s">
        <v>2129</v>
      </c>
      <c r="G25" s="90"/>
      <c r="H25" s="97"/>
      <c r="I25" s="78"/>
      <c r="J25" s="78"/>
      <c r="K25" s="98"/>
      <c r="L25" s="99"/>
    </row>
    <row r="26" spans="2:16" ht="20.149999999999999" customHeight="1" x14ac:dyDescent="0.45">
      <c r="B26" s="70"/>
      <c r="C26" s="22"/>
      <c r="D26" s="508"/>
      <c r="E26" s="508"/>
      <c r="F26" s="508"/>
      <c r="G26" s="90"/>
      <c r="H26" s="97"/>
      <c r="I26" s="578"/>
      <c r="J26" s="578"/>
      <c r="K26" s="98"/>
      <c r="L26" s="99"/>
      <c r="M26" s="78"/>
    </row>
    <row r="27" spans="2:16" ht="20.149999999999999" customHeight="1" x14ac:dyDescent="0.45">
      <c r="B27" s="70"/>
      <c r="C27" s="22"/>
      <c r="D27" s="508"/>
      <c r="E27" s="508"/>
      <c r="F27" s="508"/>
      <c r="G27" s="90"/>
      <c r="H27" s="97"/>
      <c r="I27" s="578"/>
      <c r="J27" s="578"/>
      <c r="K27" s="98"/>
      <c r="L27" s="99"/>
      <c r="M27" s="78"/>
    </row>
    <row r="28" spans="2:16" ht="20.149999999999999" customHeight="1" x14ac:dyDescent="0.45">
      <c r="B28" s="70"/>
      <c r="C28" s="22"/>
      <c r="D28" s="508"/>
      <c r="E28" s="508"/>
      <c r="F28" s="508"/>
      <c r="G28" s="90"/>
      <c r="H28" s="97"/>
      <c r="I28" s="578"/>
      <c r="J28" s="578"/>
      <c r="K28" s="98"/>
      <c r="L28" s="99"/>
      <c r="M28" s="78"/>
    </row>
    <row r="29" spans="2:16" ht="20.149999999999999" customHeight="1" x14ac:dyDescent="0.45">
      <c r="B29" s="70"/>
      <c r="C29" s="22"/>
      <c r="D29" s="508"/>
      <c r="E29" s="508"/>
      <c r="F29" s="508"/>
      <c r="G29" s="90"/>
      <c r="H29" s="97"/>
      <c r="I29" s="578"/>
      <c r="J29" s="578"/>
      <c r="K29" s="98"/>
      <c r="L29" s="99"/>
      <c r="M29" s="78"/>
    </row>
    <row r="30" spans="2:16" ht="20.149999999999999" customHeight="1" x14ac:dyDescent="0.45">
      <c r="B30" s="70"/>
      <c r="C30" s="22"/>
      <c r="D30" s="508"/>
      <c r="E30" s="508"/>
      <c r="F30" s="508"/>
      <c r="G30" s="90"/>
      <c r="H30" s="97"/>
      <c r="I30" s="578"/>
      <c r="J30" s="578"/>
      <c r="K30" s="98"/>
      <c r="L30" s="99"/>
      <c r="M30" s="78"/>
    </row>
    <row r="31" spans="2:16" ht="20.149999999999999" customHeight="1" x14ac:dyDescent="0.45">
      <c r="B31" s="70"/>
      <c r="C31" s="22"/>
      <c r="D31" s="508"/>
      <c r="E31" s="508"/>
      <c r="F31" s="508"/>
      <c r="G31" s="90"/>
      <c r="H31" s="97"/>
      <c r="I31" s="578"/>
      <c r="J31" s="578"/>
      <c r="K31" s="98"/>
      <c r="L31" s="99"/>
      <c r="M31" s="78"/>
    </row>
    <row r="32" spans="2:16" ht="20.149999999999999" customHeight="1" x14ac:dyDescent="0.45">
      <c r="B32" s="70"/>
      <c r="C32" s="22"/>
      <c r="D32" s="508"/>
      <c r="E32" s="508"/>
      <c r="F32" s="508"/>
      <c r="G32" s="90"/>
      <c r="H32" s="97"/>
      <c r="I32" s="578"/>
      <c r="J32" s="578"/>
      <c r="K32" s="98"/>
      <c r="L32" s="99"/>
    </row>
    <row r="33" spans="2:14" ht="20.149999999999999" customHeight="1" thickBot="1" x14ac:dyDescent="0.5">
      <c r="B33" s="52"/>
      <c r="C33" s="53"/>
      <c r="D33" s="53"/>
      <c r="E33" s="53"/>
      <c r="F33" s="53"/>
      <c r="G33" s="53"/>
      <c r="H33" s="53"/>
      <c r="I33" s="53"/>
      <c r="J33" s="53"/>
      <c r="K33" s="53"/>
      <c r="L33" s="54"/>
    </row>
    <row r="34" spans="2:14" ht="20.149999999999999" customHeight="1" x14ac:dyDescent="0.45">
      <c r="B34" s="11" t="s">
        <v>18</v>
      </c>
      <c r="C34" s="7"/>
      <c r="D34" s="7"/>
      <c r="E34" s="7"/>
      <c r="F34" s="7"/>
      <c r="G34" s="7"/>
      <c r="H34" s="7"/>
      <c r="I34" s="7"/>
      <c r="J34" s="510" t="s">
        <v>15</v>
      </c>
      <c r="K34" s="511"/>
      <c r="L34" s="43">
        <f>SUM(L17:L32)</f>
        <v>86.5</v>
      </c>
      <c r="M34" s="76">
        <f>SUM(P18:P32)</f>
        <v>21.900000000000002</v>
      </c>
      <c r="N34" s="201">
        <f>M34/L34</f>
        <v>0.25317919075144513</v>
      </c>
    </row>
    <row r="35" spans="2:14" ht="20.149999999999999" customHeight="1" x14ac:dyDescent="0.45">
      <c r="B35" s="11" t="s">
        <v>19</v>
      </c>
      <c r="C35" s="7"/>
      <c r="D35" s="7"/>
      <c r="E35" s="7"/>
      <c r="F35" s="7"/>
      <c r="G35" s="7"/>
      <c r="H35" s="7"/>
      <c r="I35" s="7"/>
      <c r="J35" s="44" t="s">
        <v>22</v>
      </c>
      <c r="K35" s="45"/>
      <c r="L35" s="46">
        <f>L34*K35</f>
        <v>0</v>
      </c>
    </row>
    <row r="36" spans="2:14" ht="20.149999999999999" customHeight="1" x14ac:dyDescent="0.45">
      <c r="B36" s="11" t="s">
        <v>20</v>
      </c>
      <c r="C36" s="7"/>
      <c r="D36" s="7"/>
      <c r="E36" s="7"/>
      <c r="F36" s="7"/>
      <c r="G36" s="7"/>
      <c r="H36" s="7"/>
      <c r="I36" s="7"/>
      <c r="J36" s="486" t="s">
        <v>21</v>
      </c>
      <c r="K36" s="487"/>
      <c r="L36" s="46">
        <f>L34-L35</f>
        <v>86.5</v>
      </c>
    </row>
    <row r="37" spans="2:14" ht="20.149999999999999" customHeight="1" x14ac:dyDescent="0.45">
      <c r="B37" s="11" t="s">
        <v>24</v>
      </c>
      <c r="C37" s="7"/>
      <c r="D37" s="7"/>
      <c r="E37" s="7"/>
      <c r="F37" s="7"/>
      <c r="G37" s="7"/>
      <c r="H37" s="7"/>
      <c r="I37" s="7"/>
      <c r="J37" s="150" t="s">
        <v>17</v>
      </c>
      <c r="K37" s="151">
        <v>7.0000000000000007E-2</v>
      </c>
      <c r="L37" s="47">
        <f>L36*K37</f>
        <v>6.0550000000000006</v>
      </c>
    </row>
    <row r="38" spans="2:14" ht="20.149999999999999" customHeight="1" thickBot="1" x14ac:dyDescent="0.5">
      <c r="B38" s="11" t="s">
        <v>25</v>
      </c>
      <c r="C38" s="7"/>
      <c r="D38" s="7"/>
      <c r="E38" s="7"/>
      <c r="F38" s="7"/>
      <c r="G38" s="7"/>
      <c r="H38" s="7"/>
      <c r="I38" s="7"/>
      <c r="J38" s="488" t="s">
        <v>23</v>
      </c>
      <c r="K38" s="489"/>
      <c r="L38" s="48">
        <f>L36+L37</f>
        <v>92.555000000000007</v>
      </c>
    </row>
    <row r="39" spans="2:14" ht="20.149999999999999" customHeight="1" x14ac:dyDescent="0.45">
      <c r="B39" s="11" t="s">
        <v>26</v>
      </c>
      <c r="C39" s="7"/>
      <c r="D39" s="7"/>
      <c r="E39" s="7"/>
      <c r="F39" s="7"/>
      <c r="G39" s="7"/>
      <c r="H39" s="7"/>
      <c r="I39" s="7"/>
      <c r="L39" s="42"/>
    </row>
    <row r="40" spans="2:14" ht="20.149999999999999" customHeight="1" x14ac:dyDescent="0.45">
      <c r="B40" s="41"/>
      <c r="L40" s="42"/>
    </row>
    <row r="41" spans="2:14" ht="20.149999999999999" customHeight="1" x14ac:dyDescent="0.45">
      <c r="B41" s="41"/>
      <c r="L41" s="42"/>
    </row>
    <row r="42" spans="2:14" ht="20.149999999999999" customHeight="1" x14ac:dyDescent="0.45">
      <c r="B42" s="41"/>
      <c r="L42" s="42"/>
    </row>
    <row r="43" spans="2:14" ht="20.149999999999999" customHeight="1" x14ac:dyDescent="0.45">
      <c r="B43" s="41"/>
      <c r="L43" s="42"/>
    </row>
    <row r="44" spans="2:14" ht="20.149999999999999" customHeight="1" x14ac:dyDescent="0.45">
      <c r="B44" s="49"/>
      <c r="C44" s="50"/>
      <c r="D44" s="50"/>
      <c r="J44" s="50"/>
      <c r="K44" s="50"/>
      <c r="L44" s="51"/>
    </row>
    <row r="45" spans="2:14" ht="20.149999999999999" customHeight="1" x14ac:dyDescent="0.45">
      <c r="B45" s="41" t="s">
        <v>27</v>
      </c>
      <c r="J45" s="24" t="s">
        <v>28</v>
      </c>
      <c r="L45" s="42"/>
    </row>
    <row r="46" spans="2:14" ht="19" thickBot="1" x14ac:dyDescent="0.5">
      <c r="B46" s="52"/>
      <c r="C46" s="53"/>
      <c r="D46" s="53"/>
      <c r="E46" s="53"/>
      <c r="F46" s="53"/>
      <c r="G46" s="53"/>
      <c r="H46" s="53"/>
      <c r="I46" s="53"/>
      <c r="J46" s="53"/>
      <c r="K46" s="53"/>
      <c r="L46" s="54"/>
    </row>
  </sheetData>
  <mergeCells count="47">
    <mergeCell ref="N10:R10"/>
    <mergeCell ref="B1:L8"/>
    <mergeCell ref="J36:K36"/>
    <mergeCell ref="J38:K38"/>
    <mergeCell ref="D30:F30"/>
    <mergeCell ref="I30:J30"/>
    <mergeCell ref="D31:F31"/>
    <mergeCell ref="I31:J31"/>
    <mergeCell ref="D32:F32"/>
    <mergeCell ref="I32:J32"/>
    <mergeCell ref="D28:F28"/>
    <mergeCell ref="I28:J28"/>
    <mergeCell ref="D29:F29"/>
    <mergeCell ref="I29:J29"/>
    <mergeCell ref="J34:K34"/>
    <mergeCell ref="D26:F26"/>
    <mergeCell ref="I26:J26"/>
    <mergeCell ref="D27:F27"/>
    <mergeCell ref="I27:J27"/>
    <mergeCell ref="D23:F23"/>
    <mergeCell ref="I23:J23"/>
    <mergeCell ref="I24:J24"/>
    <mergeCell ref="C24:G24"/>
    <mergeCell ref="D20:F20"/>
    <mergeCell ref="I20:J20"/>
    <mergeCell ref="D21:F21"/>
    <mergeCell ref="I21:J21"/>
    <mergeCell ref="D22:F22"/>
    <mergeCell ref="I22:J22"/>
    <mergeCell ref="D17:F17"/>
    <mergeCell ref="I17:J17"/>
    <mergeCell ref="D18:F18"/>
    <mergeCell ref="I18:J18"/>
    <mergeCell ref="D19:F19"/>
    <mergeCell ref="I19:J19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505" right="0.31496062992126" top="0.59055118110236204" bottom="0" header="0.31496062992126" footer="0.31496062992126"/>
  <pageSetup paperSize="9" scale="77" orientation="portrait" horizontalDpi="300" verticalDpi="300" r:id="rId1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786957-6310-46E2-A01F-DD3D4CCE038E}">
  <sheetPr codeName="Sheet98">
    <tabColor rgb="FF92D050"/>
    <pageSetUpPr fitToPage="1"/>
  </sheetPr>
  <dimension ref="B1:P43"/>
  <sheetViews>
    <sheetView topLeftCell="A12" workbookViewId="0">
      <selection activeCell="G19" sqref="G19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6.54296875" style="24" customWidth="1"/>
    <col min="7" max="7" width="8.54296875" style="24" customWidth="1"/>
    <col min="8" max="8" width="18.36328125" style="24" customWidth="1"/>
    <col min="9" max="9" width="2.54296875" style="24" customWidth="1"/>
    <col min="10" max="10" width="15.54296875" style="24" customWidth="1"/>
    <col min="11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162</v>
      </c>
      <c r="J10" s="29" t="s">
        <v>29</v>
      </c>
      <c r="K10" s="452">
        <v>202209285</v>
      </c>
      <c r="L10" s="453"/>
    </row>
    <row r="11" spans="2:12" ht="20.149999999999999" customHeight="1" x14ac:dyDescent="0.45">
      <c r="B11" s="454" t="s">
        <v>553</v>
      </c>
      <c r="C11" s="455"/>
      <c r="D11" s="456"/>
      <c r="E11" s="30"/>
      <c r="F11" s="457" t="str">
        <f>VLOOKUP(H10,'Delivery Location'!A$4:N$416,2,0)</f>
        <v>Dessert First Pte Ltd                                   37, #01-407 Jalan Rummah Tinggi Singapore 150037</v>
      </c>
      <c r="G11" s="458"/>
      <c r="H11" s="459"/>
      <c r="J11" s="31" t="s">
        <v>11</v>
      </c>
      <c r="K11" s="466">
        <v>44823</v>
      </c>
      <c r="L11" s="467"/>
    </row>
    <row r="12" spans="2:12" ht="20.149999999999999" customHeight="1" x14ac:dyDescent="0.45">
      <c r="B12" s="468" t="s">
        <v>554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533</v>
      </c>
      <c r="L12" s="472"/>
    </row>
    <row r="13" spans="2:12" ht="20.149999999999999" customHeight="1" x14ac:dyDescent="0.45">
      <c r="B13" s="468" t="s">
        <v>555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2188</v>
      </c>
      <c r="L13" s="472"/>
    </row>
    <row r="14" spans="2:12" ht="20.149999999999999" customHeight="1" x14ac:dyDescent="0.45">
      <c r="B14" s="468"/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55"/>
      <c r="C15" s="56"/>
      <c r="D15" s="57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16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16" ht="20.149999999999999" customHeight="1" x14ac:dyDescent="0.45">
      <c r="B18" s="70"/>
      <c r="C18" s="22" t="s">
        <v>1691</v>
      </c>
      <c r="D18" s="508" t="str">
        <f>VLOOKUP(C18,'Sales Master'!B$3:D$499,2,)</f>
        <v>Nata De Coco椰果芊 15mm</v>
      </c>
      <c r="E18" s="508"/>
      <c r="F18" s="508"/>
      <c r="G18" s="22">
        <v>24</v>
      </c>
      <c r="H18" s="389" t="str">
        <f>VLOOKUP(C18,'Sales Master'!$B$3:$F$3179,5,0)</f>
        <v>1 Can X A10</v>
      </c>
      <c r="I18" s="512" t="str">
        <f>VLOOKUP(C18,'Sales Master'!$B$3:$E$3179,4,0)</f>
        <v>Chefs</v>
      </c>
      <c r="J18" s="512"/>
      <c r="K18" s="35">
        <f>VLOOKUP(C18,'Sales Master'!B$3:$Z$581,25,0)</f>
        <v>9.5</v>
      </c>
      <c r="L18" s="77">
        <f>K18*G18</f>
        <v>228</v>
      </c>
      <c r="M18" s="78"/>
      <c r="N18" s="225">
        <f>VLOOKUP(C18,'Sales Master'!$B$3:$DA$3038,104,0)</f>
        <v>6.916666666666667</v>
      </c>
      <c r="O18" s="225">
        <f>K18-N18</f>
        <v>2.583333333333333</v>
      </c>
      <c r="P18" s="225">
        <f>O18*G18</f>
        <v>61.999999999999993</v>
      </c>
    </row>
    <row r="19" spans="2:16" ht="20.149999999999999" customHeight="1" x14ac:dyDescent="0.45">
      <c r="B19" s="70"/>
      <c r="C19" s="22" t="s">
        <v>1737</v>
      </c>
      <c r="D19" s="508" t="str">
        <f>VLOOKUP(C19,'Sales Master'!B$3:D$499,2,)</f>
        <v>Coconut Milk 椰浆</v>
      </c>
      <c r="E19" s="508"/>
      <c r="F19" s="508"/>
      <c r="G19" s="22">
        <v>2</v>
      </c>
      <c r="H19" s="389" t="str">
        <f>VLOOKUP(C19,'Sales Master'!$B$3:$F$3179,5,0)</f>
        <v>(200gm x 30bag)/箱</v>
      </c>
      <c r="I19" s="512" t="str">
        <f>VLOOKUP(C19,'Sales Master'!$B$3:$E$3179,4,0)</f>
        <v>Kara UHT</v>
      </c>
      <c r="J19" s="512"/>
      <c r="K19" s="35">
        <f>VLOOKUP(C19,'Sales Master'!B$3:$Z$581,25,0)</f>
        <v>23</v>
      </c>
      <c r="L19" s="77">
        <f>K19*G19</f>
        <v>46</v>
      </c>
      <c r="M19" s="78"/>
      <c r="N19" s="225">
        <f>VLOOKUP(C19,'Sales Master'!$B$3:$DA$3038,104,0)</f>
        <v>20</v>
      </c>
      <c r="O19" s="225">
        <f>K19-N19</f>
        <v>3</v>
      </c>
      <c r="P19" s="225">
        <f>O19*G19</f>
        <v>6</v>
      </c>
    </row>
    <row r="20" spans="2:16" ht="20.149999999999999" customHeight="1" x14ac:dyDescent="0.45">
      <c r="B20" s="70"/>
      <c r="C20" s="22" t="s">
        <v>1771</v>
      </c>
      <c r="D20" s="508" t="str">
        <f>VLOOKUP(C20,'Sales Master'!B$3:D$499,2,)</f>
        <v>Fine Sugar 白糖</v>
      </c>
      <c r="E20" s="508"/>
      <c r="F20" s="508"/>
      <c r="G20" s="22">
        <v>5</v>
      </c>
      <c r="H20" s="389" t="str">
        <f>VLOOKUP(C20,'Sales Master'!$B$3:$F$3179,5,0)</f>
        <v>25 KGS</v>
      </c>
      <c r="I20" s="512" t="str">
        <f>VLOOKUP(C20,'Sales Master'!$B$3:$E$3179,4,0)</f>
        <v>MITRPHOL</v>
      </c>
      <c r="J20" s="512"/>
      <c r="K20" s="35">
        <f>VLOOKUP(C20,'Sales Master'!B$3:$Z$581,25,0)</f>
        <v>29</v>
      </c>
      <c r="L20" s="77">
        <f>K20*G20</f>
        <v>145</v>
      </c>
      <c r="M20" s="78"/>
      <c r="N20" s="225">
        <f>VLOOKUP(C20,'Sales Master'!$B$3:$DA$3038,104,0)</f>
        <v>24</v>
      </c>
      <c r="O20" s="225">
        <f>K20-N20</f>
        <v>5</v>
      </c>
      <c r="P20" s="225">
        <f>O20*G20</f>
        <v>25</v>
      </c>
    </row>
    <row r="21" spans="2:16" ht="20.149999999999999" customHeight="1" x14ac:dyDescent="0.45">
      <c r="B21" s="70"/>
      <c r="C21" s="22"/>
      <c r="D21" s="508"/>
      <c r="E21" s="508"/>
      <c r="F21" s="508"/>
      <c r="G21" s="22"/>
      <c r="H21" s="389"/>
      <c r="I21" s="512"/>
      <c r="J21" s="512"/>
      <c r="K21" s="35"/>
      <c r="L21" s="77"/>
      <c r="M21" s="78"/>
      <c r="N21" s="225"/>
      <c r="O21" s="225"/>
      <c r="P21" s="225"/>
    </row>
    <row r="22" spans="2:16" ht="20.149999999999999" customHeight="1" x14ac:dyDescent="0.45">
      <c r="B22" s="70"/>
      <c r="C22" s="22"/>
      <c r="G22" s="22"/>
      <c r="H22" s="389"/>
      <c r="I22" s="389"/>
      <c r="J22" s="389"/>
      <c r="K22" s="35"/>
      <c r="L22" s="77"/>
      <c r="M22" s="78"/>
      <c r="N22" s="225"/>
      <c r="O22" s="225"/>
      <c r="P22" s="225"/>
    </row>
    <row r="23" spans="2:16" ht="20.149999999999999" customHeight="1" x14ac:dyDescent="0.45">
      <c r="B23" s="70"/>
      <c r="C23" s="22"/>
      <c r="G23" s="22"/>
      <c r="H23" s="389"/>
      <c r="I23" s="389"/>
      <c r="J23" s="389"/>
      <c r="K23" s="35"/>
      <c r="L23" s="77"/>
      <c r="M23" s="78"/>
      <c r="N23" s="225"/>
      <c r="O23" s="225"/>
      <c r="P23" s="225"/>
    </row>
    <row r="24" spans="2:16" ht="20.149999999999999" customHeight="1" x14ac:dyDescent="0.45">
      <c r="B24" s="70"/>
      <c r="C24" s="403"/>
      <c r="G24" s="90"/>
      <c r="H24" s="68"/>
      <c r="I24" s="68"/>
      <c r="J24" s="68"/>
      <c r="K24" s="286"/>
      <c r="L24" s="77"/>
      <c r="M24" s="78"/>
    </row>
    <row r="25" spans="2:16" ht="20.149999999999999" customHeight="1" x14ac:dyDescent="0.45">
      <c r="B25" s="70"/>
      <c r="C25" s="22"/>
      <c r="D25" s="505"/>
      <c r="E25" s="505"/>
      <c r="F25" s="505"/>
      <c r="G25" s="90"/>
      <c r="H25" s="97"/>
      <c r="I25" s="506"/>
      <c r="J25" s="506"/>
      <c r="K25" s="286"/>
      <c r="L25" s="77"/>
      <c r="M25" s="78"/>
    </row>
    <row r="26" spans="2:16" ht="20.149999999999999" customHeight="1" x14ac:dyDescent="0.45">
      <c r="B26" s="70"/>
      <c r="C26" s="22"/>
      <c r="D26" s="230"/>
      <c r="E26" s="230"/>
      <c r="F26" s="230"/>
      <c r="G26" s="90"/>
      <c r="H26" s="68"/>
      <c r="I26" s="68"/>
      <c r="J26" s="68"/>
      <c r="K26" s="286"/>
      <c r="L26" s="77"/>
      <c r="M26" s="78"/>
    </row>
    <row r="27" spans="2:16" ht="20.149999999999999" customHeight="1" x14ac:dyDescent="0.45">
      <c r="B27" s="70"/>
      <c r="C27" s="299"/>
      <c r="G27" s="90"/>
      <c r="H27" s="68"/>
      <c r="I27" s="68"/>
      <c r="J27" s="68"/>
      <c r="K27" s="286"/>
      <c r="L27" s="77"/>
      <c r="M27" s="78"/>
    </row>
    <row r="28" spans="2:16" ht="20.149999999999999" customHeight="1" x14ac:dyDescent="0.45">
      <c r="B28" s="70"/>
      <c r="C28" s="22"/>
      <c r="D28" s="505"/>
      <c r="E28" s="505"/>
      <c r="F28" s="505"/>
      <c r="G28" s="90"/>
      <c r="H28" s="97"/>
      <c r="I28" s="506"/>
      <c r="J28" s="506"/>
      <c r="K28" s="286"/>
      <c r="L28" s="77"/>
      <c r="M28" s="78"/>
    </row>
    <row r="29" spans="2:16" ht="20.149999999999999" customHeight="1" thickBot="1" x14ac:dyDescent="0.5">
      <c r="B29" s="37"/>
      <c r="C29" s="38"/>
      <c r="D29" s="509"/>
      <c r="E29" s="509"/>
      <c r="F29" s="509"/>
      <c r="G29" s="38"/>
      <c r="H29" s="69"/>
      <c r="I29" s="451"/>
      <c r="J29" s="451"/>
      <c r="K29" s="39"/>
      <c r="L29" s="40"/>
    </row>
    <row r="30" spans="2:16" ht="20.149999999999999" customHeight="1" thickBot="1" x14ac:dyDescent="0.5">
      <c r="B30" s="41"/>
      <c r="L30" s="42"/>
    </row>
    <row r="31" spans="2:16" ht="20.149999999999999" customHeight="1" x14ac:dyDescent="0.45">
      <c r="B31" s="11" t="s">
        <v>18</v>
      </c>
      <c r="C31" s="7"/>
      <c r="D31" s="7"/>
      <c r="E31" s="7"/>
      <c r="F31" s="7"/>
      <c r="G31" s="7"/>
      <c r="H31" s="7"/>
      <c r="I31" s="7"/>
      <c r="J31" s="510" t="s">
        <v>15</v>
      </c>
      <c r="K31" s="511"/>
      <c r="L31" s="43">
        <f>SUM(L17:L28)</f>
        <v>419</v>
      </c>
      <c r="M31" s="76">
        <f>SUM(P18:P29)</f>
        <v>93</v>
      </c>
      <c r="N31" s="201">
        <f>M31/L31</f>
        <v>0.22195704057279236</v>
      </c>
    </row>
    <row r="32" spans="2:16" ht="20.149999999999999" customHeight="1" x14ac:dyDescent="0.45">
      <c r="B32" s="11" t="s">
        <v>19</v>
      </c>
      <c r="C32" s="7"/>
      <c r="D32" s="7"/>
      <c r="E32" s="7"/>
      <c r="F32" s="7"/>
      <c r="G32" s="7"/>
      <c r="H32" s="7"/>
      <c r="I32" s="7"/>
      <c r="J32" s="44" t="s">
        <v>22</v>
      </c>
      <c r="K32" s="45"/>
      <c r="L32" s="46">
        <f>L31*K32</f>
        <v>0</v>
      </c>
    </row>
    <row r="33" spans="2:12" ht="20.149999999999999" customHeight="1" x14ac:dyDescent="0.45">
      <c r="B33" s="11" t="s">
        <v>20</v>
      </c>
      <c r="C33" s="7"/>
      <c r="D33" s="7"/>
      <c r="E33" s="7"/>
      <c r="F33" s="7"/>
      <c r="G33" s="7"/>
      <c r="H33" s="7"/>
      <c r="I33" s="7"/>
      <c r="J33" s="486" t="s">
        <v>21</v>
      </c>
      <c r="K33" s="487"/>
      <c r="L33" s="46">
        <f>L31-L32</f>
        <v>419</v>
      </c>
    </row>
    <row r="34" spans="2:12" ht="20.149999999999999" customHeight="1" x14ac:dyDescent="0.45">
      <c r="B34" s="11" t="s">
        <v>24</v>
      </c>
      <c r="C34" s="7"/>
      <c r="D34" s="7"/>
      <c r="E34" s="7"/>
      <c r="F34" s="7"/>
      <c r="G34" s="7"/>
      <c r="H34" s="7"/>
      <c r="I34" s="7"/>
      <c r="J34" s="150" t="s">
        <v>17</v>
      </c>
      <c r="K34" s="151">
        <v>7.0000000000000007E-2</v>
      </c>
      <c r="L34" s="47">
        <f>L33*K34</f>
        <v>29.330000000000002</v>
      </c>
    </row>
    <row r="35" spans="2:12" ht="20.149999999999999" customHeight="1" thickBot="1" x14ac:dyDescent="0.5">
      <c r="B35" s="11" t="s">
        <v>1400</v>
      </c>
      <c r="C35" s="7"/>
      <c r="D35" s="7"/>
      <c r="E35" s="7"/>
      <c r="F35" s="7"/>
      <c r="G35" s="7"/>
      <c r="H35" s="7"/>
      <c r="I35" s="7"/>
      <c r="J35" s="488" t="s">
        <v>23</v>
      </c>
      <c r="K35" s="489"/>
      <c r="L35" s="48">
        <f>L33+L34</f>
        <v>448.33</v>
      </c>
    </row>
    <row r="36" spans="2:12" ht="20.149999999999999" customHeight="1" x14ac:dyDescent="0.45">
      <c r="B36" s="11" t="s">
        <v>26</v>
      </c>
      <c r="C36" s="7"/>
      <c r="D36" s="7"/>
      <c r="E36" s="7"/>
      <c r="F36" s="7"/>
      <c r="G36" s="7"/>
      <c r="H36" s="7"/>
      <c r="I36" s="7"/>
      <c r="L36" s="42"/>
    </row>
    <row r="37" spans="2:12" ht="20.149999999999999" customHeight="1" x14ac:dyDescent="0.45">
      <c r="B37" s="224" t="s">
        <v>1379</v>
      </c>
      <c r="L37" s="42"/>
    </row>
    <row r="38" spans="2:12" ht="20.149999999999999" customHeight="1" x14ac:dyDescent="0.45">
      <c r="B38" s="41"/>
      <c r="L38" s="42"/>
    </row>
    <row r="39" spans="2:12" ht="20.149999999999999" customHeight="1" x14ac:dyDescent="0.45">
      <c r="B39" s="41"/>
      <c r="L39" s="42"/>
    </row>
    <row r="40" spans="2:12" ht="20.149999999999999" customHeight="1" x14ac:dyDescent="0.45">
      <c r="B40" s="41"/>
      <c r="L40" s="42"/>
    </row>
    <row r="41" spans="2:12" ht="20.149999999999999" customHeight="1" x14ac:dyDescent="0.45">
      <c r="B41" s="49"/>
      <c r="C41" s="50"/>
      <c r="D41" s="50"/>
      <c r="J41" s="50"/>
      <c r="K41" s="50"/>
      <c r="L41" s="51"/>
    </row>
    <row r="42" spans="2:12" ht="20.149999999999999" customHeight="1" x14ac:dyDescent="0.45">
      <c r="B42" s="41" t="s">
        <v>27</v>
      </c>
      <c r="J42" s="24" t="s">
        <v>28</v>
      </c>
      <c r="L42" s="42"/>
    </row>
    <row r="43" spans="2:12" ht="19" thickBot="1" x14ac:dyDescent="0.5">
      <c r="B43" s="52"/>
      <c r="C43" s="53"/>
      <c r="D43" s="53"/>
      <c r="E43" s="53"/>
      <c r="F43" s="53"/>
      <c r="G43" s="53"/>
      <c r="H43" s="53"/>
      <c r="I43" s="53"/>
      <c r="J43" s="53"/>
      <c r="K43" s="53"/>
      <c r="L43" s="54"/>
    </row>
  </sheetData>
  <mergeCells count="31">
    <mergeCell ref="J35:K35"/>
    <mergeCell ref="D29:F29"/>
    <mergeCell ref="I29:J29"/>
    <mergeCell ref="J31:K31"/>
    <mergeCell ref="J33:K33"/>
    <mergeCell ref="D28:F28"/>
    <mergeCell ref="I28:J28"/>
    <mergeCell ref="D20:F20"/>
    <mergeCell ref="I20:J20"/>
    <mergeCell ref="D21:F21"/>
    <mergeCell ref="I21:J21"/>
    <mergeCell ref="D25:F25"/>
    <mergeCell ref="I25:J25"/>
    <mergeCell ref="D17:F17"/>
    <mergeCell ref="I17:J17"/>
    <mergeCell ref="D18:F18"/>
    <mergeCell ref="I18:J18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</mergeCells>
  <conditionalFormatting sqref="C25:C26">
    <cfRule type="duplicateValues" dxfId="18" priority="1"/>
  </conditionalFormatting>
  <conditionalFormatting sqref="C25:C27">
    <cfRule type="duplicateValues" dxfId="17" priority="1155"/>
  </conditionalFormatting>
  <pageMargins left="0.70866141732283472" right="0.31496062992125984" top="0.59055118110236227" bottom="0" header="0.31496062992125984" footer="0.31496062992125984"/>
  <pageSetup paperSize="9" scale="74" orientation="portrait" horizontalDpi="300" verticalDpi="300" r:id="rId1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B8D7B-4CD8-4FA2-996E-AACB3111D379}">
  <sheetPr codeName="Sheet100">
    <tabColor rgb="FF92D050"/>
    <pageSetUpPr fitToPage="1"/>
  </sheetPr>
  <dimension ref="B1:P40"/>
  <sheetViews>
    <sheetView topLeftCell="B4" workbookViewId="0">
      <selection activeCell="F21" sqref="F21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4.54296875" style="24" customWidth="1"/>
    <col min="7" max="7" width="8.54296875" style="24" customWidth="1"/>
    <col min="8" max="8" width="18.1796875" style="24" customWidth="1"/>
    <col min="9" max="9" width="1.1796875" style="24" customWidth="1"/>
    <col min="10" max="10" width="15.54296875" style="24" customWidth="1"/>
    <col min="11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150</v>
      </c>
      <c r="J10" s="29" t="s">
        <v>29</v>
      </c>
      <c r="K10" s="452">
        <v>202209284</v>
      </c>
      <c r="L10" s="453"/>
    </row>
    <row r="11" spans="2:12" ht="20.149999999999999" customHeight="1" x14ac:dyDescent="0.45">
      <c r="B11" s="454" t="s">
        <v>2037</v>
      </c>
      <c r="C11" s="455"/>
      <c r="D11" s="456"/>
      <c r="E11" s="30"/>
      <c r="F11" s="457" t="str">
        <f>VLOOKUP(H10,'Delivery Location'!A$4:N$416,2,0)</f>
        <v xml:space="preserve">Koufu - Dim Sum                                     10, Sinaran Drive #04-14 to 19,56 to 73. Novena Square 2 Singapore 307506                                             </v>
      </c>
      <c r="G11" s="458"/>
      <c r="H11" s="459"/>
      <c r="J11" s="31" t="s">
        <v>11</v>
      </c>
      <c r="K11" s="466">
        <v>44823</v>
      </c>
      <c r="L11" s="467"/>
    </row>
    <row r="12" spans="2:12" ht="20.149999999999999" customHeight="1" x14ac:dyDescent="0.45">
      <c r="B12" s="468" t="s">
        <v>2139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533</v>
      </c>
      <c r="L12" s="472"/>
    </row>
    <row r="13" spans="2:12" ht="20.149999999999999" customHeight="1" x14ac:dyDescent="0.45">
      <c r="B13" s="468" t="s">
        <v>2024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14</v>
      </c>
      <c r="L13" s="472"/>
    </row>
    <row r="14" spans="2:12" ht="20.149999999999999" customHeight="1" x14ac:dyDescent="0.45">
      <c r="B14" s="468" t="s">
        <v>2025</v>
      </c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463" t="s">
        <v>2026</v>
      </c>
      <c r="C15" s="464"/>
      <c r="D15" s="465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16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16" ht="20.149999999999999" customHeight="1" x14ac:dyDescent="0.45">
      <c r="B18" s="34"/>
      <c r="C18" s="22" t="s">
        <v>1543</v>
      </c>
      <c r="D18" s="508" t="str">
        <f>VLOOKUP(C18,'Sales Master'!B$3:D$499,2,)</f>
        <v>Tapioca Flour 茨粉</v>
      </c>
      <c r="E18" s="508"/>
      <c r="F18" s="508"/>
      <c r="G18" s="22">
        <v>10</v>
      </c>
      <c r="H18" s="389" t="str">
        <f>VLOOKUP(C18,'Sales Master'!$B$3:$F$3179,5,0)</f>
        <v xml:space="preserve">500gm/pkt </v>
      </c>
      <c r="I18" s="512" t="str">
        <f>VLOOKUP(C18,'Sales Master'!$B$3:$E$3179,4,0)</f>
        <v>F/man 飞人</v>
      </c>
      <c r="J18" s="512"/>
      <c r="K18" s="35">
        <f>VLOOKUP(C18,'Sales Master'!B$3:J$499,9,0)</f>
        <v>0.8</v>
      </c>
      <c r="L18" s="77">
        <f>K18*G18</f>
        <v>8</v>
      </c>
      <c r="M18" s="78"/>
      <c r="N18" s="225">
        <f>VLOOKUP(C18,'Sales Master'!$B$3:$DA$3038,104,0)</f>
        <v>0.57999999999999996</v>
      </c>
      <c r="O18" s="225">
        <f>K18-N18</f>
        <v>0.22000000000000008</v>
      </c>
      <c r="P18" s="225">
        <f>O18*G18</f>
        <v>2.2000000000000011</v>
      </c>
    </row>
    <row r="19" spans="2:16" ht="20.149999999999999" customHeight="1" x14ac:dyDescent="0.45">
      <c r="B19" s="34"/>
      <c r="C19" s="22" t="s">
        <v>1736</v>
      </c>
      <c r="D19" s="508" t="str">
        <f>VLOOKUP(C19,'Sales Master'!B$3:D$499,2,)</f>
        <v>Coconut Milk 椰浆</v>
      </c>
      <c r="E19" s="508"/>
      <c r="F19" s="508"/>
      <c r="G19" s="22">
        <v>3</v>
      </c>
      <c r="H19" s="389" t="str">
        <f>VLOOKUP(C19,'Sales Master'!$B$3:$F$3179,5,0)</f>
        <v>(1L x 12bag)/箱</v>
      </c>
      <c r="I19" s="512" t="str">
        <f>VLOOKUP(C19,'Sales Master'!$B$3:$E$3179,4,0)</f>
        <v>Kara UHT</v>
      </c>
      <c r="J19" s="512"/>
      <c r="K19" s="35">
        <f>VLOOKUP(C19,'Sales Master'!B$3:J$499,9,0)</f>
        <v>42</v>
      </c>
      <c r="L19" s="77">
        <f>K19*G19</f>
        <v>126</v>
      </c>
      <c r="M19" s="78"/>
      <c r="N19" s="225">
        <f>VLOOKUP(C19,'Sales Master'!$B$3:$DA$3038,104,0)</f>
        <v>35.5</v>
      </c>
      <c r="O19" s="225">
        <f>K19-N19</f>
        <v>6.5</v>
      </c>
      <c r="P19" s="225">
        <f>O19*G19</f>
        <v>19.5</v>
      </c>
    </row>
    <row r="20" spans="2:16" ht="20.149999999999999" customHeight="1" x14ac:dyDescent="0.45">
      <c r="B20" s="34"/>
      <c r="C20" s="22"/>
      <c r="G20" s="22"/>
      <c r="H20" s="68"/>
      <c r="I20" s="68"/>
      <c r="J20" s="68"/>
      <c r="K20" s="35"/>
      <c r="L20" s="77"/>
      <c r="M20" s="78"/>
      <c r="N20" s="225"/>
      <c r="O20" s="225"/>
      <c r="P20" s="225"/>
    </row>
    <row r="21" spans="2:16" ht="20.149999999999999" customHeight="1" x14ac:dyDescent="0.45">
      <c r="B21" s="34"/>
      <c r="C21" s="22"/>
      <c r="G21" s="22"/>
      <c r="H21" s="68"/>
      <c r="I21" s="68"/>
      <c r="J21" s="68"/>
      <c r="K21" s="35"/>
      <c r="L21" s="77"/>
      <c r="M21" s="78"/>
      <c r="N21" s="225"/>
      <c r="O21" s="225"/>
      <c r="P21" s="225"/>
    </row>
    <row r="22" spans="2:16" ht="20.149999999999999" customHeight="1" x14ac:dyDescent="0.45">
      <c r="B22" s="34"/>
      <c r="C22" s="22"/>
      <c r="D22" s="508"/>
      <c r="E22" s="508"/>
      <c r="F22" s="508"/>
      <c r="G22" s="22"/>
      <c r="H22" s="68"/>
      <c r="I22" s="450"/>
      <c r="J22" s="450"/>
      <c r="K22" s="35"/>
      <c r="L22" s="77"/>
      <c r="M22" s="78"/>
    </row>
    <row r="23" spans="2:16" ht="20.149999999999999" customHeight="1" x14ac:dyDescent="0.45">
      <c r="B23" s="34"/>
      <c r="C23" s="22"/>
      <c r="D23" s="508"/>
      <c r="E23" s="508"/>
      <c r="F23" s="508"/>
      <c r="G23" s="22"/>
      <c r="H23" s="68"/>
      <c r="I23" s="450"/>
      <c r="J23" s="450"/>
      <c r="K23" s="35"/>
      <c r="L23" s="77"/>
      <c r="M23" s="78"/>
    </row>
    <row r="24" spans="2:16" ht="20.149999999999999" customHeight="1" x14ac:dyDescent="0.45">
      <c r="B24" s="34"/>
      <c r="C24" s="22"/>
      <c r="D24" s="508"/>
      <c r="E24" s="508"/>
      <c r="F24" s="508"/>
      <c r="G24" s="22"/>
      <c r="H24" s="68"/>
      <c r="I24" s="450"/>
      <c r="J24" s="450"/>
      <c r="K24" s="35"/>
      <c r="L24" s="77"/>
      <c r="M24" s="78"/>
    </row>
    <row r="25" spans="2:16" ht="20.149999999999999" customHeight="1" x14ac:dyDescent="0.45">
      <c r="B25" s="34"/>
      <c r="C25" s="22"/>
      <c r="D25" s="508"/>
      <c r="E25" s="508"/>
      <c r="F25" s="508"/>
      <c r="G25" s="22"/>
      <c r="H25" s="68"/>
      <c r="I25" s="450"/>
      <c r="J25" s="450"/>
      <c r="K25" s="35"/>
      <c r="L25" s="36"/>
    </row>
    <row r="26" spans="2:16" ht="20.149999999999999" customHeight="1" thickBot="1" x14ac:dyDescent="0.5">
      <c r="B26" s="37"/>
      <c r="C26" s="38"/>
      <c r="D26" s="509"/>
      <c r="E26" s="509"/>
      <c r="F26" s="509"/>
      <c r="G26" s="38"/>
      <c r="H26" s="69"/>
      <c r="I26" s="451"/>
      <c r="J26" s="451"/>
      <c r="K26" s="39"/>
      <c r="L26" s="40"/>
    </row>
    <row r="27" spans="2:16" ht="20.149999999999999" customHeight="1" thickBot="1" x14ac:dyDescent="0.5">
      <c r="B27" s="41"/>
      <c r="L27" s="42"/>
    </row>
    <row r="28" spans="2:16" ht="20.149999999999999" customHeight="1" x14ac:dyDescent="0.45">
      <c r="B28" s="11" t="s">
        <v>18</v>
      </c>
      <c r="C28" s="7"/>
      <c r="D28" s="7"/>
      <c r="E28" s="7"/>
      <c r="F28" s="7"/>
      <c r="G28" s="7"/>
      <c r="H28" s="7"/>
      <c r="I28" s="7"/>
      <c r="J28" s="510" t="s">
        <v>15</v>
      </c>
      <c r="K28" s="511"/>
      <c r="L28" s="43">
        <f>SUM(L17:L25)</f>
        <v>134</v>
      </c>
      <c r="M28" s="76">
        <f>SUM(P18:P26)</f>
        <v>21.700000000000003</v>
      </c>
      <c r="N28" s="201">
        <f>M28/L28</f>
        <v>0.16194029850746272</v>
      </c>
    </row>
    <row r="29" spans="2:16" ht="20.149999999999999" customHeight="1" x14ac:dyDescent="0.45">
      <c r="B29" s="11" t="s">
        <v>19</v>
      </c>
      <c r="C29" s="7"/>
      <c r="D29" s="7"/>
      <c r="E29" s="7"/>
      <c r="F29" s="7"/>
      <c r="G29" s="7"/>
      <c r="H29" s="7"/>
      <c r="I29" s="7"/>
      <c r="J29" s="44" t="s">
        <v>22</v>
      </c>
      <c r="K29" s="45"/>
      <c r="L29" s="46">
        <f>L28*K29</f>
        <v>0</v>
      </c>
    </row>
    <row r="30" spans="2:16" ht="20.149999999999999" customHeight="1" x14ac:dyDescent="0.45">
      <c r="B30" s="11" t="s">
        <v>20</v>
      </c>
      <c r="C30" s="7"/>
      <c r="D30" s="7"/>
      <c r="E30" s="7"/>
      <c r="F30" s="7"/>
      <c r="G30" s="7"/>
      <c r="H30" s="7"/>
      <c r="I30" s="7"/>
      <c r="J30" s="486" t="s">
        <v>21</v>
      </c>
      <c r="K30" s="487"/>
      <c r="L30" s="46">
        <f>L28-L29</f>
        <v>134</v>
      </c>
    </row>
    <row r="31" spans="2:16" ht="20.149999999999999" customHeight="1" x14ac:dyDescent="0.45">
      <c r="B31" s="11" t="s">
        <v>24</v>
      </c>
      <c r="C31" s="7"/>
      <c r="D31" s="7"/>
      <c r="E31" s="7"/>
      <c r="F31" s="7"/>
      <c r="G31" s="7"/>
      <c r="H31" s="7"/>
      <c r="I31" s="7"/>
      <c r="J31" s="150" t="s">
        <v>17</v>
      </c>
      <c r="K31" s="151">
        <v>7.0000000000000007E-2</v>
      </c>
      <c r="L31" s="47">
        <f>L30*K31</f>
        <v>9.3800000000000008</v>
      </c>
    </row>
    <row r="32" spans="2:16" ht="20.149999999999999" customHeight="1" thickBot="1" x14ac:dyDescent="0.5">
      <c r="B32" s="11" t="s">
        <v>25</v>
      </c>
      <c r="C32" s="7"/>
      <c r="D32" s="7"/>
      <c r="E32" s="7"/>
      <c r="F32" s="7"/>
      <c r="G32" s="7"/>
      <c r="H32" s="7"/>
      <c r="I32" s="7"/>
      <c r="J32" s="488" t="s">
        <v>23</v>
      </c>
      <c r="K32" s="489"/>
      <c r="L32" s="48">
        <f>L30+L31</f>
        <v>143.38</v>
      </c>
    </row>
    <row r="33" spans="2:12" ht="20.149999999999999" customHeight="1" x14ac:dyDescent="0.45">
      <c r="B33" s="11" t="s">
        <v>26</v>
      </c>
      <c r="C33" s="7"/>
      <c r="D33" s="7"/>
      <c r="E33" s="7"/>
      <c r="F33" s="7"/>
      <c r="G33" s="7"/>
      <c r="H33" s="7"/>
      <c r="I33" s="7"/>
      <c r="L33" s="42"/>
    </row>
    <row r="34" spans="2:12" ht="20.149999999999999" customHeight="1" x14ac:dyDescent="0.45">
      <c r="B34" s="41"/>
      <c r="L34" s="42"/>
    </row>
    <row r="35" spans="2:12" ht="20.149999999999999" customHeight="1" x14ac:dyDescent="0.45">
      <c r="B35" s="41"/>
      <c r="L35" s="42"/>
    </row>
    <row r="36" spans="2:12" ht="20.149999999999999" customHeight="1" x14ac:dyDescent="0.45">
      <c r="B36" s="41"/>
      <c r="L36" s="42"/>
    </row>
    <row r="37" spans="2:12" ht="20.149999999999999" customHeight="1" x14ac:dyDescent="0.45">
      <c r="B37" s="41"/>
      <c r="L37" s="42"/>
    </row>
    <row r="38" spans="2:12" ht="20.149999999999999" customHeight="1" x14ac:dyDescent="0.45">
      <c r="B38" s="49"/>
      <c r="C38" s="50"/>
      <c r="D38" s="50"/>
      <c r="J38" s="50"/>
      <c r="K38" s="50"/>
      <c r="L38" s="51"/>
    </row>
    <row r="39" spans="2:12" ht="20.149999999999999" customHeight="1" x14ac:dyDescent="0.45">
      <c r="B39" s="41" t="s">
        <v>27</v>
      </c>
      <c r="J39" s="24" t="s">
        <v>28</v>
      </c>
      <c r="L39" s="42"/>
    </row>
    <row r="40" spans="2:12" ht="19" thickBot="1" x14ac:dyDescent="0.5">
      <c r="B40" s="52"/>
      <c r="C40" s="53"/>
      <c r="D40" s="53"/>
      <c r="E40" s="53"/>
      <c r="F40" s="53"/>
      <c r="G40" s="53"/>
      <c r="H40" s="53"/>
      <c r="I40" s="53"/>
      <c r="J40" s="53"/>
      <c r="K40" s="53"/>
      <c r="L40" s="54"/>
    </row>
  </sheetData>
  <mergeCells count="32">
    <mergeCell ref="J30:K30"/>
    <mergeCell ref="J32:K32"/>
    <mergeCell ref="D25:F25"/>
    <mergeCell ref="I25:J25"/>
    <mergeCell ref="D26:F26"/>
    <mergeCell ref="I26:J26"/>
    <mergeCell ref="D23:F23"/>
    <mergeCell ref="I23:J23"/>
    <mergeCell ref="D24:F24"/>
    <mergeCell ref="I24:J24"/>
    <mergeCell ref="J28:K28"/>
    <mergeCell ref="D19:F19"/>
    <mergeCell ref="I19:J19"/>
    <mergeCell ref="D22:F22"/>
    <mergeCell ref="I22:J22"/>
    <mergeCell ref="D18:F18"/>
    <mergeCell ref="I18:J18"/>
    <mergeCell ref="B1:L8"/>
    <mergeCell ref="D17:F17"/>
    <mergeCell ref="I17:J1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</mergeCells>
  <pageMargins left="0.70866141732283472" right="0.23622047244094491" top="0.23622047244094491" bottom="0.23622047244094491" header="0.31496062992125984" footer="0.31496062992125984"/>
  <pageSetup paperSize="9" scale="77" orientation="portrait" horizontalDpi="300" verticalDpi="300" r:id="rId1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D8AB9E-DC31-4899-A289-2CD196D4E58D}">
  <sheetPr codeName="Sheet101">
    <tabColor rgb="FF92D050"/>
    <pageSetUpPr fitToPage="1"/>
  </sheetPr>
  <dimension ref="B1:P42"/>
  <sheetViews>
    <sheetView workbookViewId="0">
      <selection activeCell="B1" sqref="B1:L42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4.54296875" style="24" customWidth="1"/>
    <col min="7" max="7" width="8.54296875" style="24" customWidth="1"/>
    <col min="8" max="8" width="15.81640625" style="24" customWidth="1"/>
    <col min="9" max="9" width="1.54296875" style="24" customWidth="1"/>
    <col min="10" max="10" width="15.54296875" style="24" customWidth="1"/>
    <col min="11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151</v>
      </c>
      <c r="J10" s="29" t="s">
        <v>29</v>
      </c>
      <c r="K10" s="452">
        <v>202209004</v>
      </c>
      <c r="L10" s="453"/>
    </row>
    <row r="11" spans="2:12" ht="20.149999999999999" customHeight="1" x14ac:dyDescent="0.45">
      <c r="B11" s="454" t="s">
        <v>2037</v>
      </c>
      <c r="C11" s="455"/>
      <c r="D11" s="456"/>
      <c r="E11" s="30"/>
      <c r="F11" s="457" t="str">
        <f>VLOOKUP(H10,'Delivery Location'!A$4:N$416,2,0)</f>
        <v xml:space="preserve">Koufu - Drink                                           10, Sinaran Drive #04-14 to 19,56 to 73. Novena Square 2  Singapore 307506                                       </v>
      </c>
      <c r="G11" s="458"/>
      <c r="H11" s="459"/>
      <c r="J11" s="31" t="s">
        <v>11</v>
      </c>
      <c r="K11" s="466">
        <v>44805</v>
      </c>
      <c r="L11" s="467"/>
    </row>
    <row r="12" spans="2:12" ht="20.149999999999999" customHeight="1" x14ac:dyDescent="0.45">
      <c r="B12" s="468" t="s">
        <v>2139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533</v>
      </c>
      <c r="L12" s="472"/>
    </row>
    <row r="13" spans="2:12" ht="20.149999999999999" customHeight="1" x14ac:dyDescent="0.45">
      <c r="B13" s="468" t="s">
        <v>2024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14</v>
      </c>
      <c r="L13" s="472"/>
    </row>
    <row r="14" spans="2:12" ht="20.149999999999999" customHeight="1" x14ac:dyDescent="0.45">
      <c r="B14" s="468" t="s">
        <v>2025</v>
      </c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463" t="s">
        <v>2026</v>
      </c>
      <c r="C15" s="464"/>
      <c r="D15" s="465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16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16" ht="20.149999999999999" customHeight="1" x14ac:dyDescent="0.45">
      <c r="B18" s="34"/>
      <c r="C18" s="22" t="s">
        <v>1608</v>
      </c>
      <c r="D18" s="508" t="str">
        <f>VLOOKUP(C18,'Sales Master'!B$3:D$499,2,)</f>
        <v>Pearl Barley 薏米</v>
      </c>
      <c r="E18" s="508"/>
      <c r="F18" s="508"/>
      <c r="G18" s="22">
        <v>2</v>
      </c>
      <c r="H18" s="68" t="str">
        <f>VLOOKUP(C18,'Sales Master'!$B$3:$F$3179,5,0)</f>
        <v>5 kgs</v>
      </c>
      <c r="I18" s="481" t="str">
        <f>VLOOKUP(C18,'Sales Master'!$B$3:$E$3179,4,0)</f>
        <v>-</v>
      </c>
      <c r="J18" s="481"/>
      <c r="K18" s="35">
        <f>VLOOKUP(C18,'Sales Master'!B$3:J$499,9,0)</f>
        <v>10</v>
      </c>
      <c r="L18" s="77">
        <f>K18*G18</f>
        <v>20</v>
      </c>
      <c r="M18" s="78"/>
      <c r="N18" s="225">
        <f>VLOOKUP(C18,'Sales Master'!$B$3:$DA$3038,104,0)</f>
        <v>6.8000000000000007</v>
      </c>
      <c r="O18" s="225">
        <f>K18-N18</f>
        <v>3.1999999999999993</v>
      </c>
      <c r="P18" s="225">
        <f>O18*G18</f>
        <v>6.3999999999999986</v>
      </c>
    </row>
    <row r="19" spans="2:16" ht="20.149999999999999" customHeight="1" x14ac:dyDescent="0.45">
      <c r="B19" s="34"/>
      <c r="C19" s="22"/>
      <c r="D19" s="508"/>
      <c r="E19" s="508"/>
      <c r="F19" s="508"/>
      <c r="G19" s="22"/>
      <c r="H19" s="68"/>
      <c r="I19" s="481"/>
      <c r="J19" s="481"/>
      <c r="K19" s="35"/>
      <c r="L19" s="77"/>
      <c r="M19" s="78"/>
      <c r="N19" s="225"/>
      <c r="O19" s="225"/>
      <c r="P19" s="225"/>
    </row>
    <row r="20" spans="2:16" ht="20.149999999999999" customHeight="1" x14ac:dyDescent="0.45">
      <c r="B20" s="34"/>
      <c r="C20" s="22"/>
      <c r="D20" s="508"/>
      <c r="E20" s="508"/>
      <c r="F20" s="508"/>
      <c r="G20" s="22"/>
      <c r="H20" s="68"/>
      <c r="I20" s="481"/>
      <c r="J20" s="481"/>
      <c r="K20" s="35"/>
      <c r="L20" s="77"/>
      <c r="M20" s="78"/>
    </row>
    <row r="21" spans="2:16" ht="20.149999999999999" customHeight="1" x14ac:dyDescent="0.45">
      <c r="B21" s="34"/>
      <c r="C21" s="22"/>
      <c r="D21" s="508"/>
      <c r="E21" s="508"/>
      <c r="F21" s="508"/>
      <c r="G21" s="22"/>
      <c r="H21" s="68"/>
      <c r="I21" s="450"/>
      <c r="J21" s="450"/>
      <c r="K21" s="35"/>
      <c r="L21" s="77"/>
      <c r="M21" s="78"/>
    </row>
    <row r="22" spans="2:16" ht="20.149999999999999" customHeight="1" x14ac:dyDescent="0.45">
      <c r="B22" s="34"/>
      <c r="C22" s="22"/>
      <c r="D22" s="508"/>
      <c r="E22" s="508"/>
      <c r="F22" s="508"/>
      <c r="G22" s="22"/>
      <c r="H22" s="68"/>
      <c r="I22" s="450"/>
      <c r="J22" s="450"/>
      <c r="K22" s="35"/>
      <c r="L22" s="77"/>
      <c r="M22" s="78"/>
    </row>
    <row r="23" spans="2:16" ht="20.149999999999999" customHeight="1" x14ac:dyDescent="0.45">
      <c r="B23" s="34"/>
      <c r="C23" s="22"/>
      <c r="D23" s="508"/>
      <c r="E23" s="508"/>
      <c r="F23" s="508"/>
      <c r="G23" s="22"/>
      <c r="H23" s="68"/>
      <c r="I23" s="450"/>
      <c r="J23" s="450"/>
      <c r="K23" s="35"/>
      <c r="L23" s="77"/>
      <c r="M23" s="78"/>
    </row>
    <row r="24" spans="2:16" ht="20.149999999999999" customHeight="1" x14ac:dyDescent="0.45">
      <c r="B24" s="34"/>
      <c r="C24" s="22"/>
      <c r="D24" s="508"/>
      <c r="E24" s="508"/>
      <c r="F24" s="508"/>
      <c r="G24" s="22"/>
      <c r="H24" s="68"/>
      <c r="I24" s="450"/>
      <c r="J24" s="450"/>
      <c r="K24" s="35"/>
      <c r="L24" s="77"/>
      <c r="M24" s="78"/>
    </row>
    <row r="25" spans="2:16" ht="20.149999999999999" customHeight="1" x14ac:dyDescent="0.45">
      <c r="B25" s="34"/>
      <c r="C25" s="22"/>
      <c r="D25" s="508"/>
      <c r="E25" s="508"/>
      <c r="F25" s="508"/>
      <c r="G25" s="22"/>
      <c r="H25" s="68"/>
      <c r="I25" s="450"/>
      <c r="J25" s="450"/>
      <c r="K25" s="35"/>
      <c r="L25" s="77"/>
      <c r="M25" s="78"/>
    </row>
    <row r="26" spans="2:16" ht="20.149999999999999" customHeight="1" x14ac:dyDescent="0.45">
      <c r="B26" s="34"/>
      <c r="C26" s="22"/>
      <c r="D26" s="508"/>
      <c r="E26" s="508"/>
      <c r="F26" s="508"/>
      <c r="G26" s="22"/>
      <c r="H26" s="68"/>
      <c r="I26" s="450"/>
      <c r="J26" s="450"/>
      <c r="K26" s="35"/>
      <c r="L26" s="77"/>
      <c r="M26" s="78"/>
    </row>
    <row r="27" spans="2:16" ht="20.149999999999999" customHeight="1" x14ac:dyDescent="0.45">
      <c r="B27" s="34"/>
      <c r="C27" s="22"/>
      <c r="D27" s="508"/>
      <c r="E27" s="508"/>
      <c r="F27" s="508"/>
      <c r="G27" s="22"/>
      <c r="H27" s="68"/>
      <c r="I27" s="450"/>
      <c r="J27" s="450"/>
      <c r="K27" s="35"/>
      <c r="L27" s="36"/>
    </row>
    <row r="28" spans="2:16" ht="20.149999999999999" customHeight="1" thickBot="1" x14ac:dyDescent="0.5">
      <c r="B28" s="37"/>
      <c r="C28" s="38"/>
      <c r="D28" s="509"/>
      <c r="E28" s="509"/>
      <c r="F28" s="509"/>
      <c r="G28" s="38"/>
      <c r="H28" s="69"/>
      <c r="I28" s="451"/>
      <c r="J28" s="451"/>
      <c r="K28" s="39"/>
      <c r="L28" s="40"/>
    </row>
    <row r="29" spans="2:16" ht="20.149999999999999" customHeight="1" thickBot="1" x14ac:dyDescent="0.5">
      <c r="B29" s="41"/>
      <c r="L29" s="42"/>
    </row>
    <row r="30" spans="2:16" ht="20.149999999999999" customHeight="1" x14ac:dyDescent="0.45">
      <c r="B30" s="11" t="s">
        <v>18</v>
      </c>
      <c r="C30" s="7"/>
      <c r="D30" s="7"/>
      <c r="E30" s="7"/>
      <c r="F30" s="7"/>
      <c r="G30" s="7"/>
      <c r="H30" s="7"/>
      <c r="I30" s="7"/>
      <c r="J30" s="510" t="s">
        <v>15</v>
      </c>
      <c r="K30" s="511"/>
      <c r="L30" s="43">
        <f>SUM(L17:L27)</f>
        <v>20</v>
      </c>
      <c r="M30" s="76">
        <f>SUM(P18:P25)</f>
        <v>6.3999999999999986</v>
      </c>
      <c r="N30" s="201">
        <f>M30/L30</f>
        <v>0.31999999999999995</v>
      </c>
    </row>
    <row r="31" spans="2:16" ht="20.149999999999999" customHeight="1" x14ac:dyDescent="0.45">
      <c r="B31" s="11" t="s">
        <v>19</v>
      </c>
      <c r="C31" s="7"/>
      <c r="D31" s="7"/>
      <c r="E31" s="7"/>
      <c r="F31" s="7"/>
      <c r="G31" s="7"/>
      <c r="H31" s="7"/>
      <c r="I31" s="7"/>
      <c r="J31" s="44" t="s">
        <v>22</v>
      </c>
      <c r="K31" s="45"/>
      <c r="L31" s="46">
        <f>L30*K31</f>
        <v>0</v>
      </c>
    </row>
    <row r="32" spans="2:16" ht="20.149999999999999" customHeight="1" x14ac:dyDescent="0.45">
      <c r="B32" s="11" t="s">
        <v>20</v>
      </c>
      <c r="C32" s="7"/>
      <c r="D32" s="7"/>
      <c r="E32" s="7"/>
      <c r="F32" s="7"/>
      <c r="G32" s="7"/>
      <c r="H32" s="7"/>
      <c r="I32" s="7"/>
      <c r="J32" s="486" t="s">
        <v>21</v>
      </c>
      <c r="K32" s="487"/>
      <c r="L32" s="46">
        <f>L30-L31</f>
        <v>20</v>
      </c>
    </row>
    <row r="33" spans="2:12" ht="20.149999999999999" customHeight="1" x14ac:dyDescent="0.45">
      <c r="B33" s="11" t="s">
        <v>24</v>
      </c>
      <c r="C33" s="7"/>
      <c r="D33" s="7"/>
      <c r="E33" s="7"/>
      <c r="F33" s="7"/>
      <c r="G33" s="7"/>
      <c r="H33" s="7"/>
      <c r="I33" s="7"/>
      <c r="J33" s="150" t="s">
        <v>17</v>
      </c>
      <c r="K33" s="151">
        <v>7.0000000000000007E-2</v>
      </c>
      <c r="L33" s="47">
        <f>L32*K33</f>
        <v>1.4000000000000001</v>
      </c>
    </row>
    <row r="34" spans="2:12" ht="20.149999999999999" customHeight="1" thickBot="1" x14ac:dyDescent="0.5">
      <c r="B34" s="11" t="s">
        <v>25</v>
      </c>
      <c r="C34" s="7"/>
      <c r="D34" s="7"/>
      <c r="E34" s="7"/>
      <c r="F34" s="7"/>
      <c r="G34" s="7"/>
      <c r="H34" s="7"/>
      <c r="I34" s="7"/>
      <c r="J34" s="488" t="s">
        <v>23</v>
      </c>
      <c r="K34" s="489"/>
      <c r="L34" s="48">
        <f>L32+L33</f>
        <v>21.4</v>
      </c>
    </row>
    <row r="35" spans="2:12" ht="20.149999999999999" customHeight="1" x14ac:dyDescent="0.45">
      <c r="B35" s="11" t="s">
        <v>26</v>
      </c>
      <c r="C35" s="7"/>
      <c r="D35" s="7"/>
      <c r="E35" s="7"/>
      <c r="F35" s="7"/>
      <c r="G35" s="7"/>
      <c r="H35" s="7"/>
      <c r="I35" s="7"/>
      <c r="L35" s="42"/>
    </row>
    <row r="36" spans="2:12" ht="20.149999999999999" customHeight="1" x14ac:dyDescent="0.45">
      <c r="B36" s="41"/>
      <c r="L36" s="42"/>
    </row>
    <row r="37" spans="2:12" ht="20.149999999999999" customHeight="1" x14ac:dyDescent="0.45">
      <c r="B37" s="41"/>
      <c r="L37" s="42"/>
    </row>
    <row r="38" spans="2:12" ht="20.149999999999999" customHeight="1" x14ac:dyDescent="0.45">
      <c r="B38" s="41"/>
      <c r="L38" s="42"/>
    </row>
    <row r="39" spans="2:12" ht="20.149999999999999" customHeight="1" x14ac:dyDescent="0.45">
      <c r="B39" s="41"/>
      <c r="L39" s="42"/>
    </row>
    <row r="40" spans="2:12" ht="20.149999999999999" customHeight="1" x14ac:dyDescent="0.45">
      <c r="B40" s="49"/>
      <c r="C40" s="50"/>
      <c r="D40" s="50"/>
      <c r="J40" s="50"/>
      <c r="K40" s="50"/>
      <c r="L40" s="51"/>
    </row>
    <row r="41" spans="2:12" ht="20.149999999999999" customHeight="1" x14ac:dyDescent="0.45">
      <c r="B41" s="41" t="s">
        <v>27</v>
      </c>
      <c r="J41" s="24" t="s">
        <v>28</v>
      </c>
      <c r="L41" s="42"/>
    </row>
    <row r="42" spans="2:12" ht="19" thickBot="1" x14ac:dyDescent="0.5">
      <c r="B42" s="52"/>
      <c r="C42" s="53"/>
      <c r="D42" s="53"/>
      <c r="E42" s="53"/>
      <c r="F42" s="53"/>
      <c r="G42" s="53"/>
      <c r="H42" s="53"/>
      <c r="I42" s="53"/>
      <c r="J42" s="53"/>
      <c r="K42" s="53"/>
      <c r="L42" s="54"/>
    </row>
  </sheetData>
  <mergeCells count="40">
    <mergeCell ref="I18:J18"/>
    <mergeCell ref="D19:F19"/>
    <mergeCell ref="I19:J19"/>
    <mergeCell ref="J34:K34"/>
    <mergeCell ref="D26:F26"/>
    <mergeCell ref="I26:J26"/>
    <mergeCell ref="D27:F27"/>
    <mergeCell ref="I27:J27"/>
    <mergeCell ref="D28:F28"/>
    <mergeCell ref="I28:J28"/>
    <mergeCell ref="D25:F25"/>
    <mergeCell ref="I25:J25"/>
    <mergeCell ref="J30:K30"/>
    <mergeCell ref="J32:K32"/>
    <mergeCell ref="D22:F22"/>
    <mergeCell ref="I22:J22"/>
    <mergeCell ref="D24:F24"/>
    <mergeCell ref="I24:J24"/>
    <mergeCell ref="D20:F20"/>
    <mergeCell ref="I20:J20"/>
    <mergeCell ref="D21:F21"/>
    <mergeCell ref="I21:J21"/>
    <mergeCell ref="D23:F23"/>
    <mergeCell ref="I23:J23"/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8" orientation="portrait" horizontalDpi="300" verticalDpi="300" r:id="rId1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F260CA-58D2-4044-82C3-30A9B5859328}">
  <sheetPr codeName="Sheet102">
    <tabColor rgb="FF92D050"/>
    <pageSetUpPr fitToPage="1"/>
  </sheetPr>
  <dimension ref="B1:P43"/>
  <sheetViews>
    <sheetView topLeftCell="B7" zoomScale="90" zoomScaleNormal="90" workbookViewId="0">
      <selection activeCell="B1" sqref="B1:L43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6.7265625" style="24" customWidth="1"/>
    <col min="7" max="7" width="8.54296875" style="24" customWidth="1"/>
    <col min="8" max="8" width="19.26953125" style="24" customWidth="1"/>
    <col min="9" max="9" width="2" style="24" customWidth="1"/>
    <col min="10" max="10" width="15.54296875" style="24" customWidth="1"/>
    <col min="11" max="11" width="10.54296875" style="24" customWidth="1"/>
    <col min="12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152</v>
      </c>
      <c r="J10" s="29" t="s">
        <v>29</v>
      </c>
      <c r="K10" s="452">
        <v>202209286</v>
      </c>
      <c r="L10" s="453"/>
    </row>
    <row r="11" spans="2:12" ht="20.149999999999999" customHeight="1" x14ac:dyDescent="0.45">
      <c r="B11" s="454" t="s">
        <v>2037</v>
      </c>
      <c r="C11" s="455"/>
      <c r="D11" s="456"/>
      <c r="E11" s="30"/>
      <c r="F11" s="457" t="str">
        <f>VLOOKUP(H10,'Delivery Location'!A$4:N$416,2,0)</f>
        <v xml:space="preserve">Fork &amp; Spoon - Dessert                             10, Sinaran Drive #04-14 to 19,56 to 73. Novena Square 2 Singapore 307506                                            </v>
      </c>
      <c r="G11" s="458"/>
      <c r="H11" s="459"/>
      <c r="J11" s="31" t="s">
        <v>11</v>
      </c>
      <c r="K11" s="466">
        <v>44823</v>
      </c>
      <c r="L11" s="467"/>
    </row>
    <row r="12" spans="2:12" ht="20.149999999999999" customHeight="1" x14ac:dyDescent="0.45">
      <c r="B12" s="468" t="s">
        <v>2139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533</v>
      </c>
      <c r="L12" s="472"/>
    </row>
    <row r="13" spans="2:12" ht="20.149999999999999" customHeight="1" x14ac:dyDescent="0.45">
      <c r="B13" s="468" t="s">
        <v>2024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14</v>
      </c>
      <c r="L13" s="472"/>
    </row>
    <row r="14" spans="2:12" ht="20.149999999999999" customHeight="1" x14ac:dyDescent="0.45">
      <c r="B14" s="468" t="s">
        <v>2025</v>
      </c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463" t="s">
        <v>2026</v>
      </c>
      <c r="C15" s="464"/>
      <c r="D15" s="465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16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16" ht="20.149999999999999" customHeight="1" x14ac:dyDescent="0.45">
      <c r="B18" s="34"/>
      <c r="C18" s="22" t="s">
        <v>1618</v>
      </c>
      <c r="D18" s="508" t="str">
        <f>VLOOKUP(C18,'Sales Master'!B$3:D$499,2,)</f>
        <v>Dried Longan 龙眼干</v>
      </c>
      <c r="E18" s="508"/>
      <c r="F18" s="508"/>
      <c r="G18" s="90">
        <v>1</v>
      </c>
      <c r="H18" s="389" t="str">
        <f>VLOOKUP(C18,'Sales Master'!$B$3:$F$3179,5,0)</f>
        <v>1 kg</v>
      </c>
      <c r="I18" s="512" t="str">
        <f>VLOOKUP(C18,'Sales Master'!$B$3:$E$3179,4,0)</f>
        <v>TL</v>
      </c>
      <c r="J18" s="512"/>
      <c r="K18" s="35">
        <f>VLOOKUP(C18,'Sales Master'!B$3:AP$499,41,0)</f>
        <v>12</v>
      </c>
      <c r="L18" s="77">
        <f t="shared" ref="L18:L20" si="0">K18*G18</f>
        <v>12</v>
      </c>
      <c r="M18" s="78"/>
      <c r="N18" s="225">
        <f>VLOOKUP(C18,'Sales Master'!$B$3:$DA$3038,104,0)</f>
        <v>8.5</v>
      </c>
      <c r="O18" s="225">
        <f t="shared" ref="O18:O20" si="1">K18-N18</f>
        <v>3.5</v>
      </c>
      <c r="P18" s="225">
        <f t="shared" ref="P18:P20" si="2">O18*G18</f>
        <v>3.5</v>
      </c>
    </row>
    <row r="19" spans="2:16" ht="20.149999999999999" customHeight="1" x14ac:dyDescent="0.45">
      <c r="B19" s="34"/>
      <c r="C19" s="22" t="s">
        <v>1636</v>
      </c>
      <c r="D19" s="508" t="str">
        <f>VLOOKUP(C19,'Sales Master'!B$3:D$499,2,)</f>
        <v>Bean Curd Sheet 腐竹</v>
      </c>
      <c r="E19" s="508"/>
      <c r="F19" s="508"/>
      <c r="G19" s="90">
        <v>5</v>
      </c>
      <c r="H19" s="389" t="str">
        <f>VLOOKUP(C19,'Sales Master'!$B$3:$F$3179,5,0)</f>
        <v xml:space="preserve">150g/pkt </v>
      </c>
      <c r="I19" s="512" t="str">
        <f>VLOOKUP(C19,'Sales Master'!$B$3:$E$3179,4,0)</f>
        <v>丰</v>
      </c>
      <c r="J19" s="512"/>
      <c r="K19" s="35">
        <f>VLOOKUP(C19,'Sales Master'!B$3:AP$499,41,0)</f>
        <v>2.2000000000000002</v>
      </c>
      <c r="L19" s="77">
        <f t="shared" si="0"/>
        <v>11</v>
      </c>
      <c r="M19" s="78"/>
      <c r="N19" s="225">
        <f>VLOOKUP(C19,'Sales Master'!$B$3:$DA$3038,104,0)</f>
        <v>2.0833333333333335</v>
      </c>
      <c r="O19" s="225">
        <f t="shared" si="1"/>
        <v>0.1166666666666667</v>
      </c>
      <c r="P19" s="225">
        <f t="shared" si="2"/>
        <v>0.58333333333333348</v>
      </c>
    </row>
    <row r="20" spans="2:16" ht="20.149999999999999" customHeight="1" x14ac:dyDescent="0.45">
      <c r="B20" s="34"/>
      <c r="C20" s="22" t="s">
        <v>1789</v>
      </c>
      <c r="D20" s="508" t="str">
        <f>VLOOKUP(C20,'Sales Master'!B$3:D$499,2,)</f>
        <v>Sweet Potato 番薯</v>
      </c>
      <c r="E20" s="508"/>
      <c r="F20" s="508"/>
      <c r="G20" s="90">
        <v>5</v>
      </c>
      <c r="H20" s="389" t="str">
        <f>VLOOKUP(C20,'Sales Master'!$B$3:$F$3179,5,0)</f>
        <v>1 KG</v>
      </c>
      <c r="I20" s="512" t="str">
        <f>VLOOKUP(C20,'Sales Master'!$B$3:$E$3179,4,0)</f>
        <v>Malaysia</v>
      </c>
      <c r="J20" s="512"/>
      <c r="K20" s="35">
        <f>VLOOKUP(C20,'Sales Master'!B$3:AP$499,41,0)</f>
        <v>2.5</v>
      </c>
      <c r="L20" s="77">
        <f t="shared" si="0"/>
        <v>12.5</v>
      </c>
      <c r="M20" s="78"/>
      <c r="N20" s="225">
        <f>VLOOKUP(C20,'Sales Master'!$B$3:$DA$3038,104,0)</f>
        <v>1.8666666666666665</v>
      </c>
      <c r="O20" s="225">
        <f t="shared" si="1"/>
        <v>0.63333333333333353</v>
      </c>
      <c r="P20" s="225">
        <f t="shared" si="2"/>
        <v>3.1666666666666679</v>
      </c>
    </row>
    <row r="21" spans="2:16" ht="20.149999999999999" customHeight="1" x14ac:dyDescent="0.45">
      <c r="B21" s="34"/>
      <c r="C21" s="22"/>
      <c r="D21" s="508"/>
      <c r="E21" s="508"/>
      <c r="F21" s="508"/>
      <c r="G21" s="90"/>
      <c r="H21" s="389"/>
      <c r="I21" s="512"/>
      <c r="J21" s="512"/>
      <c r="K21" s="35"/>
      <c r="L21" s="77"/>
      <c r="M21" s="78"/>
      <c r="N21" s="225"/>
      <c r="O21" s="225"/>
      <c r="P21" s="225"/>
    </row>
    <row r="22" spans="2:16" ht="20.149999999999999" customHeight="1" x14ac:dyDescent="0.45">
      <c r="B22" s="34"/>
      <c r="C22" s="22"/>
      <c r="D22" s="508"/>
      <c r="E22" s="508"/>
      <c r="F22" s="508"/>
      <c r="G22" s="90"/>
      <c r="H22" s="389"/>
      <c r="I22" s="512"/>
      <c r="J22" s="512"/>
      <c r="K22" s="35"/>
      <c r="L22" s="77"/>
      <c r="M22" s="78"/>
      <c r="N22" s="225"/>
      <c r="O22" s="225"/>
      <c r="P22" s="225"/>
    </row>
    <row r="23" spans="2:16" ht="20.149999999999999" customHeight="1" x14ac:dyDescent="0.45">
      <c r="B23" s="34"/>
      <c r="C23" s="22"/>
      <c r="D23" s="508"/>
      <c r="E23" s="508"/>
      <c r="F23" s="508"/>
      <c r="G23" s="22"/>
      <c r="H23" s="389"/>
      <c r="I23" s="512"/>
      <c r="J23" s="512"/>
      <c r="K23" s="35"/>
      <c r="L23" s="77"/>
      <c r="M23" s="78"/>
      <c r="N23" s="225"/>
      <c r="O23" s="225"/>
      <c r="P23" s="225"/>
    </row>
    <row r="24" spans="2:16" ht="20.149999999999999" customHeight="1" x14ac:dyDescent="0.45">
      <c r="B24" s="34"/>
      <c r="C24" s="22"/>
      <c r="D24" s="508"/>
      <c r="E24" s="508"/>
      <c r="F24" s="508"/>
      <c r="G24" s="22"/>
      <c r="H24" s="389"/>
      <c r="I24" s="512"/>
      <c r="J24" s="512"/>
      <c r="K24" s="35"/>
      <c r="L24" s="77"/>
      <c r="M24" s="78"/>
      <c r="N24" s="225"/>
      <c r="O24" s="225"/>
      <c r="P24" s="225"/>
    </row>
    <row r="25" spans="2:16" ht="20.149999999999999" customHeight="1" x14ac:dyDescent="0.45">
      <c r="B25" s="34"/>
      <c r="C25" s="22"/>
      <c r="D25" s="508"/>
      <c r="E25" s="508"/>
      <c r="F25" s="508"/>
      <c r="G25" s="22"/>
      <c r="H25" s="389"/>
      <c r="I25" s="512"/>
      <c r="J25" s="512"/>
      <c r="K25" s="35"/>
      <c r="L25" s="77"/>
      <c r="M25" s="78"/>
      <c r="N25" s="225"/>
      <c r="O25" s="225"/>
      <c r="P25" s="225"/>
    </row>
    <row r="26" spans="2:16" ht="20.149999999999999" customHeight="1" x14ac:dyDescent="0.45">
      <c r="B26" s="34"/>
      <c r="C26" s="22"/>
      <c r="D26" s="508"/>
      <c r="E26" s="508"/>
      <c r="F26" s="508"/>
      <c r="G26" s="22"/>
      <c r="H26" s="389"/>
      <c r="I26" s="512"/>
      <c r="J26" s="512"/>
      <c r="K26" s="35"/>
      <c r="L26" s="77"/>
      <c r="M26" s="78"/>
      <c r="N26" s="225"/>
      <c r="O26" s="225"/>
      <c r="P26" s="225"/>
    </row>
    <row r="27" spans="2:16" ht="20.149999999999999" customHeight="1" x14ac:dyDescent="0.45">
      <c r="B27" s="34"/>
      <c r="C27" s="22"/>
      <c r="D27" s="508"/>
      <c r="E27" s="508"/>
      <c r="F27" s="508"/>
      <c r="G27" s="22"/>
      <c r="H27" s="389"/>
      <c r="I27" s="512"/>
      <c r="J27" s="512"/>
      <c r="K27" s="35"/>
      <c r="L27" s="77"/>
      <c r="M27" s="78"/>
      <c r="N27" s="225"/>
      <c r="O27" s="225"/>
      <c r="P27" s="225"/>
    </row>
    <row r="28" spans="2:16" ht="20.149999999999999" customHeight="1" x14ac:dyDescent="0.45">
      <c r="B28" s="34"/>
      <c r="C28" s="22"/>
      <c r="G28" s="22"/>
      <c r="H28" s="68"/>
      <c r="I28" s="68"/>
      <c r="J28" s="68"/>
      <c r="K28" s="35"/>
      <c r="L28" s="77"/>
    </row>
    <row r="29" spans="2:16" ht="20.149999999999999" customHeight="1" thickBot="1" x14ac:dyDescent="0.5">
      <c r="B29" s="37"/>
      <c r="C29" s="38"/>
      <c r="D29" s="509"/>
      <c r="E29" s="509"/>
      <c r="F29" s="509"/>
      <c r="G29" s="38"/>
      <c r="H29" s="69"/>
      <c r="I29" s="451"/>
      <c r="J29" s="451"/>
      <c r="K29" s="39"/>
      <c r="L29" s="40"/>
    </row>
    <row r="30" spans="2:16" ht="20.149999999999999" customHeight="1" thickBot="1" x14ac:dyDescent="0.5">
      <c r="B30" s="41"/>
      <c r="L30" s="42"/>
    </row>
    <row r="31" spans="2:16" ht="20.149999999999999" customHeight="1" x14ac:dyDescent="0.45">
      <c r="B31" s="11" t="s">
        <v>18</v>
      </c>
      <c r="C31" s="7"/>
      <c r="D31" s="7"/>
      <c r="E31" s="7"/>
      <c r="F31" s="7"/>
      <c r="G31" s="7"/>
      <c r="H31" s="7"/>
      <c r="I31" s="7"/>
      <c r="J31" s="510" t="s">
        <v>15</v>
      </c>
      <c r="K31" s="511"/>
      <c r="L31" s="43">
        <f>SUM(L17:L29)</f>
        <v>35.5</v>
      </c>
      <c r="M31" s="76">
        <f>SUM(P18:P24)</f>
        <v>7.2500000000000018</v>
      </c>
      <c r="N31" s="201">
        <f>M31/L31</f>
        <v>0.20422535211267612</v>
      </c>
    </row>
    <row r="32" spans="2:16" ht="20.149999999999999" customHeight="1" x14ac:dyDescent="0.45">
      <c r="B32" s="11" t="s">
        <v>19</v>
      </c>
      <c r="C32" s="7"/>
      <c r="D32" s="7"/>
      <c r="E32" s="7"/>
      <c r="F32" s="7"/>
      <c r="G32" s="7"/>
      <c r="H32" s="7"/>
      <c r="I32" s="7"/>
      <c r="J32" s="44" t="s">
        <v>22</v>
      </c>
      <c r="K32" s="45"/>
      <c r="L32" s="46">
        <f>L31*K32</f>
        <v>0</v>
      </c>
    </row>
    <row r="33" spans="2:12" ht="20.149999999999999" customHeight="1" x14ac:dyDescent="0.45">
      <c r="B33" s="11" t="s">
        <v>20</v>
      </c>
      <c r="C33" s="7"/>
      <c r="D33" s="7"/>
      <c r="E33" s="7"/>
      <c r="F33" s="7"/>
      <c r="G33" s="7"/>
      <c r="H33" s="7"/>
      <c r="I33" s="7"/>
      <c r="J33" s="486" t="s">
        <v>21</v>
      </c>
      <c r="K33" s="487"/>
      <c r="L33" s="46">
        <f>L31-L32</f>
        <v>35.5</v>
      </c>
    </row>
    <row r="34" spans="2:12" ht="20.149999999999999" customHeight="1" x14ac:dyDescent="0.45">
      <c r="B34" s="11" t="s">
        <v>24</v>
      </c>
      <c r="C34" s="7"/>
      <c r="D34" s="7"/>
      <c r="E34" s="7"/>
      <c r="F34" s="7"/>
      <c r="G34" s="7"/>
      <c r="H34" s="7"/>
      <c r="I34" s="7"/>
      <c r="J34" s="150" t="s">
        <v>17</v>
      </c>
      <c r="K34" s="151">
        <v>7.0000000000000007E-2</v>
      </c>
      <c r="L34" s="47">
        <f>L33*K34</f>
        <v>2.4850000000000003</v>
      </c>
    </row>
    <row r="35" spans="2:12" ht="20.149999999999999" customHeight="1" thickBot="1" x14ac:dyDescent="0.5">
      <c r="B35" s="11" t="s">
        <v>25</v>
      </c>
      <c r="C35" s="7"/>
      <c r="D35" s="7"/>
      <c r="E35" s="7"/>
      <c r="F35" s="7"/>
      <c r="G35" s="7"/>
      <c r="H35" s="7"/>
      <c r="I35" s="7"/>
      <c r="J35" s="488" t="s">
        <v>23</v>
      </c>
      <c r="K35" s="489"/>
      <c r="L35" s="48">
        <f>L33+L34</f>
        <v>37.984999999999999</v>
      </c>
    </row>
    <row r="36" spans="2:12" ht="20.149999999999999" customHeight="1" x14ac:dyDescent="0.45">
      <c r="B36" s="11" t="s">
        <v>26</v>
      </c>
      <c r="C36" s="7"/>
      <c r="D36" s="7"/>
      <c r="E36" s="7"/>
      <c r="F36" s="7"/>
      <c r="G36" s="7"/>
      <c r="H36" s="7"/>
      <c r="I36" s="7"/>
      <c r="L36" s="42"/>
    </row>
    <row r="37" spans="2:12" ht="20.149999999999999" customHeight="1" x14ac:dyDescent="0.45">
      <c r="B37" s="41"/>
      <c r="L37" s="42"/>
    </row>
    <row r="38" spans="2:12" ht="20.149999999999999" customHeight="1" x14ac:dyDescent="0.45">
      <c r="B38" s="41"/>
      <c r="L38" s="42"/>
    </row>
    <row r="39" spans="2:12" ht="20.149999999999999" customHeight="1" x14ac:dyDescent="0.45">
      <c r="B39" s="41"/>
      <c r="L39" s="42"/>
    </row>
    <row r="40" spans="2:12" ht="20.149999999999999" customHeight="1" x14ac:dyDescent="0.45">
      <c r="B40" s="41"/>
      <c r="L40" s="42"/>
    </row>
    <row r="41" spans="2:12" ht="20.149999999999999" customHeight="1" x14ac:dyDescent="0.45">
      <c r="B41" s="49"/>
      <c r="C41" s="50"/>
      <c r="D41" s="50"/>
      <c r="J41" s="50"/>
      <c r="K41" s="50"/>
      <c r="L41" s="51"/>
    </row>
    <row r="42" spans="2:12" ht="20.149999999999999" customHeight="1" x14ac:dyDescent="0.45">
      <c r="B42" s="41" t="s">
        <v>27</v>
      </c>
      <c r="J42" s="24" t="s">
        <v>28</v>
      </c>
      <c r="L42" s="42"/>
    </row>
    <row r="43" spans="2:12" ht="19" thickBot="1" x14ac:dyDescent="0.5">
      <c r="B43" s="52"/>
      <c r="C43" s="53"/>
      <c r="D43" s="53"/>
      <c r="E43" s="53"/>
      <c r="F43" s="53"/>
      <c r="G43" s="53"/>
      <c r="H43" s="53"/>
      <c r="I43" s="53"/>
      <c r="J43" s="53"/>
      <c r="K43" s="53"/>
      <c r="L43" s="54"/>
    </row>
  </sheetData>
  <mergeCells count="40">
    <mergeCell ref="J35:K35"/>
    <mergeCell ref="J31:K31"/>
    <mergeCell ref="J33:K33"/>
    <mergeCell ref="I23:J23"/>
    <mergeCell ref="I24:J24"/>
    <mergeCell ref="I25:J25"/>
    <mergeCell ref="I26:J26"/>
    <mergeCell ref="I27:J27"/>
    <mergeCell ref="D17:F17"/>
    <mergeCell ref="I17:J17"/>
    <mergeCell ref="D18:F18"/>
    <mergeCell ref="I18:J18"/>
    <mergeCell ref="D29:F29"/>
    <mergeCell ref="I29:J29"/>
    <mergeCell ref="D23:F23"/>
    <mergeCell ref="D24:F24"/>
    <mergeCell ref="D25:F25"/>
    <mergeCell ref="D26:F26"/>
    <mergeCell ref="D27:F27"/>
    <mergeCell ref="D21:F21"/>
    <mergeCell ref="D22:F22"/>
    <mergeCell ref="I21:J21"/>
    <mergeCell ref="I22:J22"/>
    <mergeCell ref="I19:J19"/>
    <mergeCell ref="I20:J20"/>
    <mergeCell ref="D19:F19"/>
    <mergeCell ref="D20:F20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</mergeCells>
  <pageMargins left="0.70866141732283472" right="0.23622047244094491" top="0.23622047244094491" bottom="0.23622047244094491" header="0.31496062992125984" footer="0.31496062992125984"/>
  <pageSetup paperSize="9" scale="76" orientation="portrait" horizontalDpi="300" verticalDpi="300" r:id="rId1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B940A-760D-4154-912B-EA3D80773767}">
  <sheetPr codeName="Sheet104">
    <tabColor rgb="FF92D050"/>
    <pageSetUpPr fitToPage="1"/>
  </sheetPr>
  <dimension ref="B1:P41"/>
  <sheetViews>
    <sheetView topLeftCell="B12" workbookViewId="0">
      <selection activeCell="H19" sqref="H19"/>
    </sheetView>
  </sheetViews>
  <sheetFormatPr defaultColWidth="12.54296875" defaultRowHeight="18.5" x14ac:dyDescent="0.45"/>
  <cols>
    <col min="1" max="1" width="12.54296875" style="24"/>
    <col min="2" max="3" width="12.54296875" style="24" customWidth="1"/>
    <col min="4" max="4" width="14.54296875" style="24" customWidth="1"/>
    <col min="5" max="5" width="1.54296875" style="24" customWidth="1"/>
    <col min="6" max="6" width="14.54296875" style="24" customWidth="1"/>
    <col min="7" max="7" width="8.54296875" style="24" customWidth="1"/>
    <col min="8" max="8" width="15.54296875" style="24" customWidth="1"/>
    <col min="9" max="9" width="2.1796875" style="81" customWidth="1"/>
    <col min="10" max="10" width="15.54296875" style="81" customWidth="1"/>
    <col min="11" max="11" width="10.54296875" style="24" customWidth="1"/>
    <col min="12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211</v>
      </c>
      <c r="J10" s="82" t="s">
        <v>29</v>
      </c>
      <c r="K10" s="452">
        <v>202209315</v>
      </c>
      <c r="L10" s="453"/>
    </row>
    <row r="11" spans="2:12" ht="20.149999999999999" customHeight="1" x14ac:dyDescent="0.45">
      <c r="B11" s="454" t="s">
        <v>2037</v>
      </c>
      <c r="C11" s="455"/>
      <c r="D11" s="456"/>
      <c r="E11" s="30"/>
      <c r="F11" s="457" t="str">
        <f>VLOOKUP(H10,'Delivery Location'!A$4:N$416,2,0)</f>
        <v xml:space="preserve">Koufu - Drink                                                  1, Bukit Batok Central Link.                   #04-01 West Mall Singapore 658713                                                            </v>
      </c>
      <c r="G11" s="458"/>
      <c r="H11" s="459"/>
      <c r="J11" s="83" t="s">
        <v>11</v>
      </c>
      <c r="K11" s="466">
        <v>44824</v>
      </c>
      <c r="L11" s="467"/>
    </row>
    <row r="12" spans="2:12" ht="20.149999999999999" customHeight="1" x14ac:dyDescent="0.45">
      <c r="B12" s="468" t="s">
        <v>2139</v>
      </c>
      <c r="C12" s="469"/>
      <c r="D12" s="470"/>
      <c r="E12" s="30"/>
      <c r="F12" s="460"/>
      <c r="G12" s="461"/>
      <c r="H12" s="462"/>
      <c r="J12" s="83" t="s">
        <v>171</v>
      </c>
      <c r="K12" s="471" t="s">
        <v>533</v>
      </c>
      <c r="L12" s="472"/>
    </row>
    <row r="13" spans="2:12" ht="20.149999999999999" customHeight="1" x14ac:dyDescent="0.45">
      <c r="B13" s="468" t="s">
        <v>2024</v>
      </c>
      <c r="C13" s="469"/>
      <c r="D13" s="470"/>
      <c r="E13" s="30"/>
      <c r="F13" s="460"/>
      <c r="G13" s="461"/>
      <c r="H13" s="462"/>
      <c r="J13" s="83" t="s">
        <v>12</v>
      </c>
      <c r="K13" s="471" t="s">
        <v>14</v>
      </c>
      <c r="L13" s="472"/>
    </row>
    <row r="14" spans="2:12" ht="20.149999999999999" customHeight="1" x14ac:dyDescent="0.45">
      <c r="B14" s="468" t="s">
        <v>2025</v>
      </c>
      <c r="C14" s="469"/>
      <c r="D14" s="470"/>
      <c r="E14" s="30"/>
      <c r="F14" s="460"/>
      <c r="G14" s="461"/>
      <c r="H14" s="462"/>
      <c r="J14" s="83" t="s">
        <v>30</v>
      </c>
      <c r="K14" s="471" t="s">
        <v>16</v>
      </c>
      <c r="L14" s="472"/>
    </row>
    <row r="15" spans="2:12" ht="18" customHeight="1" thickBot="1" x14ac:dyDescent="0.5">
      <c r="B15" s="463" t="s">
        <v>2026</v>
      </c>
      <c r="C15" s="464"/>
      <c r="D15" s="465"/>
      <c r="E15" s="26"/>
      <c r="F15" s="463"/>
      <c r="G15" s="464"/>
      <c r="H15" s="465"/>
      <c r="J15" s="84" t="s">
        <v>13</v>
      </c>
      <c r="K15" s="476"/>
      <c r="L15" s="477"/>
    </row>
    <row r="16" spans="2:12" ht="19" thickBot="1" x14ac:dyDescent="0.5">
      <c r="J16" s="85"/>
    </row>
    <row r="17" spans="2:16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16" ht="20.149999999999999" customHeight="1" x14ac:dyDescent="0.45">
      <c r="B18" s="34"/>
      <c r="C18" s="22" t="s">
        <v>1608</v>
      </c>
      <c r="D18" s="508" t="str">
        <f>VLOOKUP(C18,'Sales Master'!B$3:D$499,2,)</f>
        <v>Pearl Barley 薏米</v>
      </c>
      <c r="E18" s="508"/>
      <c r="F18" s="508"/>
      <c r="G18" s="22">
        <v>1</v>
      </c>
      <c r="H18" s="389" t="str">
        <f>VLOOKUP(C18,'Sales Master'!$B$3:$F$3179,5,0)</f>
        <v>5 kgs</v>
      </c>
      <c r="I18" s="482" t="str">
        <f>VLOOKUP(C18,'Sales Master'!$B$3:$F$3179,4,0)</f>
        <v>-</v>
      </c>
      <c r="J18" s="482"/>
      <c r="K18" s="35">
        <f>VLOOKUP(C18,'Sales Master'!B$3:J$499,9,0)</f>
        <v>10</v>
      </c>
      <c r="L18" s="77">
        <f>K18*G18</f>
        <v>10</v>
      </c>
      <c r="M18" s="78"/>
      <c r="N18" s="225">
        <f>VLOOKUP(C18,'Sales Master'!$B$3:$DA$3038,104,0)</f>
        <v>6.8000000000000007</v>
      </c>
      <c r="O18" s="225">
        <f>K18-N18</f>
        <v>3.1999999999999993</v>
      </c>
      <c r="P18" s="225">
        <f>O18*G18</f>
        <v>3.1999999999999993</v>
      </c>
    </row>
    <row r="19" spans="2:16" ht="20.149999999999999" customHeight="1" x14ac:dyDescent="0.45">
      <c r="B19" s="34"/>
      <c r="C19" s="22"/>
      <c r="D19" s="508"/>
      <c r="E19" s="508"/>
      <c r="F19" s="508"/>
      <c r="G19" s="22"/>
      <c r="H19" s="389"/>
      <c r="I19" s="512"/>
      <c r="J19" s="512"/>
      <c r="K19" s="35"/>
      <c r="L19" s="77"/>
      <c r="M19" s="78"/>
      <c r="N19" s="225"/>
      <c r="O19" s="225"/>
      <c r="P19" s="225"/>
    </row>
    <row r="20" spans="2:16" ht="20.149999999999999" customHeight="1" x14ac:dyDescent="0.45">
      <c r="B20" s="34"/>
      <c r="C20" s="22"/>
      <c r="D20" s="508"/>
      <c r="E20" s="508"/>
      <c r="F20" s="508"/>
      <c r="G20" s="22"/>
      <c r="H20" s="389"/>
      <c r="I20" s="512"/>
      <c r="J20" s="512"/>
      <c r="K20" s="35"/>
      <c r="L20" s="77"/>
      <c r="M20" s="78"/>
      <c r="N20" s="225"/>
      <c r="O20" s="225"/>
      <c r="P20" s="225"/>
    </row>
    <row r="21" spans="2:16" ht="20.149999999999999" customHeight="1" x14ac:dyDescent="0.45">
      <c r="B21" s="34"/>
      <c r="C21" s="22"/>
      <c r="D21" s="508"/>
      <c r="E21" s="508"/>
      <c r="F21" s="508"/>
      <c r="G21" s="22"/>
      <c r="H21" s="68"/>
      <c r="I21" s="481"/>
      <c r="J21" s="481"/>
      <c r="K21" s="35"/>
      <c r="L21" s="77"/>
    </row>
    <row r="22" spans="2:16" ht="20.149999999999999" customHeight="1" x14ac:dyDescent="0.45">
      <c r="B22" s="34"/>
      <c r="C22" s="22"/>
      <c r="D22" s="508"/>
      <c r="E22" s="508"/>
      <c r="F22" s="508"/>
      <c r="G22" s="22"/>
      <c r="H22" s="68"/>
      <c r="I22" s="481"/>
      <c r="J22" s="481"/>
      <c r="K22" s="35"/>
      <c r="L22" s="77"/>
    </row>
    <row r="23" spans="2:16" ht="20.149999999999999" customHeight="1" x14ac:dyDescent="0.45">
      <c r="B23" s="34"/>
      <c r="C23" s="22"/>
      <c r="D23" s="508"/>
      <c r="E23" s="508"/>
      <c r="F23" s="508"/>
      <c r="G23" s="22"/>
      <c r="H23" s="68"/>
      <c r="I23" s="481"/>
      <c r="J23" s="481"/>
      <c r="K23" s="35"/>
      <c r="L23" s="77"/>
    </row>
    <row r="24" spans="2:16" ht="20.149999999999999" customHeight="1" x14ac:dyDescent="0.45">
      <c r="B24" s="34"/>
      <c r="C24" s="22"/>
      <c r="D24" s="508"/>
      <c r="E24" s="508"/>
      <c r="F24" s="508"/>
      <c r="G24" s="22"/>
      <c r="H24" s="68"/>
      <c r="I24" s="481"/>
      <c r="J24" s="481"/>
      <c r="K24" s="35"/>
      <c r="L24" s="77"/>
    </row>
    <row r="25" spans="2:16" ht="20.149999999999999" customHeight="1" x14ac:dyDescent="0.45">
      <c r="B25" s="34"/>
      <c r="C25" s="22"/>
      <c r="D25" s="508"/>
      <c r="E25" s="508"/>
      <c r="F25" s="508"/>
      <c r="G25" s="22"/>
      <c r="H25" s="68"/>
      <c r="I25" s="481"/>
      <c r="J25" s="481"/>
      <c r="K25" s="35"/>
      <c r="L25" s="77"/>
    </row>
    <row r="26" spans="2:16" ht="20.149999999999999" customHeight="1" x14ac:dyDescent="0.45">
      <c r="B26" s="34"/>
      <c r="C26" s="22"/>
      <c r="D26" s="508"/>
      <c r="E26" s="508"/>
      <c r="F26" s="508"/>
      <c r="G26" s="22"/>
      <c r="H26" s="68"/>
      <c r="I26" s="481"/>
      <c r="J26" s="481"/>
      <c r="K26" s="35"/>
      <c r="L26" s="77"/>
    </row>
    <row r="27" spans="2:16" ht="20.149999999999999" customHeight="1" thickBot="1" x14ac:dyDescent="0.5">
      <c r="B27" s="37"/>
      <c r="C27" s="38"/>
      <c r="D27" s="509"/>
      <c r="E27" s="509"/>
      <c r="F27" s="509"/>
      <c r="G27" s="38"/>
      <c r="H27" s="69"/>
      <c r="I27" s="588"/>
      <c r="J27" s="588"/>
      <c r="K27" s="39"/>
      <c r="L27" s="40"/>
    </row>
    <row r="28" spans="2:16" ht="20.149999999999999" customHeight="1" thickBot="1" x14ac:dyDescent="0.5">
      <c r="B28" s="41"/>
      <c r="L28" s="42"/>
    </row>
    <row r="29" spans="2:16" ht="20.149999999999999" customHeight="1" x14ac:dyDescent="0.45">
      <c r="B29" s="11" t="s">
        <v>18</v>
      </c>
      <c r="C29" s="7"/>
      <c r="D29" s="7"/>
      <c r="E29" s="7"/>
      <c r="F29" s="7"/>
      <c r="G29" s="7"/>
      <c r="H29" s="7"/>
      <c r="I29" s="86"/>
      <c r="J29" s="510" t="s">
        <v>15</v>
      </c>
      <c r="K29" s="511"/>
      <c r="L29" s="43">
        <f>SUM(L18:L27)</f>
        <v>10</v>
      </c>
      <c r="M29" s="76">
        <f>SUM(P18:P26)-L29*0.02</f>
        <v>2.9999999999999991</v>
      </c>
      <c r="N29" s="201">
        <f>M29/L29</f>
        <v>0.29999999999999993</v>
      </c>
    </row>
    <row r="30" spans="2:16" ht="20.149999999999999" customHeight="1" x14ac:dyDescent="0.45">
      <c r="B30" s="11" t="s">
        <v>19</v>
      </c>
      <c r="C30" s="7"/>
      <c r="D30" s="7"/>
      <c r="E30" s="7"/>
      <c r="F30" s="7"/>
      <c r="G30" s="7"/>
      <c r="H30" s="7"/>
      <c r="I30" s="86"/>
      <c r="J30" s="44" t="s">
        <v>22</v>
      </c>
      <c r="K30" s="45"/>
      <c r="L30" s="46">
        <f>L29*K30</f>
        <v>0</v>
      </c>
    </row>
    <row r="31" spans="2:16" ht="20.149999999999999" customHeight="1" x14ac:dyDescent="0.45">
      <c r="B31" s="11" t="s">
        <v>20</v>
      </c>
      <c r="C31" s="7"/>
      <c r="D31" s="7"/>
      <c r="E31" s="7"/>
      <c r="F31" s="7"/>
      <c r="G31" s="7"/>
      <c r="H31" s="7"/>
      <c r="I31" s="86"/>
      <c r="J31" s="486" t="s">
        <v>21</v>
      </c>
      <c r="K31" s="487"/>
      <c r="L31" s="46">
        <f>L29-L30</f>
        <v>10</v>
      </c>
    </row>
    <row r="32" spans="2:16" ht="20.149999999999999" customHeight="1" x14ac:dyDescent="0.45">
      <c r="B32" s="11" t="s">
        <v>24</v>
      </c>
      <c r="C32" s="7"/>
      <c r="D32" s="7"/>
      <c r="E32" s="7"/>
      <c r="F32" s="7"/>
      <c r="G32" s="7"/>
      <c r="H32" s="7"/>
      <c r="I32" s="86"/>
      <c r="J32" s="150" t="s">
        <v>17</v>
      </c>
      <c r="K32" s="151">
        <v>7.0000000000000007E-2</v>
      </c>
      <c r="L32" s="47">
        <f>L31*K32</f>
        <v>0.70000000000000007</v>
      </c>
    </row>
    <row r="33" spans="2:12" ht="20.149999999999999" customHeight="1" thickBot="1" x14ac:dyDescent="0.5">
      <c r="B33" s="11" t="s">
        <v>25</v>
      </c>
      <c r="C33" s="7"/>
      <c r="D33" s="7"/>
      <c r="E33" s="7"/>
      <c r="F33" s="7"/>
      <c r="G33" s="7"/>
      <c r="H33" s="7"/>
      <c r="I33" s="86"/>
      <c r="J33" s="488" t="s">
        <v>23</v>
      </c>
      <c r="K33" s="489"/>
      <c r="L33" s="48">
        <f>L31+L32</f>
        <v>10.7</v>
      </c>
    </row>
    <row r="34" spans="2:12" ht="20.149999999999999" customHeight="1" x14ac:dyDescent="0.45">
      <c r="B34" s="11" t="s">
        <v>26</v>
      </c>
      <c r="C34" s="7"/>
      <c r="D34" s="7"/>
      <c r="E34" s="7"/>
      <c r="F34" s="7"/>
      <c r="G34" s="7"/>
      <c r="H34" s="7"/>
      <c r="I34" s="86"/>
      <c r="L34" s="42"/>
    </row>
    <row r="35" spans="2:12" ht="20.149999999999999" customHeight="1" x14ac:dyDescent="0.45">
      <c r="B35" s="41"/>
      <c r="L35" s="42"/>
    </row>
    <row r="36" spans="2:12" ht="20.149999999999999" customHeight="1" x14ac:dyDescent="0.45">
      <c r="B36" s="41"/>
      <c r="L36" s="42"/>
    </row>
    <row r="37" spans="2:12" ht="20.149999999999999" customHeight="1" x14ac:dyDescent="0.45">
      <c r="B37" s="41"/>
      <c r="L37" s="42"/>
    </row>
    <row r="38" spans="2:12" ht="20.149999999999999" customHeight="1" x14ac:dyDescent="0.45">
      <c r="B38" s="41"/>
      <c r="L38" s="42"/>
    </row>
    <row r="39" spans="2:12" ht="20.149999999999999" customHeight="1" x14ac:dyDescent="0.45">
      <c r="B39" s="49"/>
      <c r="C39" s="50"/>
      <c r="D39" s="50"/>
      <c r="J39" s="87"/>
      <c r="K39" s="50"/>
      <c r="L39" s="51"/>
    </row>
    <row r="40" spans="2:12" ht="20.149999999999999" customHeight="1" x14ac:dyDescent="0.45">
      <c r="B40" s="41" t="s">
        <v>27</v>
      </c>
      <c r="J40" s="81" t="s">
        <v>28</v>
      </c>
      <c r="L40" s="42"/>
    </row>
    <row r="41" spans="2:12" ht="19" thickBot="1" x14ac:dyDescent="0.5">
      <c r="B41" s="52"/>
      <c r="C41" s="53"/>
      <c r="D41" s="53"/>
      <c r="E41" s="53"/>
      <c r="F41" s="53"/>
      <c r="G41" s="53"/>
      <c r="H41" s="53"/>
      <c r="I41" s="88"/>
      <c r="J41" s="88"/>
      <c r="K41" s="53"/>
      <c r="L41" s="54"/>
    </row>
  </sheetData>
  <mergeCells count="38">
    <mergeCell ref="D23:F23"/>
    <mergeCell ref="D24:F24"/>
    <mergeCell ref="D25:F25"/>
    <mergeCell ref="D26:F26"/>
    <mergeCell ref="I22:J22"/>
    <mergeCell ref="I23:J23"/>
    <mergeCell ref="I24:J24"/>
    <mergeCell ref="J33:K33"/>
    <mergeCell ref="J29:K29"/>
    <mergeCell ref="J31:K31"/>
    <mergeCell ref="D18:F18"/>
    <mergeCell ref="I18:J18"/>
    <mergeCell ref="D20:F20"/>
    <mergeCell ref="I20:J20"/>
    <mergeCell ref="D19:F19"/>
    <mergeCell ref="I19:J19"/>
    <mergeCell ref="D21:F21"/>
    <mergeCell ref="I21:J21"/>
    <mergeCell ref="I25:J25"/>
    <mergeCell ref="I26:J26"/>
    <mergeCell ref="I27:J27"/>
    <mergeCell ref="D27:F27"/>
    <mergeCell ref="D22:F22"/>
    <mergeCell ref="B1:L8"/>
    <mergeCell ref="D17:F17"/>
    <mergeCell ref="I17:J1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</mergeCells>
  <pageMargins left="0.70866141732283472" right="0.31496062992125984" top="0.59055118110236227" bottom="0" header="0.31496062992125984" footer="0.31496062992125984"/>
  <pageSetup paperSize="9" scale="76" orientation="portrait" horizontalDpi="300" verticalDpi="300" r:id="rId1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1D8AD1-8398-4961-9F7C-2EEA0EC7A763}">
  <sheetPr codeName="Sheet105">
    <tabColor rgb="FF92D050"/>
    <pageSetUpPr fitToPage="1"/>
  </sheetPr>
  <dimension ref="B1:P44"/>
  <sheetViews>
    <sheetView topLeftCell="A24" workbookViewId="0">
      <selection activeCell="J35" sqref="J35:K35"/>
    </sheetView>
  </sheetViews>
  <sheetFormatPr defaultColWidth="12.54296875" defaultRowHeight="18.5" x14ac:dyDescent="0.45"/>
  <cols>
    <col min="1" max="1" width="12.54296875" style="24"/>
    <col min="2" max="3" width="12.54296875" style="24" customWidth="1"/>
    <col min="4" max="4" width="14.54296875" style="24" customWidth="1"/>
    <col min="5" max="5" width="1.54296875" style="24" customWidth="1"/>
    <col min="6" max="6" width="17.1796875" style="24" customWidth="1"/>
    <col min="7" max="7" width="8.54296875" style="24" customWidth="1"/>
    <col min="8" max="8" width="17.54296875" style="24" customWidth="1"/>
    <col min="9" max="9" width="2.1796875" style="81" customWidth="1"/>
    <col min="10" max="10" width="15.54296875" style="81" customWidth="1"/>
    <col min="11" max="11" width="10.54296875" style="24" customWidth="1"/>
    <col min="12" max="12" width="14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212</v>
      </c>
      <c r="J10" s="82" t="s">
        <v>29</v>
      </c>
      <c r="K10" s="452">
        <v>202209443</v>
      </c>
      <c r="L10" s="453"/>
    </row>
    <row r="11" spans="2:12" ht="20.149999999999999" customHeight="1" x14ac:dyDescent="0.45">
      <c r="B11" s="454" t="s">
        <v>2037</v>
      </c>
      <c r="C11" s="455"/>
      <c r="D11" s="456"/>
      <c r="E11" s="30"/>
      <c r="F11" s="457" t="str">
        <f>VLOOKUP(H10,'Delivery Location'!A$4:N$416,2,0)</f>
        <v xml:space="preserve">Koufu - Dessert                                             1, Bukit Batok Central Link.                     #04-01 West Mall Singapore 658713                                                          </v>
      </c>
      <c r="G11" s="458"/>
      <c r="H11" s="459"/>
      <c r="J11" s="83" t="s">
        <v>11</v>
      </c>
      <c r="K11" s="466">
        <v>44832</v>
      </c>
      <c r="L11" s="467"/>
    </row>
    <row r="12" spans="2:12" ht="20.149999999999999" customHeight="1" x14ac:dyDescent="0.45">
      <c r="B12" s="468" t="s">
        <v>2139</v>
      </c>
      <c r="C12" s="469"/>
      <c r="D12" s="470"/>
      <c r="E12" s="30"/>
      <c r="F12" s="460"/>
      <c r="G12" s="461"/>
      <c r="H12" s="462"/>
      <c r="J12" s="83" t="s">
        <v>171</v>
      </c>
      <c r="K12" s="471" t="s">
        <v>533</v>
      </c>
      <c r="L12" s="472"/>
    </row>
    <row r="13" spans="2:12" ht="20.149999999999999" customHeight="1" x14ac:dyDescent="0.45">
      <c r="B13" s="468" t="s">
        <v>2024</v>
      </c>
      <c r="C13" s="469"/>
      <c r="D13" s="470"/>
      <c r="E13" s="30"/>
      <c r="F13" s="460"/>
      <c r="G13" s="461"/>
      <c r="H13" s="462"/>
      <c r="J13" s="83" t="s">
        <v>12</v>
      </c>
      <c r="K13" s="471" t="s">
        <v>14</v>
      </c>
      <c r="L13" s="472"/>
    </row>
    <row r="14" spans="2:12" ht="20.149999999999999" customHeight="1" x14ac:dyDescent="0.45">
      <c r="B14" s="468" t="s">
        <v>2025</v>
      </c>
      <c r="C14" s="469"/>
      <c r="D14" s="470"/>
      <c r="E14" s="30"/>
      <c r="F14" s="460"/>
      <c r="G14" s="461"/>
      <c r="H14" s="462"/>
      <c r="J14" s="83" t="s">
        <v>30</v>
      </c>
      <c r="K14" s="471" t="s">
        <v>16</v>
      </c>
      <c r="L14" s="472"/>
    </row>
    <row r="15" spans="2:12" ht="18" customHeight="1" thickBot="1" x14ac:dyDescent="0.5">
      <c r="B15" s="463" t="s">
        <v>2026</v>
      </c>
      <c r="C15" s="464"/>
      <c r="D15" s="465"/>
      <c r="E15" s="26"/>
      <c r="F15" s="463"/>
      <c r="G15" s="464"/>
      <c r="H15" s="465"/>
      <c r="J15" s="84" t="s">
        <v>13</v>
      </c>
      <c r="K15" s="476"/>
      <c r="L15" s="477"/>
    </row>
    <row r="16" spans="2:12" ht="19" thickBot="1" x14ac:dyDescent="0.5">
      <c r="J16" s="85"/>
    </row>
    <row r="17" spans="2:16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16" ht="20.149999999999999" customHeight="1" x14ac:dyDescent="0.45">
      <c r="B18" s="34"/>
      <c r="C18" s="22" t="s">
        <v>1572</v>
      </c>
      <c r="D18" s="508" t="str">
        <f>VLOOKUP(C18,'Sales Master'!B$3:D$499,2,)</f>
        <v>Red Bean红豆 (5.5 mm)</v>
      </c>
      <c r="E18" s="508"/>
      <c r="F18" s="508"/>
      <c r="G18" s="22">
        <v>2</v>
      </c>
      <c r="H18" s="102" t="str">
        <f>VLOOKUP(C18,'Sales Master'!$B$3:$F$3223,5,0)</f>
        <v>5 kgs</v>
      </c>
      <c r="I18" s="482" t="str">
        <f>VLOOKUP(C18,'Sales Master'!$B$3:$E$3223,4,0)</f>
        <v>-</v>
      </c>
      <c r="J18" s="482"/>
      <c r="K18" s="35">
        <f>VLOOKUP(C18,'Sales Master'!B$3:AV$499,47,0)</f>
        <v>20.5</v>
      </c>
      <c r="L18" s="77">
        <f>K18*G18</f>
        <v>41</v>
      </c>
      <c r="M18" s="78"/>
      <c r="N18" s="225">
        <f>VLOOKUP(C18,'Sales Master'!$B$3:$DA$3038,104,0)</f>
        <v>17</v>
      </c>
      <c r="O18" s="225">
        <f>K18-N18</f>
        <v>3.5</v>
      </c>
      <c r="P18" s="225">
        <f>O18*G18</f>
        <v>7</v>
      </c>
    </row>
    <row r="19" spans="2:16" ht="20.149999999999999" customHeight="1" x14ac:dyDescent="0.45">
      <c r="B19" s="34"/>
      <c r="C19" s="22" t="s">
        <v>1585</v>
      </c>
      <c r="D19" s="508" t="str">
        <f>VLOOKUP(C19,'Sales Master'!B$3:D$499,2,)</f>
        <v>Green Bean 绿豆</v>
      </c>
      <c r="E19" s="508"/>
      <c r="F19" s="508"/>
      <c r="G19" s="22">
        <v>1</v>
      </c>
      <c r="H19" s="102" t="str">
        <f>VLOOKUP(C19,'Sales Master'!$B$3:$F$3223,5,0)</f>
        <v>5 kgs</v>
      </c>
      <c r="I19" s="482" t="str">
        <f>VLOOKUP(C19,'Sales Master'!$B$3:$E$3223,4,0)</f>
        <v>-</v>
      </c>
      <c r="J19" s="482"/>
      <c r="K19" s="35">
        <f>VLOOKUP(C19,'Sales Master'!B$3:AV$499,47,0)</f>
        <v>13</v>
      </c>
      <c r="L19" s="77">
        <f t="shared" ref="L19" si="0">K19*G19</f>
        <v>13</v>
      </c>
      <c r="M19" s="78"/>
      <c r="N19" s="225">
        <f>VLOOKUP(C19,'Sales Master'!$B$3:$DA$3038,104,0)</f>
        <v>9.3999999999999986</v>
      </c>
      <c r="O19" s="225">
        <f t="shared" ref="O19" si="1">K19-N19</f>
        <v>3.6000000000000014</v>
      </c>
      <c r="P19" s="225">
        <f t="shared" ref="P19" si="2">O19*G19</f>
        <v>3.6000000000000014</v>
      </c>
    </row>
    <row r="20" spans="2:16" ht="20.149999999999999" customHeight="1" x14ac:dyDescent="0.45">
      <c r="B20" s="34"/>
      <c r="C20" s="22" t="s">
        <v>1736</v>
      </c>
      <c r="D20" s="508" t="str">
        <f>VLOOKUP(C20,'Sales Master'!B$3:D$499,2,)</f>
        <v>Coconut Milk 椰浆</v>
      </c>
      <c r="E20" s="508"/>
      <c r="F20" s="508"/>
      <c r="G20" s="22">
        <v>1</v>
      </c>
      <c r="H20" s="102" t="str">
        <f>VLOOKUP(C20,'Sales Master'!$B$3:$F$3223,5,0)</f>
        <v>(1L x 12bag)/箱</v>
      </c>
      <c r="I20" s="482" t="str">
        <f>VLOOKUP(C20,'Sales Master'!$B$3:$E$3223,4,0)</f>
        <v>Kara UHT</v>
      </c>
      <c r="J20" s="482"/>
      <c r="K20" s="35">
        <f>VLOOKUP(C20,'Sales Master'!B$3:AV$499,47,0)</f>
        <v>42</v>
      </c>
      <c r="L20" s="77">
        <f t="shared" ref="L20:L23" si="3">K20*G20</f>
        <v>42</v>
      </c>
      <c r="M20" s="78"/>
      <c r="N20" s="225">
        <f>VLOOKUP(C20,'Sales Master'!$B$3:$DA$3038,104,0)</f>
        <v>35.5</v>
      </c>
      <c r="O20" s="225">
        <f t="shared" ref="O20:O23" si="4">K20-N20</f>
        <v>6.5</v>
      </c>
      <c r="P20" s="225">
        <f t="shared" ref="P20:P23" si="5">O20*G20</f>
        <v>6.5</v>
      </c>
    </row>
    <row r="21" spans="2:16" ht="20.149999999999999" customHeight="1" x14ac:dyDescent="0.45">
      <c r="B21" s="34"/>
      <c r="C21" s="22" t="s">
        <v>1789</v>
      </c>
      <c r="D21" s="508" t="str">
        <f>VLOOKUP(C21,'Sales Master'!B$3:D$499,2,)</f>
        <v>Sweet Potato 番薯</v>
      </c>
      <c r="E21" s="508"/>
      <c r="F21" s="508"/>
      <c r="G21" s="22">
        <v>10</v>
      </c>
      <c r="H21" s="102" t="str">
        <f>VLOOKUP(C21,'Sales Master'!$B$3:$F$3223,5,0)</f>
        <v>1 KG</v>
      </c>
      <c r="I21" s="482" t="str">
        <f>VLOOKUP(C21,'Sales Master'!$B$3:$E$3223,4,0)</f>
        <v>Malaysia</v>
      </c>
      <c r="J21" s="482"/>
      <c r="K21" s="35">
        <f>VLOOKUP(C21,'Sales Master'!B$3:AV$499,47,0)</f>
        <v>2.5</v>
      </c>
      <c r="L21" s="77">
        <f t="shared" si="3"/>
        <v>25</v>
      </c>
      <c r="M21" s="78"/>
      <c r="N21" s="225">
        <f>VLOOKUP(C21,'Sales Master'!$B$3:$DA$3038,104,0)</f>
        <v>1.8666666666666665</v>
      </c>
      <c r="O21" s="225">
        <f t="shared" si="4"/>
        <v>0.63333333333333353</v>
      </c>
      <c r="P21" s="225">
        <f t="shared" si="5"/>
        <v>6.3333333333333357</v>
      </c>
    </row>
    <row r="22" spans="2:16" ht="20.149999999999999" customHeight="1" x14ac:dyDescent="0.45">
      <c r="B22" s="34"/>
      <c r="C22" s="22" t="s">
        <v>1794</v>
      </c>
      <c r="D22" s="508" t="str">
        <f>VLOOKUP(C22,'Sales Master'!B$3:D$499,2,)</f>
        <v>Pandan Leaf 班兰叶</v>
      </c>
      <c r="E22" s="508"/>
      <c r="F22" s="508"/>
      <c r="G22" s="22">
        <v>2</v>
      </c>
      <c r="H22" s="102" t="str">
        <f>VLOOKUP(C22,'Sales Master'!$B$3:$F$3223,5,0)</f>
        <v>1 kg</v>
      </c>
      <c r="I22" s="482" t="str">
        <f>VLOOKUP(C22,'Sales Master'!$B$3:$E$3223,4,0)</f>
        <v>-</v>
      </c>
      <c r="J22" s="482"/>
      <c r="K22" s="35">
        <f>VLOOKUP(C22,'Sales Master'!B$3:AV$499,47,0)</f>
        <v>1.8</v>
      </c>
      <c r="L22" s="77">
        <f t="shared" si="3"/>
        <v>3.6</v>
      </c>
      <c r="M22" s="78"/>
      <c r="N22" s="225">
        <f>VLOOKUP(C22,'Sales Master'!$B$3:$DA$3038,104,0)</f>
        <v>1</v>
      </c>
      <c r="O22" s="225">
        <f t="shared" si="4"/>
        <v>0.8</v>
      </c>
      <c r="P22" s="225">
        <f t="shared" si="5"/>
        <v>1.6</v>
      </c>
    </row>
    <row r="23" spans="2:16" ht="20.149999999999999" customHeight="1" x14ac:dyDescent="0.45">
      <c r="B23" s="34"/>
      <c r="C23" s="22" t="s">
        <v>1795</v>
      </c>
      <c r="D23" s="508" t="str">
        <f>VLOOKUP(C23,'Sales Master'!B$3:D$499,2,)</f>
        <v>Lime 酸甘</v>
      </c>
      <c r="E23" s="508"/>
      <c r="F23" s="508"/>
      <c r="G23" s="22">
        <v>1</v>
      </c>
      <c r="H23" s="102" t="str">
        <f>VLOOKUP(C23,'Sales Master'!$B$3:$F$3223,5,0)</f>
        <v>1 kg</v>
      </c>
      <c r="I23" s="482" t="str">
        <f>VLOOKUP(C23,'Sales Master'!$B$3:$E$3223,4,0)</f>
        <v>-</v>
      </c>
      <c r="J23" s="482"/>
      <c r="K23" s="35">
        <f>VLOOKUP(C23,'Sales Master'!B$3:AV$499,47,0)</f>
        <v>2.8</v>
      </c>
      <c r="L23" s="77">
        <f t="shared" si="3"/>
        <v>2.8</v>
      </c>
      <c r="M23" s="78"/>
      <c r="N23" s="225">
        <f>VLOOKUP(C23,'Sales Master'!$B$3:$DA$3038,104,0)</f>
        <v>1.9</v>
      </c>
      <c r="O23" s="225">
        <f t="shared" si="4"/>
        <v>0.89999999999999991</v>
      </c>
      <c r="P23" s="225">
        <f t="shared" si="5"/>
        <v>0.89999999999999991</v>
      </c>
    </row>
    <row r="24" spans="2:16" ht="20.149999999999999" customHeight="1" x14ac:dyDescent="0.45">
      <c r="B24" s="34"/>
      <c r="C24" s="22"/>
      <c r="D24" s="508"/>
      <c r="E24" s="508"/>
      <c r="F24" s="508"/>
      <c r="G24" s="22"/>
      <c r="H24" s="102"/>
      <c r="I24" s="482"/>
      <c r="J24" s="482"/>
      <c r="K24" s="35"/>
      <c r="L24" s="77"/>
      <c r="M24" s="78"/>
      <c r="N24" s="225"/>
      <c r="O24" s="225"/>
      <c r="P24" s="225"/>
    </row>
    <row r="25" spans="2:16" ht="20.149999999999999" customHeight="1" x14ac:dyDescent="0.45">
      <c r="B25" s="34"/>
      <c r="C25" s="22"/>
      <c r="D25" s="508"/>
      <c r="E25" s="508"/>
      <c r="F25" s="508"/>
      <c r="G25" s="22"/>
      <c r="H25" s="102"/>
      <c r="I25" s="482"/>
      <c r="J25" s="482"/>
      <c r="K25" s="35"/>
      <c r="L25" s="77"/>
      <c r="M25" s="78"/>
      <c r="N25" s="225"/>
      <c r="O25" s="225"/>
      <c r="P25" s="225"/>
    </row>
    <row r="26" spans="2:16" ht="20.149999999999999" customHeight="1" x14ac:dyDescent="0.45">
      <c r="B26" s="34"/>
      <c r="C26" s="22"/>
      <c r="D26" s="508"/>
      <c r="E26" s="508"/>
      <c r="F26" s="508"/>
      <c r="G26" s="22"/>
      <c r="H26" s="102"/>
      <c r="I26" s="482"/>
      <c r="J26" s="482"/>
      <c r="K26" s="35"/>
      <c r="L26" s="77"/>
      <c r="M26" s="78"/>
      <c r="N26" s="225"/>
      <c r="O26" s="225"/>
      <c r="P26" s="225"/>
    </row>
    <row r="27" spans="2:16" ht="20.149999999999999" customHeight="1" x14ac:dyDescent="0.45">
      <c r="B27" s="34"/>
      <c r="C27" s="22"/>
      <c r="D27" s="508"/>
      <c r="E27" s="508"/>
      <c r="F27" s="508"/>
      <c r="G27" s="22"/>
      <c r="H27" s="102"/>
      <c r="I27" s="482"/>
      <c r="J27" s="482"/>
      <c r="K27" s="35"/>
      <c r="L27" s="77"/>
      <c r="M27" s="78"/>
      <c r="N27" s="225"/>
      <c r="O27" s="225"/>
      <c r="P27" s="225"/>
    </row>
    <row r="28" spans="2:16" ht="20.149999999999999" customHeight="1" x14ac:dyDescent="0.45">
      <c r="B28" s="34"/>
      <c r="C28" s="22"/>
      <c r="D28" s="508"/>
      <c r="E28" s="508"/>
      <c r="F28" s="508"/>
      <c r="G28" s="22"/>
      <c r="H28" s="102"/>
      <c r="I28" s="482"/>
      <c r="J28" s="482"/>
      <c r="K28" s="35"/>
      <c r="L28" s="77"/>
      <c r="M28" s="78"/>
      <c r="N28" s="225"/>
      <c r="O28" s="225"/>
      <c r="P28" s="225"/>
    </row>
    <row r="29" spans="2:16" ht="20.149999999999999" customHeight="1" x14ac:dyDescent="0.45">
      <c r="B29" s="34"/>
      <c r="C29" s="22"/>
      <c r="D29" s="508"/>
      <c r="E29" s="508"/>
      <c r="F29" s="508"/>
      <c r="G29" s="22"/>
      <c r="H29" s="102"/>
      <c r="I29" s="482"/>
      <c r="J29" s="482"/>
      <c r="K29" s="35"/>
      <c r="L29" s="77"/>
      <c r="M29" s="78"/>
      <c r="N29" s="225"/>
      <c r="O29" s="225"/>
      <c r="P29" s="225"/>
    </row>
    <row r="30" spans="2:16" ht="20.149999999999999" customHeight="1" x14ac:dyDescent="0.45">
      <c r="B30" s="34"/>
      <c r="C30" s="22"/>
      <c r="D30" s="508"/>
      <c r="E30" s="508"/>
      <c r="F30" s="508"/>
      <c r="G30" s="22"/>
      <c r="H30" s="102"/>
      <c r="I30" s="482"/>
      <c r="J30" s="482"/>
      <c r="K30" s="35"/>
      <c r="L30" s="77"/>
      <c r="M30" s="78"/>
      <c r="N30" s="225"/>
      <c r="O30" s="225"/>
      <c r="P30" s="225"/>
    </row>
    <row r="31" spans="2:16" ht="20.149999999999999" customHeight="1" x14ac:dyDescent="0.45">
      <c r="B31" s="34"/>
      <c r="C31" s="22"/>
      <c r="D31" s="508"/>
      <c r="E31" s="508"/>
      <c r="F31" s="508"/>
      <c r="G31" s="22"/>
      <c r="H31" s="102"/>
      <c r="I31" s="560"/>
      <c r="J31" s="560"/>
      <c r="K31" s="35"/>
      <c r="L31" s="77"/>
      <c r="M31" s="78"/>
      <c r="N31" s="225"/>
      <c r="O31" s="225"/>
      <c r="P31" s="225"/>
    </row>
    <row r="32" spans="2:16" ht="20.149999999999999" customHeight="1" x14ac:dyDescent="0.45">
      <c r="B32" s="34"/>
      <c r="C32" s="22"/>
      <c r="D32" s="508"/>
      <c r="E32" s="508"/>
      <c r="F32" s="508"/>
      <c r="G32" s="22"/>
      <c r="H32" s="68"/>
      <c r="I32" s="481"/>
      <c r="J32" s="481"/>
      <c r="K32" s="35"/>
      <c r="L32" s="77"/>
      <c r="M32" s="78"/>
      <c r="N32" s="225"/>
      <c r="O32" s="225"/>
      <c r="P32" s="225"/>
    </row>
    <row r="33" spans="2:14" ht="20.149999999999999" customHeight="1" x14ac:dyDescent="0.45">
      <c r="B33" s="155"/>
      <c r="C33" s="156"/>
      <c r="D33" s="556"/>
      <c r="E33" s="556"/>
      <c r="F33" s="556"/>
      <c r="G33" s="156"/>
      <c r="H33" s="217"/>
      <c r="I33" s="563"/>
      <c r="J33" s="563"/>
      <c r="K33" s="157"/>
      <c r="L33" s="158"/>
    </row>
    <row r="34" spans="2:14" ht="20.149999999999999" customHeight="1" thickBot="1" x14ac:dyDescent="0.5">
      <c r="B34" s="41"/>
      <c r="L34" s="42"/>
    </row>
    <row r="35" spans="2:14" ht="20.149999999999999" customHeight="1" x14ac:dyDescent="0.45">
      <c r="B35" s="11" t="s">
        <v>18</v>
      </c>
      <c r="C35" s="7"/>
      <c r="D35" s="7"/>
      <c r="E35" s="7"/>
      <c r="F35" s="7"/>
      <c r="G35" s="7"/>
      <c r="H35" s="7"/>
      <c r="I35" s="86"/>
      <c r="J35" s="510" t="s">
        <v>15</v>
      </c>
      <c r="K35" s="511"/>
      <c r="L35" s="43">
        <f>SUM(L17:L33)</f>
        <v>127.39999999999999</v>
      </c>
      <c r="M35" s="76">
        <f>SUM(P18:P33)-L35*0.02</f>
        <v>23.385333333333335</v>
      </c>
      <c r="N35" s="201">
        <f>M35/L35</f>
        <v>0.18355834641548929</v>
      </c>
    </row>
    <row r="36" spans="2:14" ht="20.149999999999999" customHeight="1" x14ac:dyDescent="0.45">
      <c r="B36" s="11" t="s">
        <v>19</v>
      </c>
      <c r="C36" s="7"/>
      <c r="D36" s="7"/>
      <c r="E36" s="7"/>
      <c r="F36" s="7"/>
      <c r="G36" s="7"/>
      <c r="H36" s="7"/>
      <c r="I36" s="86"/>
      <c r="J36" s="44" t="s">
        <v>22</v>
      </c>
      <c r="K36" s="45"/>
      <c r="L36" s="46">
        <f>L35*K36</f>
        <v>0</v>
      </c>
    </row>
    <row r="37" spans="2:14" ht="20.149999999999999" customHeight="1" x14ac:dyDescent="0.45">
      <c r="B37" s="11" t="s">
        <v>20</v>
      </c>
      <c r="C37" s="7"/>
      <c r="D37" s="7"/>
      <c r="E37" s="7"/>
      <c r="F37" s="7"/>
      <c r="G37" s="7"/>
      <c r="H37" s="7"/>
      <c r="I37" s="86"/>
      <c r="J37" s="486" t="s">
        <v>21</v>
      </c>
      <c r="K37" s="487"/>
      <c r="L37" s="46">
        <f>L35-L36</f>
        <v>127.39999999999999</v>
      </c>
    </row>
    <row r="38" spans="2:14" ht="20.149999999999999" customHeight="1" x14ac:dyDescent="0.45">
      <c r="B38" s="11" t="s">
        <v>24</v>
      </c>
      <c r="C38" s="7"/>
      <c r="D38" s="7"/>
      <c r="E38" s="7"/>
      <c r="F38" s="7"/>
      <c r="G38" s="7"/>
      <c r="H38" s="7"/>
      <c r="I38" s="86"/>
      <c r="J38" s="150" t="s">
        <v>17</v>
      </c>
      <c r="K38" s="151">
        <v>7.0000000000000007E-2</v>
      </c>
      <c r="L38" s="47">
        <f>L37*K38</f>
        <v>8.918000000000001</v>
      </c>
    </row>
    <row r="39" spans="2:14" ht="20.149999999999999" customHeight="1" thickBot="1" x14ac:dyDescent="0.5">
      <c r="B39" s="11" t="s">
        <v>25</v>
      </c>
      <c r="C39" s="7"/>
      <c r="D39" s="7"/>
      <c r="E39" s="7"/>
      <c r="F39" s="7"/>
      <c r="G39" s="7"/>
      <c r="H39" s="7"/>
      <c r="I39" s="86"/>
      <c r="J39" s="488" t="s">
        <v>23</v>
      </c>
      <c r="K39" s="489"/>
      <c r="L39" s="48">
        <f>L37+L38</f>
        <v>136.31799999999998</v>
      </c>
    </row>
    <row r="40" spans="2:14" ht="20.149999999999999" customHeight="1" x14ac:dyDescent="0.45">
      <c r="B40" s="11" t="s">
        <v>26</v>
      </c>
      <c r="C40" s="7"/>
      <c r="D40" s="7"/>
      <c r="E40" s="7"/>
      <c r="F40" s="7"/>
      <c r="G40" s="7"/>
      <c r="H40" s="7"/>
      <c r="I40" s="86"/>
      <c r="L40" s="42"/>
    </row>
    <row r="41" spans="2:14" ht="20.149999999999999" customHeight="1" x14ac:dyDescent="0.45">
      <c r="B41" s="41"/>
      <c r="L41" s="42"/>
    </row>
    <row r="42" spans="2:14" ht="20.149999999999999" customHeight="1" x14ac:dyDescent="0.45">
      <c r="B42" s="49"/>
      <c r="C42" s="50"/>
      <c r="D42" s="50"/>
      <c r="J42" s="87"/>
      <c r="K42" s="50"/>
      <c r="L42" s="42"/>
    </row>
    <row r="43" spans="2:14" ht="20.149999999999999" customHeight="1" x14ac:dyDescent="0.45">
      <c r="B43" s="41" t="s">
        <v>27</v>
      </c>
      <c r="J43" s="81" t="s">
        <v>28</v>
      </c>
      <c r="L43" s="42"/>
    </row>
    <row r="44" spans="2:14" ht="19" thickBot="1" x14ac:dyDescent="0.5">
      <c r="B44" s="52"/>
      <c r="C44" s="53"/>
      <c r="D44" s="53"/>
      <c r="E44" s="53"/>
      <c r="F44" s="53"/>
      <c r="G44" s="53"/>
      <c r="H44" s="53"/>
      <c r="I44" s="88"/>
      <c r="J44" s="88"/>
      <c r="K44" s="53"/>
      <c r="L44" s="54"/>
    </row>
  </sheetData>
  <mergeCells count="50">
    <mergeCell ref="B1:L8"/>
    <mergeCell ref="I24:J24"/>
    <mergeCell ref="D17:F17"/>
    <mergeCell ref="I17:J17"/>
    <mergeCell ref="K11:L11"/>
    <mergeCell ref="B12:D12"/>
    <mergeCell ref="K10:L10"/>
    <mergeCell ref="B11:D11"/>
    <mergeCell ref="F11:H15"/>
    <mergeCell ref="K12:L12"/>
    <mergeCell ref="D18:F18"/>
    <mergeCell ref="B14:D14"/>
    <mergeCell ref="B15:D15"/>
    <mergeCell ref="K13:L13"/>
    <mergeCell ref="B13:D13"/>
    <mergeCell ref="D20:F20"/>
    <mergeCell ref="K14:L14"/>
    <mergeCell ref="K15:L15"/>
    <mergeCell ref="D24:F24"/>
    <mergeCell ref="D22:F22"/>
    <mergeCell ref="I22:J22"/>
    <mergeCell ref="D23:F23"/>
    <mergeCell ref="I23:J23"/>
    <mergeCell ref="D21:F21"/>
    <mergeCell ref="D19:F19"/>
    <mergeCell ref="I18:J18"/>
    <mergeCell ref="I21:J21"/>
    <mergeCell ref="I20:J20"/>
    <mergeCell ref="I19:J19"/>
    <mergeCell ref="J39:K39"/>
    <mergeCell ref="D33:F33"/>
    <mergeCell ref="I33:J33"/>
    <mergeCell ref="J37:K37"/>
    <mergeCell ref="J35:K35"/>
    <mergeCell ref="D32:F32"/>
    <mergeCell ref="I32:J32"/>
    <mergeCell ref="D25:F25"/>
    <mergeCell ref="I25:J25"/>
    <mergeCell ref="D27:F27"/>
    <mergeCell ref="D29:F29"/>
    <mergeCell ref="D26:F26"/>
    <mergeCell ref="D31:F31"/>
    <mergeCell ref="I26:J26"/>
    <mergeCell ref="I31:J31"/>
    <mergeCell ref="D30:F30"/>
    <mergeCell ref="I27:J27"/>
    <mergeCell ref="I29:J29"/>
    <mergeCell ref="I30:J30"/>
    <mergeCell ref="D28:F28"/>
    <mergeCell ref="I28:J28"/>
  </mergeCells>
  <pageMargins left="0.70866141732283472" right="0.31496062992125984" top="0.51181102362204722" bottom="0.23622047244094491" header="0.31496062992125984" footer="0.31496062992125984"/>
  <pageSetup paperSize="9" scale="73" orientation="portrait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F7689-F242-4E07-B310-6D4DBC33DA58}">
  <sheetPr>
    <tabColor theme="9" tint="0.39997558519241921"/>
    <pageSetUpPr fitToPage="1"/>
  </sheetPr>
  <dimension ref="B1:P49"/>
  <sheetViews>
    <sheetView topLeftCell="A12" workbookViewId="0">
      <selection activeCell="K19" sqref="K19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8.36328125" style="24" customWidth="1"/>
    <col min="7" max="7" width="8.54296875" style="24" customWidth="1"/>
    <col min="8" max="8" width="15.7265625" style="24" customWidth="1"/>
    <col min="9" max="9" width="0.7265625" style="24" customWidth="1"/>
    <col min="10" max="10" width="20.26953125" style="24" customWidth="1"/>
    <col min="11" max="11" width="10.54296875" style="24" customWidth="1"/>
    <col min="12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2331</v>
      </c>
      <c r="J10" s="29" t="s">
        <v>29</v>
      </c>
      <c r="K10" s="452">
        <v>202209426</v>
      </c>
      <c r="L10" s="453"/>
    </row>
    <row r="11" spans="2:12" ht="20.149999999999999" customHeight="1" x14ac:dyDescent="0.45">
      <c r="B11" s="454" t="s">
        <v>2302</v>
      </c>
      <c r="C11" s="455"/>
      <c r="D11" s="456"/>
      <c r="E11" s="30"/>
      <c r="F11" s="457" t="str">
        <f>VLOOKUP(H10,'Delivery Location'!A$4:N$416,2,0)</f>
        <v xml:space="preserve">R&amp;B Tea Singapore                                                         76 Nanyang Drive #02-03 North Spine Plaza (Inside Koufu foodcourt) Singapore 637331             </v>
      </c>
      <c r="G11" s="458"/>
      <c r="H11" s="459"/>
      <c r="J11" s="31" t="s">
        <v>11</v>
      </c>
      <c r="K11" s="466">
        <v>44831</v>
      </c>
      <c r="L11" s="467"/>
    </row>
    <row r="12" spans="2:12" ht="20.149999999999999" customHeight="1" x14ac:dyDescent="0.45">
      <c r="B12" s="468" t="s">
        <v>2303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533</v>
      </c>
      <c r="L12" s="472"/>
    </row>
    <row r="13" spans="2:12" ht="20.149999999999999" customHeight="1" x14ac:dyDescent="0.45">
      <c r="B13" s="468" t="s">
        <v>2024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14</v>
      </c>
      <c r="L13" s="472"/>
    </row>
    <row r="14" spans="2:12" ht="20.149999999999999" customHeight="1" x14ac:dyDescent="0.45">
      <c r="B14" s="468" t="s">
        <v>2025</v>
      </c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463" t="s">
        <v>2026</v>
      </c>
      <c r="C15" s="464"/>
      <c r="D15" s="465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16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16" ht="20.149999999999999" customHeight="1" x14ac:dyDescent="0.45">
      <c r="B18" s="34"/>
      <c r="C18" s="22" t="s">
        <v>2305</v>
      </c>
      <c r="D18" s="508" t="str">
        <f>VLOOKUP(C18,'Sales Master'!B$3:D$499,2,)</f>
        <v>Passion Fruit Puree 百香果浆</v>
      </c>
      <c r="E18" s="508"/>
      <c r="F18" s="508"/>
      <c r="G18" s="90">
        <v>4</v>
      </c>
      <c r="H18" s="389" t="str">
        <f>VLOOKUP(C18,'Sales Master'!$B$3:$F$3247,5,0)</f>
        <v>1 KG/BOX</v>
      </c>
      <c r="I18" s="482" t="str">
        <f>VLOOKUP(C18,'Sales Master'!$B$3:$E$3247,4,0)</f>
        <v>-</v>
      </c>
      <c r="J18" s="482"/>
      <c r="K18" s="35">
        <f>VLOOKUP(C18,'Sales Master'!B$3:AD$498,29,0)</f>
        <v>8.5</v>
      </c>
      <c r="L18" s="77">
        <f>K18*G18</f>
        <v>34</v>
      </c>
      <c r="M18" s="78"/>
      <c r="N18" s="225">
        <f>VLOOKUP(C18,'Sales Master'!$B$3:$DA$3038,104,0)</f>
        <v>4.4000000000000004</v>
      </c>
      <c r="O18" s="225">
        <f>K18-N18</f>
        <v>4.0999999999999996</v>
      </c>
      <c r="P18" s="225">
        <f>O18*G18</f>
        <v>16.399999999999999</v>
      </c>
    </row>
    <row r="19" spans="2:16" ht="20.149999999999999" customHeight="1" x14ac:dyDescent="0.45">
      <c r="B19" s="34"/>
      <c r="C19" s="22" t="s">
        <v>1543</v>
      </c>
      <c r="D19" s="508" t="str">
        <f>VLOOKUP(C19,'Sales Master'!B$3:D$499,2,)</f>
        <v>Tapioca Flour 茨粉</v>
      </c>
      <c r="E19" s="508"/>
      <c r="F19" s="508"/>
      <c r="G19" s="90">
        <v>10</v>
      </c>
      <c r="H19" s="389" t="str">
        <f>VLOOKUP(C19,'Sales Master'!$B$3:$F$3247,5,0)</f>
        <v xml:space="preserve">500gm/pkt </v>
      </c>
      <c r="I19" s="482" t="str">
        <f>VLOOKUP(C19,'Sales Master'!$B$3:$E$3247,4,0)</f>
        <v>F/man 飞人</v>
      </c>
      <c r="J19" s="482"/>
      <c r="K19" s="35">
        <f>VLOOKUP(C19,'Sales Master'!B$3:AD$498,29,0)</f>
        <v>0.8</v>
      </c>
      <c r="L19" s="77">
        <f>K19*G19</f>
        <v>8</v>
      </c>
      <c r="M19" s="78"/>
      <c r="N19" s="225">
        <f>VLOOKUP(C19,'Sales Master'!$B$3:$DA$3038,104,0)</f>
        <v>0.57999999999999996</v>
      </c>
      <c r="O19" s="225">
        <f>K19-N19</f>
        <v>0.22000000000000008</v>
      </c>
      <c r="P19" s="225">
        <f>O19*G19</f>
        <v>2.2000000000000011</v>
      </c>
    </row>
    <row r="20" spans="2:16" ht="20.149999999999999" customHeight="1" x14ac:dyDescent="0.45">
      <c r="B20" s="34"/>
      <c r="C20" s="22"/>
      <c r="D20" s="508"/>
      <c r="E20" s="508"/>
      <c r="F20" s="508"/>
      <c r="G20" s="90"/>
      <c r="H20" s="68"/>
      <c r="I20" s="481"/>
      <c r="J20" s="481"/>
      <c r="K20" s="35"/>
      <c r="L20" s="77"/>
      <c r="M20" s="78"/>
      <c r="N20" s="225"/>
      <c r="O20" s="225"/>
      <c r="P20" s="225"/>
    </row>
    <row r="21" spans="2:16" ht="20.149999999999999" customHeight="1" x14ac:dyDescent="0.45">
      <c r="B21" s="34"/>
      <c r="C21" s="22"/>
      <c r="D21" s="508"/>
      <c r="E21" s="508"/>
      <c r="F21" s="508"/>
      <c r="G21" s="90"/>
      <c r="H21" s="68"/>
      <c r="I21" s="481"/>
      <c r="J21" s="481"/>
      <c r="K21" s="35"/>
      <c r="L21" s="77"/>
      <c r="M21" s="78"/>
      <c r="N21" s="225"/>
      <c r="O21" s="225"/>
      <c r="P21" s="225"/>
    </row>
    <row r="22" spans="2:16" ht="20.149999999999999" customHeight="1" x14ac:dyDescent="0.45">
      <c r="B22" s="34"/>
      <c r="C22" s="22"/>
      <c r="D22" s="508"/>
      <c r="E22" s="508"/>
      <c r="F22" s="508"/>
      <c r="G22" s="90"/>
      <c r="H22" s="68"/>
      <c r="I22" s="481"/>
      <c r="J22" s="481"/>
      <c r="K22" s="35"/>
      <c r="L22" s="77"/>
      <c r="M22" s="78"/>
      <c r="N22" s="225"/>
      <c r="O22" s="225"/>
      <c r="P22" s="225"/>
    </row>
    <row r="23" spans="2:16" ht="20.149999999999999" customHeight="1" x14ac:dyDescent="0.45">
      <c r="B23" s="34"/>
      <c r="C23" s="22"/>
      <c r="D23" s="508"/>
      <c r="E23" s="508"/>
      <c r="F23" s="508"/>
      <c r="G23" s="90"/>
      <c r="H23" s="68"/>
      <c r="I23" s="481"/>
      <c r="J23" s="481"/>
      <c r="K23" s="35"/>
      <c r="L23" s="77"/>
      <c r="M23" s="78"/>
      <c r="N23" s="225"/>
      <c r="O23" s="225"/>
      <c r="P23" s="225"/>
    </row>
    <row r="24" spans="2:16" ht="20.149999999999999" customHeight="1" x14ac:dyDescent="0.45">
      <c r="B24" s="34"/>
      <c r="C24" s="22"/>
      <c r="D24" s="508"/>
      <c r="E24" s="508"/>
      <c r="F24" s="508"/>
      <c r="G24" s="90"/>
      <c r="H24" s="68"/>
      <c r="I24" s="481"/>
      <c r="J24" s="481"/>
      <c r="K24" s="35"/>
      <c r="L24" s="77"/>
      <c r="M24" s="78"/>
      <c r="N24" s="225"/>
      <c r="O24" s="225"/>
      <c r="P24" s="225"/>
    </row>
    <row r="25" spans="2:16" ht="20.149999999999999" customHeight="1" x14ac:dyDescent="0.45">
      <c r="B25" s="34"/>
      <c r="C25" s="22"/>
      <c r="D25" s="508"/>
      <c r="E25" s="508"/>
      <c r="F25" s="508"/>
      <c r="G25" s="90"/>
      <c r="H25" s="68"/>
      <c r="I25" s="481"/>
      <c r="J25" s="481"/>
      <c r="K25" s="35"/>
      <c r="L25" s="77"/>
      <c r="M25" s="78"/>
      <c r="N25" s="225"/>
      <c r="O25" s="225"/>
      <c r="P25" s="225"/>
    </row>
    <row r="26" spans="2:16" ht="20.149999999999999" customHeight="1" x14ac:dyDescent="0.45">
      <c r="B26" s="34"/>
      <c r="C26" s="22"/>
      <c r="D26" s="508"/>
      <c r="E26" s="508"/>
      <c r="F26" s="508"/>
      <c r="G26" s="90"/>
      <c r="H26" s="68"/>
      <c r="I26" s="481"/>
      <c r="J26" s="481"/>
      <c r="K26" s="35"/>
      <c r="L26" s="77"/>
      <c r="M26" s="78"/>
      <c r="N26" s="225"/>
      <c r="O26" s="225"/>
      <c r="P26" s="225"/>
    </row>
    <row r="27" spans="2:16" ht="20.149999999999999" customHeight="1" x14ac:dyDescent="0.45">
      <c r="B27" s="34"/>
      <c r="C27" s="22"/>
      <c r="D27" s="508"/>
      <c r="E27" s="508"/>
      <c r="F27" s="508"/>
      <c r="G27" s="90"/>
      <c r="H27" s="68"/>
      <c r="I27" s="481"/>
      <c r="J27" s="481"/>
      <c r="K27" s="35"/>
      <c r="L27" s="77"/>
      <c r="M27" s="78"/>
      <c r="N27" s="225"/>
      <c r="O27" s="225"/>
      <c r="P27" s="225"/>
    </row>
    <row r="28" spans="2:16" ht="20.149999999999999" customHeight="1" x14ac:dyDescent="0.45">
      <c r="B28" s="34"/>
      <c r="C28" s="22"/>
      <c r="D28" s="508"/>
      <c r="E28" s="508"/>
      <c r="F28" s="508"/>
      <c r="G28" s="90"/>
      <c r="H28" s="68"/>
      <c r="I28" s="481"/>
      <c r="J28" s="481"/>
      <c r="K28" s="35"/>
      <c r="L28" s="77"/>
      <c r="M28" s="78"/>
      <c r="N28" s="225"/>
      <c r="O28" s="225"/>
      <c r="P28" s="225"/>
    </row>
    <row r="29" spans="2:16" ht="20.149999999999999" customHeight="1" x14ac:dyDescent="0.45">
      <c r="B29" s="34"/>
      <c r="C29" s="22"/>
      <c r="D29" s="508"/>
      <c r="E29" s="508"/>
      <c r="F29" s="508"/>
      <c r="G29" s="90"/>
      <c r="H29" s="68"/>
      <c r="I29" s="481"/>
      <c r="J29" s="481"/>
      <c r="K29" s="35"/>
      <c r="L29" s="77"/>
      <c r="M29" s="78"/>
      <c r="N29" s="225"/>
      <c r="O29" s="225"/>
      <c r="P29" s="225"/>
    </row>
    <row r="30" spans="2:16" ht="20.149999999999999" customHeight="1" x14ac:dyDescent="0.45">
      <c r="B30" s="34"/>
      <c r="C30" s="22"/>
      <c r="D30" s="508"/>
      <c r="E30" s="508"/>
      <c r="F30" s="508"/>
      <c r="G30" s="90"/>
      <c r="H30" s="68"/>
      <c r="I30" s="481"/>
      <c r="J30" s="481"/>
      <c r="K30" s="35"/>
      <c r="L30" s="77"/>
      <c r="M30" s="78"/>
      <c r="N30" s="225"/>
      <c r="O30" s="225"/>
      <c r="P30" s="225"/>
    </row>
    <row r="31" spans="2:16" ht="20.149999999999999" customHeight="1" x14ac:dyDescent="0.45">
      <c r="B31" s="34"/>
      <c r="C31" s="22"/>
      <c r="D31" s="508"/>
      <c r="E31" s="508"/>
      <c r="F31" s="508"/>
      <c r="G31" s="90"/>
      <c r="H31" s="389"/>
      <c r="I31" s="512"/>
      <c r="J31" s="512"/>
      <c r="K31" s="35"/>
      <c r="L31" s="77"/>
      <c r="M31" s="78"/>
      <c r="N31" s="225"/>
      <c r="O31" s="225"/>
      <c r="P31" s="225"/>
    </row>
    <row r="32" spans="2:16" ht="20.149999999999999" customHeight="1" x14ac:dyDescent="0.45">
      <c r="B32" s="34"/>
      <c r="C32" s="22"/>
      <c r="D32" s="508"/>
      <c r="E32" s="508"/>
      <c r="F32" s="508"/>
      <c r="G32" s="90"/>
      <c r="H32" s="389"/>
      <c r="I32" s="512"/>
      <c r="J32" s="512"/>
      <c r="K32" s="35"/>
      <c r="L32" s="77"/>
      <c r="M32" s="78"/>
      <c r="N32" s="225"/>
      <c r="O32" s="225"/>
      <c r="P32" s="225"/>
    </row>
    <row r="33" spans="2:16" ht="20.149999999999999" customHeight="1" x14ac:dyDescent="0.45">
      <c r="B33" s="34"/>
      <c r="C33" s="22"/>
      <c r="D33" s="508"/>
      <c r="E33" s="508"/>
      <c r="F33" s="508"/>
      <c r="G33" s="90"/>
      <c r="H33" s="346"/>
      <c r="I33" s="481"/>
      <c r="J33" s="481"/>
      <c r="K33" s="35"/>
      <c r="L33" s="77"/>
      <c r="M33" s="78"/>
      <c r="N33" s="225"/>
      <c r="O33" s="225"/>
      <c r="P33" s="225"/>
    </row>
    <row r="34" spans="2:16" ht="20.149999999999999" customHeight="1" x14ac:dyDescent="0.45">
      <c r="B34" s="34"/>
      <c r="C34" s="22"/>
      <c r="G34" s="90"/>
      <c r="H34" s="346"/>
      <c r="I34" s="68"/>
      <c r="J34" s="68"/>
      <c r="K34" s="35"/>
      <c r="L34" s="77"/>
      <c r="M34" s="78"/>
      <c r="N34" s="225"/>
      <c r="O34" s="225"/>
      <c r="P34" s="225"/>
    </row>
    <row r="35" spans="2:16" ht="20.149999999999999" customHeight="1" thickBot="1" x14ac:dyDescent="0.5">
      <c r="B35" s="37"/>
      <c r="C35" s="38"/>
      <c r="D35" s="509"/>
      <c r="E35" s="509"/>
      <c r="F35" s="509"/>
      <c r="G35" s="38"/>
      <c r="H35" s="69"/>
      <c r="I35" s="451"/>
      <c r="J35" s="451"/>
      <c r="K35" s="39"/>
      <c r="L35" s="40"/>
    </row>
    <row r="36" spans="2:16" ht="20.149999999999999" customHeight="1" thickBot="1" x14ac:dyDescent="0.5">
      <c r="B36" s="41"/>
      <c r="L36" s="42"/>
    </row>
    <row r="37" spans="2:16" ht="20.149999999999999" customHeight="1" x14ac:dyDescent="0.45">
      <c r="B37" s="11" t="s">
        <v>18</v>
      </c>
      <c r="C37" s="7"/>
      <c r="D37" s="7"/>
      <c r="E37" s="7"/>
      <c r="F37" s="7"/>
      <c r="G37" s="7"/>
      <c r="H37" s="7"/>
      <c r="I37" s="7"/>
      <c r="J37" s="510" t="s">
        <v>15</v>
      </c>
      <c r="K37" s="511"/>
      <c r="L37" s="43">
        <f>SUM(L14:L33)</f>
        <v>42</v>
      </c>
      <c r="M37" s="76">
        <f>SUM(P18:P33)</f>
        <v>18.600000000000001</v>
      </c>
      <c r="N37" s="201">
        <f>M37/L37</f>
        <v>0.44285714285714289</v>
      </c>
    </row>
    <row r="38" spans="2:16" ht="20.149999999999999" customHeight="1" x14ac:dyDescent="0.45">
      <c r="B38" s="11" t="s">
        <v>19</v>
      </c>
      <c r="C38" s="7"/>
      <c r="D38" s="7"/>
      <c r="E38" s="7"/>
      <c r="F38" s="7"/>
      <c r="G38" s="7"/>
      <c r="H38" s="7"/>
      <c r="I38" s="7"/>
      <c r="J38" s="44" t="s">
        <v>22</v>
      </c>
      <c r="K38" s="45"/>
      <c r="L38" s="46">
        <f>L37*K38</f>
        <v>0</v>
      </c>
    </row>
    <row r="39" spans="2:16" ht="20.149999999999999" customHeight="1" x14ac:dyDescent="0.45">
      <c r="B39" s="11" t="s">
        <v>20</v>
      </c>
      <c r="C39" s="7"/>
      <c r="D39" s="7"/>
      <c r="E39" s="7"/>
      <c r="F39" s="7"/>
      <c r="G39" s="7"/>
      <c r="H39" s="7"/>
      <c r="I39" s="7"/>
      <c r="J39" s="486" t="s">
        <v>21</v>
      </c>
      <c r="K39" s="487"/>
      <c r="L39" s="46">
        <f>L37-L38</f>
        <v>42</v>
      </c>
    </row>
    <row r="40" spans="2:16" ht="20.149999999999999" customHeight="1" x14ac:dyDescent="0.45">
      <c r="B40" s="11" t="s">
        <v>24</v>
      </c>
      <c r="C40" s="7"/>
      <c r="D40" s="7"/>
      <c r="E40" s="7"/>
      <c r="F40" s="7"/>
      <c r="G40" s="7"/>
      <c r="H40" s="7"/>
      <c r="I40" s="7"/>
      <c r="J40" s="150" t="s">
        <v>17</v>
      </c>
      <c r="K40" s="151">
        <v>7.0000000000000007E-2</v>
      </c>
      <c r="L40" s="47">
        <f>L39*K40</f>
        <v>2.9400000000000004</v>
      </c>
    </row>
    <row r="41" spans="2:16" ht="20.149999999999999" customHeight="1" thickBot="1" x14ac:dyDescent="0.5">
      <c r="B41" s="11" t="s">
        <v>25</v>
      </c>
      <c r="C41" s="7"/>
      <c r="D41" s="7"/>
      <c r="E41" s="7"/>
      <c r="F41" s="7"/>
      <c r="G41" s="7"/>
      <c r="H41" s="7"/>
      <c r="I41" s="7"/>
      <c r="J41" s="488" t="s">
        <v>23</v>
      </c>
      <c r="K41" s="489"/>
      <c r="L41" s="48">
        <f>L39+L40</f>
        <v>44.94</v>
      </c>
    </row>
    <row r="42" spans="2:16" ht="20.149999999999999" customHeight="1" x14ac:dyDescent="0.45">
      <c r="B42" s="11" t="s">
        <v>26</v>
      </c>
      <c r="C42" s="7"/>
      <c r="D42" s="7"/>
      <c r="E42" s="7"/>
      <c r="F42" s="7"/>
      <c r="G42" s="7"/>
      <c r="H42" s="7"/>
      <c r="I42" s="7"/>
      <c r="L42" s="42"/>
    </row>
    <row r="43" spans="2:16" ht="20.149999999999999" customHeight="1" x14ac:dyDescent="0.45">
      <c r="B43" s="41"/>
      <c r="L43" s="42"/>
    </row>
    <row r="44" spans="2:16" x14ac:dyDescent="0.45">
      <c r="B44" s="41"/>
      <c r="L44" s="42"/>
    </row>
    <row r="45" spans="2:16" ht="20.149999999999999" customHeight="1" x14ac:dyDescent="0.45">
      <c r="B45" s="41"/>
      <c r="L45" s="42"/>
    </row>
    <row r="46" spans="2:16" ht="20.149999999999999" customHeight="1" x14ac:dyDescent="0.45">
      <c r="B46" s="41"/>
      <c r="L46" s="42"/>
    </row>
    <row r="47" spans="2:16" x14ac:dyDescent="0.45">
      <c r="B47" s="49"/>
      <c r="C47" s="50"/>
      <c r="D47" s="50"/>
      <c r="J47" s="50"/>
      <c r="K47" s="50"/>
      <c r="L47" s="51"/>
    </row>
    <row r="48" spans="2:16" ht="20.149999999999999" customHeight="1" x14ac:dyDescent="0.45">
      <c r="B48" s="41" t="s">
        <v>27</v>
      </c>
      <c r="J48" s="24" t="s">
        <v>28</v>
      </c>
      <c r="L48" s="42"/>
    </row>
    <row r="49" spans="2:12" ht="19" thickBot="1" x14ac:dyDescent="0.5">
      <c r="B49" s="52"/>
      <c r="C49" s="53"/>
      <c r="D49" s="53"/>
      <c r="E49" s="53"/>
      <c r="F49" s="53"/>
      <c r="G49" s="53"/>
      <c r="H49" s="53"/>
      <c r="I49" s="53"/>
      <c r="J49" s="53"/>
      <c r="K49" s="53"/>
      <c r="L49" s="54"/>
    </row>
  </sheetData>
  <mergeCells count="52">
    <mergeCell ref="J39:K39"/>
    <mergeCell ref="J41:K41"/>
    <mergeCell ref="D33:F33"/>
    <mergeCell ref="I33:J33"/>
    <mergeCell ref="D35:F35"/>
    <mergeCell ref="I35:J35"/>
    <mergeCell ref="J37:K37"/>
    <mergeCell ref="D30:F30"/>
    <mergeCell ref="I30:J30"/>
    <mergeCell ref="D31:F31"/>
    <mergeCell ref="I31:J31"/>
    <mergeCell ref="D32:F32"/>
    <mergeCell ref="I32:J32"/>
    <mergeCell ref="D27:F27"/>
    <mergeCell ref="I27:J27"/>
    <mergeCell ref="D28:F28"/>
    <mergeCell ref="I28:J28"/>
    <mergeCell ref="D29:F29"/>
    <mergeCell ref="I29:J29"/>
    <mergeCell ref="D24:F24"/>
    <mergeCell ref="I24:J24"/>
    <mergeCell ref="D25:F25"/>
    <mergeCell ref="I25:J25"/>
    <mergeCell ref="D26:F26"/>
    <mergeCell ref="I26:J26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505" right="0.31496062992126" top="0.59055118110236204" bottom="0" header="0.31496062992126" footer="0.31496062992126"/>
  <pageSetup paperSize="9" scale="74" orientation="portrait" horizontalDpi="300" verticalDpi="300" r:id="rId1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73825-8D11-45C7-8CF3-D391246136B8}">
  <sheetPr codeName="Sheet127">
    <tabColor rgb="FF92D050"/>
    <pageSetUpPr fitToPage="1"/>
  </sheetPr>
  <dimension ref="B1:Q49"/>
  <sheetViews>
    <sheetView zoomScaleNormal="100" workbookViewId="0">
      <selection activeCell="B1" sqref="B1:L49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4.54296875" style="24" customWidth="1"/>
    <col min="7" max="7" width="8.54296875" style="24" customWidth="1"/>
    <col min="8" max="8" width="16.08984375" style="24" customWidth="1"/>
    <col min="9" max="9" width="2.54296875" style="24" customWidth="1"/>
    <col min="10" max="10" width="15.54296875" style="24" customWidth="1"/>
    <col min="11" max="11" width="10.54296875" style="24" customWidth="1"/>
    <col min="12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8.5" customHeight="1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199</v>
      </c>
      <c r="J10" s="29" t="s">
        <v>29</v>
      </c>
      <c r="K10" s="452">
        <v>202205356</v>
      </c>
      <c r="L10" s="453"/>
    </row>
    <row r="11" spans="2:12" ht="20.149999999999999" customHeight="1" x14ac:dyDescent="0.45">
      <c r="B11" s="454" t="s">
        <v>2037</v>
      </c>
      <c r="C11" s="455"/>
      <c r="D11" s="456"/>
      <c r="E11" s="30"/>
      <c r="F11" s="457" t="str">
        <f>VLOOKUP(H10,'Delivery Location'!A$4:N$416,2,0)</f>
        <v>Fusionoplis one                                            1 Fusionopolis Way Basement 2 #B2-02 Singapore 138632                                    (Dessert)</v>
      </c>
      <c r="G11" s="458"/>
      <c r="H11" s="459"/>
      <c r="J11" s="31" t="s">
        <v>11</v>
      </c>
      <c r="K11" s="596">
        <v>44704</v>
      </c>
      <c r="L11" s="597"/>
    </row>
    <row r="12" spans="2:12" ht="20.149999999999999" customHeight="1" x14ac:dyDescent="0.45">
      <c r="B12" s="468" t="s">
        <v>2023</v>
      </c>
      <c r="C12" s="469"/>
      <c r="D12" s="470"/>
      <c r="E12" s="30"/>
      <c r="F12" s="460"/>
      <c r="G12" s="461"/>
      <c r="H12" s="462"/>
      <c r="J12" s="31" t="s">
        <v>171</v>
      </c>
      <c r="K12" s="598" t="s">
        <v>2214</v>
      </c>
      <c r="L12" s="599"/>
    </row>
    <row r="13" spans="2:12" ht="20.149999999999999" customHeight="1" x14ac:dyDescent="0.45">
      <c r="B13" s="468" t="s">
        <v>2024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14</v>
      </c>
      <c r="L13" s="472"/>
    </row>
    <row r="14" spans="2:12" ht="20.149999999999999" customHeight="1" x14ac:dyDescent="0.45">
      <c r="B14" s="468" t="s">
        <v>2025</v>
      </c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463" t="s">
        <v>2026</v>
      </c>
      <c r="C15" s="464"/>
      <c r="D15" s="465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16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16" ht="20.149999999999999" customHeight="1" x14ac:dyDescent="0.45">
      <c r="B18" s="34"/>
      <c r="C18" s="22" t="s">
        <v>1458</v>
      </c>
      <c r="D18" s="555" t="str">
        <f>VLOOKUP(C18,'Sales Master'!B$3:D$499,2,)</f>
        <v>Chendol浆咯</v>
      </c>
      <c r="E18" s="555"/>
      <c r="F18" s="555"/>
      <c r="G18" s="90">
        <v>2</v>
      </c>
      <c r="H18" s="393" t="str">
        <f>VLOOKUP(C18,'Sales Master'!$B$3:$F$3247,5,0)</f>
        <v>NW(2.2:0.8) 3 KG/BAG</v>
      </c>
      <c r="I18" s="481" t="str">
        <f>VLOOKUP(C18,'Sales Master'!$B$3:$E$3247,4,0)</f>
        <v>DO!</v>
      </c>
      <c r="J18" s="481"/>
      <c r="K18" s="139">
        <f>VLOOKUP(C18,'Sales Master'!$B$3:$AY$583,50,0)</f>
        <v>6.5</v>
      </c>
      <c r="L18" s="36">
        <f t="shared" ref="L18:L20" si="0">K18*G18</f>
        <v>13</v>
      </c>
      <c r="N18" s="225">
        <f>VLOOKUP(C18,'Sales Master'!$B$3:$DA$3038,104,0)</f>
        <v>1.85</v>
      </c>
      <c r="O18" s="225">
        <f>K18-N18</f>
        <v>4.6500000000000004</v>
      </c>
      <c r="P18" s="225">
        <f>O18*G18</f>
        <v>9.3000000000000007</v>
      </c>
    </row>
    <row r="19" spans="2:16" ht="20.149999999999999" customHeight="1" x14ac:dyDescent="0.45">
      <c r="B19" s="34"/>
      <c r="C19" s="22" t="s">
        <v>1462</v>
      </c>
      <c r="D19" s="555" t="str">
        <f>VLOOKUP(C19,'Sales Master'!B$3:D$499,2,)</f>
        <v>Pong Thai Hai (Wet) 碰大海</v>
      </c>
      <c r="E19" s="555"/>
      <c r="F19" s="555"/>
      <c r="G19" s="90">
        <v>2</v>
      </c>
      <c r="H19" s="68" t="str">
        <f>VLOOKUP(C19,'Sales Master'!$B$3:$F$3247,5,0)</f>
        <v>1KG</v>
      </c>
      <c r="I19" s="481" t="str">
        <f>VLOOKUP(C19,'Sales Master'!$B$3:$E$3247,4,0)</f>
        <v>DO!</v>
      </c>
      <c r="J19" s="481"/>
      <c r="K19" s="139">
        <f>VLOOKUP(C19,'Sales Master'!$B$3:$AY$583,50,0)</f>
        <v>7</v>
      </c>
      <c r="L19" s="36">
        <f t="shared" si="0"/>
        <v>14</v>
      </c>
      <c r="N19" s="225">
        <f>VLOOKUP(C19,'Sales Master'!$B$3:$DA$3038,104,0)</f>
        <v>0.85</v>
      </c>
      <c r="O19" s="225">
        <f t="shared" ref="O19:O20" si="1">K19-N19</f>
        <v>6.15</v>
      </c>
      <c r="P19" s="225">
        <f t="shared" ref="P19:P20" si="2">O19*G19</f>
        <v>12.3</v>
      </c>
    </row>
    <row r="20" spans="2:16" ht="20.149999999999999" customHeight="1" x14ac:dyDescent="0.45">
      <c r="B20" s="34"/>
      <c r="C20" s="22" t="s">
        <v>1566</v>
      </c>
      <c r="D20" s="555" t="str">
        <f>VLOOKUP(C20,'Sales Master'!B$3:D$499,2,)</f>
        <v>Chin Chow  仙草</v>
      </c>
      <c r="E20" s="555"/>
      <c r="F20" s="555"/>
      <c r="G20" s="90">
        <v>2</v>
      </c>
      <c r="H20" s="68" t="str">
        <f>VLOOKUP(C20,'Sales Master'!$B$3:$F$3247,5,0)</f>
        <v>5KGS/PKT</v>
      </c>
      <c r="I20" s="481" t="str">
        <f>VLOOKUP(C20,'Sales Master'!$B$3:$E$3247,4,0)</f>
        <v>TSM</v>
      </c>
      <c r="J20" s="481"/>
      <c r="K20" s="139">
        <f>VLOOKUP(C20,'Sales Master'!$B$3:$AY$583,50,0)</f>
        <v>4.5</v>
      </c>
      <c r="L20" s="36">
        <f t="shared" si="0"/>
        <v>9</v>
      </c>
      <c r="N20" s="225">
        <f>VLOOKUP(C20,'Sales Master'!$B$3:$DA$3038,104,0)</f>
        <v>4</v>
      </c>
      <c r="O20" s="225">
        <f t="shared" si="1"/>
        <v>0.5</v>
      </c>
      <c r="P20" s="225">
        <f t="shared" si="2"/>
        <v>1</v>
      </c>
    </row>
    <row r="21" spans="2:16" ht="20.149999999999999" customHeight="1" x14ac:dyDescent="0.45">
      <c r="B21" s="34"/>
      <c r="C21" s="22"/>
      <c r="D21" s="555"/>
      <c r="E21" s="555"/>
      <c r="F21" s="555"/>
      <c r="G21" s="90"/>
      <c r="H21" s="68"/>
      <c r="I21" s="481"/>
      <c r="J21" s="481"/>
      <c r="K21" s="139"/>
      <c r="L21" s="36"/>
      <c r="N21" s="225"/>
      <c r="O21" s="225"/>
      <c r="P21" s="225"/>
    </row>
    <row r="22" spans="2:16" ht="20.149999999999999" customHeight="1" x14ac:dyDescent="0.45">
      <c r="B22" s="34"/>
      <c r="C22" s="22"/>
      <c r="D22" s="555"/>
      <c r="E22" s="555"/>
      <c r="F22" s="555"/>
      <c r="G22" s="90"/>
      <c r="H22" s="68"/>
      <c r="I22" s="481"/>
      <c r="J22" s="481"/>
      <c r="K22" s="139"/>
      <c r="L22" s="36"/>
      <c r="N22" s="225"/>
      <c r="O22" s="225"/>
      <c r="P22" s="225"/>
    </row>
    <row r="23" spans="2:16" ht="20.149999999999999" customHeight="1" x14ac:dyDescent="0.45">
      <c r="B23" s="34"/>
      <c r="C23" s="22"/>
      <c r="D23" s="555"/>
      <c r="E23" s="555"/>
      <c r="F23" s="555"/>
      <c r="G23" s="90"/>
      <c r="H23" s="68"/>
      <c r="I23" s="481"/>
      <c r="J23" s="481"/>
      <c r="K23" s="139"/>
      <c r="L23" s="36"/>
      <c r="N23" s="225"/>
      <c r="O23" s="225"/>
      <c r="P23" s="225"/>
    </row>
    <row r="24" spans="2:16" ht="20.149999999999999" customHeight="1" x14ac:dyDescent="0.45">
      <c r="B24" s="34"/>
      <c r="C24" s="22"/>
      <c r="D24" s="555"/>
      <c r="E24" s="555"/>
      <c r="F24" s="555"/>
      <c r="G24" s="90"/>
      <c r="H24" s="68"/>
      <c r="I24" s="481"/>
      <c r="J24" s="481"/>
      <c r="K24" s="139"/>
      <c r="L24" s="36"/>
      <c r="N24" s="225"/>
      <c r="O24" s="225"/>
      <c r="P24" s="225"/>
    </row>
    <row r="25" spans="2:16" ht="20.149999999999999" customHeight="1" x14ac:dyDescent="0.45">
      <c r="B25" s="34"/>
      <c r="C25" s="22"/>
      <c r="D25" s="555"/>
      <c r="E25" s="555"/>
      <c r="F25" s="555"/>
      <c r="G25" s="90"/>
      <c r="H25" s="68"/>
      <c r="I25" s="481"/>
      <c r="J25" s="481"/>
      <c r="K25" s="139"/>
      <c r="L25" s="36"/>
      <c r="N25" s="225"/>
      <c r="O25" s="225"/>
      <c r="P25" s="225"/>
    </row>
    <row r="26" spans="2:16" ht="20.149999999999999" customHeight="1" x14ac:dyDescent="0.45">
      <c r="B26" s="34"/>
      <c r="C26" s="22"/>
      <c r="D26" s="555"/>
      <c r="E26" s="555"/>
      <c r="F26" s="555"/>
      <c r="G26" s="90"/>
      <c r="H26" s="68"/>
      <c r="I26" s="481"/>
      <c r="J26" s="481"/>
      <c r="K26" s="139"/>
      <c r="L26" s="36"/>
      <c r="N26" s="225"/>
      <c r="O26" s="225"/>
      <c r="P26" s="225"/>
    </row>
    <row r="27" spans="2:16" ht="20.149999999999999" customHeight="1" x14ac:dyDescent="0.45">
      <c r="B27" s="34"/>
      <c r="C27" s="22"/>
      <c r="D27" s="555"/>
      <c r="E27" s="555"/>
      <c r="F27" s="555"/>
      <c r="G27" s="90"/>
      <c r="H27" s="68"/>
      <c r="I27" s="481"/>
      <c r="J27" s="481"/>
      <c r="K27" s="139"/>
      <c r="L27" s="36"/>
      <c r="N27" s="225"/>
      <c r="O27" s="225"/>
      <c r="P27" s="225"/>
    </row>
    <row r="28" spans="2:16" ht="20.149999999999999" customHeight="1" x14ac:dyDescent="0.45">
      <c r="B28" s="34"/>
      <c r="C28" s="22"/>
      <c r="D28" s="555"/>
      <c r="E28" s="555"/>
      <c r="F28" s="555"/>
      <c r="G28" s="90"/>
      <c r="H28" s="68"/>
      <c r="I28" s="481"/>
      <c r="J28" s="481"/>
      <c r="K28" s="139"/>
      <c r="L28" s="36"/>
      <c r="N28" s="225"/>
      <c r="O28" s="225"/>
      <c r="P28" s="225"/>
    </row>
    <row r="29" spans="2:16" ht="20.149999999999999" customHeight="1" x14ac:dyDescent="0.45">
      <c r="B29" s="34"/>
      <c r="C29" s="22"/>
      <c r="D29" s="555"/>
      <c r="E29" s="555"/>
      <c r="F29" s="555"/>
      <c r="G29" s="90"/>
      <c r="H29" s="68"/>
      <c r="I29" s="481"/>
      <c r="J29" s="481"/>
      <c r="K29" s="139"/>
      <c r="L29" s="36"/>
      <c r="N29" s="225"/>
      <c r="O29" s="225"/>
      <c r="P29" s="225"/>
    </row>
    <row r="30" spans="2:16" ht="20.149999999999999" customHeight="1" x14ac:dyDescent="0.45">
      <c r="B30" s="34"/>
      <c r="C30" s="22"/>
      <c r="D30" s="555"/>
      <c r="E30" s="555"/>
      <c r="F30" s="555"/>
      <c r="G30" s="90"/>
      <c r="H30" s="68"/>
      <c r="I30" s="481"/>
      <c r="J30" s="481"/>
      <c r="K30" s="139"/>
      <c r="L30" s="36"/>
      <c r="N30" s="225"/>
      <c r="O30" s="225"/>
      <c r="P30" s="225"/>
    </row>
    <row r="31" spans="2:16" ht="20.149999999999999" customHeight="1" x14ac:dyDescent="0.45">
      <c r="B31" s="34"/>
      <c r="C31" s="22"/>
      <c r="D31" s="555"/>
      <c r="E31" s="555"/>
      <c r="F31" s="555"/>
      <c r="G31" s="22"/>
      <c r="H31" s="68"/>
      <c r="I31" s="481"/>
      <c r="J31" s="481"/>
      <c r="K31" s="139"/>
      <c r="L31" s="36"/>
    </row>
    <row r="32" spans="2:16" ht="20.149999999999999" customHeight="1" x14ac:dyDescent="0.45">
      <c r="B32" s="34"/>
      <c r="C32" s="22"/>
      <c r="D32" s="555"/>
      <c r="E32" s="555"/>
      <c r="F32" s="555"/>
      <c r="G32" s="22"/>
      <c r="H32" s="68"/>
      <c r="I32" s="481"/>
      <c r="J32" s="481"/>
      <c r="K32" s="139"/>
      <c r="L32" s="36"/>
    </row>
    <row r="33" spans="2:17" ht="20.149999999999999" customHeight="1" x14ac:dyDescent="0.45">
      <c r="B33" s="34"/>
      <c r="C33" s="22"/>
      <c r="D33" s="555"/>
      <c r="E33" s="555"/>
      <c r="F33" s="555"/>
      <c r="G33" s="22"/>
      <c r="H33" s="68"/>
      <c r="I33" s="481"/>
      <c r="J33" s="481"/>
      <c r="K33" s="139"/>
      <c r="L33" s="36"/>
    </row>
    <row r="34" spans="2:17" ht="20.149999999999999" customHeight="1" x14ac:dyDescent="0.45">
      <c r="B34" s="34"/>
      <c r="C34" s="22"/>
      <c r="D34" s="555"/>
      <c r="E34" s="555"/>
      <c r="F34" s="555"/>
      <c r="G34" s="22"/>
      <c r="H34" s="68"/>
      <c r="I34" s="481"/>
      <c r="J34" s="481"/>
      <c r="K34" s="35"/>
      <c r="L34" s="36"/>
    </row>
    <row r="35" spans="2:17" ht="20.149999999999999" customHeight="1" thickBot="1" x14ac:dyDescent="0.5">
      <c r="B35" s="37"/>
      <c r="C35" s="38"/>
      <c r="D35" s="509"/>
      <c r="E35" s="509"/>
      <c r="F35" s="509"/>
      <c r="G35" s="38"/>
      <c r="H35" s="38"/>
      <c r="I35" s="38"/>
      <c r="J35" s="38"/>
      <c r="K35" s="39"/>
      <c r="L35" s="40"/>
    </row>
    <row r="36" spans="2:17" ht="20.149999999999999" customHeight="1" thickBot="1" x14ac:dyDescent="0.5">
      <c r="B36" s="41"/>
      <c r="L36" s="42"/>
    </row>
    <row r="37" spans="2:17" ht="20.149999999999999" customHeight="1" x14ac:dyDescent="0.45">
      <c r="B37" s="11" t="s">
        <v>18</v>
      </c>
      <c r="C37" s="7"/>
      <c r="D37" s="7"/>
      <c r="E37" s="7"/>
      <c r="F37" s="7"/>
      <c r="G37" s="7"/>
      <c r="H37" s="7"/>
      <c r="I37" s="7"/>
      <c r="J37" s="510" t="s">
        <v>15</v>
      </c>
      <c r="K37" s="511"/>
      <c r="L37" s="43">
        <f>SUM(L17:L34)</f>
        <v>36</v>
      </c>
      <c r="M37" s="76">
        <f>SUM(P18:P35)</f>
        <v>22.6</v>
      </c>
      <c r="N37" s="201">
        <f>M37/L37</f>
        <v>0.62777777777777777</v>
      </c>
      <c r="Q37" s="76">
        <f>SUM(Q19:Q36)</f>
        <v>0</v>
      </c>
    </row>
    <row r="38" spans="2:17" ht="20.149999999999999" customHeight="1" x14ac:dyDescent="0.45">
      <c r="B38" s="11" t="s">
        <v>19</v>
      </c>
      <c r="C38" s="7"/>
      <c r="D38" s="7"/>
      <c r="E38" s="7"/>
      <c r="F38" s="7"/>
      <c r="G38" s="7"/>
      <c r="H38" s="7"/>
      <c r="I38" s="7"/>
      <c r="J38" s="44" t="s">
        <v>22</v>
      </c>
      <c r="K38" s="45"/>
      <c r="L38" s="46">
        <f>L37*K38</f>
        <v>0</v>
      </c>
    </row>
    <row r="39" spans="2:17" ht="20.149999999999999" customHeight="1" x14ac:dyDescent="0.45">
      <c r="B39" s="11" t="s">
        <v>20</v>
      </c>
      <c r="C39" s="7"/>
      <c r="D39" s="7"/>
      <c r="E39" s="7"/>
      <c r="F39" s="7"/>
      <c r="G39" s="7"/>
      <c r="H39" s="7"/>
      <c r="I39" s="7"/>
      <c r="J39" s="486" t="s">
        <v>21</v>
      </c>
      <c r="K39" s="487"/>
      <c r="L39" s="46">
        <f>L37-L38</f>
        <v>36</v>
      </c>
    </row>
    <row r="40" spans="2:17" ht="20.149999999999999" customHeight="1" x14ac:dyDescent="0.45">
      <c r="B40" s="11" t="s">
        <v>24</v>
      </c>
      <c r="C40" s="7"/>
      <c r="D40" s="7"/>
      <c r="E40" s="7"/>
      <c r="F40" s="7"/>
      <c r="G40" s="7"/>
      <c r="H40" s="7"/>
      <c r="I40" s="7"/>
      <c r="J40" s="150" t="s">
        <v>17</v>
      </c>
      <c r="K40" s="151">
        <v>7.0000000000000007E-2</v>
      </c>
      <c r="L40" s="47">
        <f>L39*K40</f>
        <v>2.5200000000000005</v>
      </c>
    </row>
    <row r="41" spans="2:17" ht="20.149999999999999" customHeight="1" thickBot="1" x14ac:dyDescent="0.5">
      <c r="B41" s="11" t="s">
        <v>25</v>
      </c>
      <c r="C41" s="7"/>
      <c r="D41" s="7"/>
      <c r="E41" s="7"/>
      <c r="F41" s="7"/>
      <c r="G41" s="7"/>
      <c r="H41" s="7"/>
      <c r="I41" s="7"/>
      <c r="J41" s="488" t="s">
        <v>23</v>
      </c>
      <c r="K41" s="489"/>
      <c r="L41" s="48">
        <f>L39+L40</f>
        <v>38.520000000000003</v>
      </c>
    </row>
    <row r="42" spans="2:17" ht="20.149999999999999" customHeight="1" x14ac:dyDescent="0.45">
      <c r="B42" s="11" t="s">
        <v>26</v>
      </c>
      <c r="C42" s="7"/>
      <c r="D42" s="7"/>
      <c r="E42" s="7"/>
      <c r="F42" s="7"/>
      <c r="G42" s="7"/>
      <c r="H42" s="7"/>
      <c r="I42" s="7"/>
      <c r="L42" s="42"/>
      <c r="N42" s="362">
        <v>44641</v>
      </c>
      <c r="O42" s="24">
        <v>127.5</v>
      </c>
      <c r="P42" s="24">
        <v>18.8</v>
      </c>
      <c r="Q42" s="201">
        <f>P42/O42</f>
        <v>0.14745098039215687</v>
      </c>
    </row>
    <row r="43" spans="2:17" ht="20.149999999999999" customHeight="1" x14ac:dyDescent="0.45">
      <c r="B43" s="41"/>
      <c r="L43" s="42"/>
    </row>
    <row r="44" spans="2:17" ht="20.149999999999999" customHeight="1" x14ac:dyDescent="0.45">
      <c r="B44" s="41"/>
      <c r="L44" s="42"/>
    </row>
    <row r="45" spans="2:17" ht="20.149999999999999" customHeight="1" x14ac:dyDescent="0.45">
      <c r="B45" s="41"/>
      <c r="L45" s="42"/>
    </row>
    <row r="46" spans="2:17" ht="20.149999999999999" customHeight="1" x14ac:dyDescent="0.45">
      <c r="B46" s="41"/>
      <c r="L46" s="42"/>
    </row>
    <row r="47" spans="2:17" ht="20.149999999999999" customHeight="1" x14ac:dyDescent="0.45">
      <c r="B47" s="49"/>
      <c r="C47" s="50"/>
      <c r="D47" s="50"/>
      <c r="J47" s="50"/>
      <c r="K47" s="50"/>
      <c r="L47" s="51"/>
    </row>
    <row r="48" spans="2:17" ht="20.149999999999999" customHeight="1" x14ac:dyDescent="0.45">
      <c r="B48" s="41" t="s">
        <v>27</v>
      </c>
      <c r="J48" s="24" t="s">
        <v>28</v>
      </c>
      <c r="L48" s="42"/>
    </row>
    <row r="49" spans="2:12" ht="19" thickBot="1" x14ac:dyDescent="0.5">
      <c r="B49" s="52"/>
      <c r="C49" s="53"/>
      <c r="D49" s="53"/>
      <c r="E49" s="53"/>
      <c r="F49" s="53"/>
      <c r="G49" s="53"/>
      <c r="H49" s="53"/>
      <c r="I49" s="53"/>
      <c r="J49" s="53"/>
      <c r="K49" s="53"/>
      <c r="L49" s="54"/>
    </row>
  </sheetData>
  <mergeCells count="53"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  <mergeCell ref="D27:F27"/>
    <mergeCell ref="D22:F22"/>
    <mergeCell ref="D17:F17"/>
    <mergeCell ref="I17:J17"/>
    <mergeCell ref="D25:F25"/>
    <mergeCell ref="I25:J25"/>
    <mergeCell ref="D18:F18"/>
    <mergeCell ref="I18:J18"/>
    <mergeCell ref="I23:J23"/>
    <mergeCell ref="I20:J20"/>
    <mergeCell ref="I21:J21"/>
    <mergeCell ref="D20:F20"/>
    <mergeCell ref="D21:F21"/>
    <mergeCell ref="D19:F19"/>
    <mergeCell ref="I19:J19"/>
    <mergeCell ref="I22:J22"/>
    <mergeCell ref="J41:K41"/>
    <mergeCell ref="I26:J26"/>
    <mergeCell ref="I24:J24"/>
    <mergeCell ref="I28:J28"/>
    <mergeCell ref="I30:J30"/>
    <mergeCell ref="I31:J31"/>
    <mergeCell ref="I32:J32"/>
    <mergeCell ref="I29:J29"/>
    <mergeCell ref="I27:J27"/>
    <mergeCell ref="B1:L8"/>
    <mergeCell ref="I33:J33"/>
    <mergeCell ref="I34:J34"/>
    <mergeCell ref="J37:K37"/>
    <mergeCell ref="J39:K39"/>
    <mergeCell ref="D35:F35"/>
    <mergeCell ref="D33:F33"/>
    <mergeCell ref="D34:F34"/>
    <mergeCell ref="D24:F24"/>
    <mergeCell ref="D23:F23"/>
    <mergeCell ref="D26:F26"/>
    <mergeCell ref="D28:F28"/>
    <mergeCell ref="D29:F29"/>
    <mergeCell ref="D32:F32"/>
    <mergeCell ref="D30:F30"/>
    <mergeCell ref="D31:F31"/>
  </mergeCells>
  <pageMargins left="0.70866141732283505" right="0.31496062992126" top="0.59055118110236204" bottom="0" header="0.31496062992126" footer="0.31496062992126"/>
  <pageSetup paperSize="9" scale="78" orientation="portrait" horizontalDpi="300" verticalDpi="300" r:id="rId1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950D13-7AA5-4E4C-8FA1-3AF40D19E75F}">
  <sheetPr codeName="Sheet108">
    <tabColor rgb="FF92D050"/>
    <pageSetUpPr fitToPage="1"/>
  </sheetPr>
  <dimension ref="B1:W52"/>
  <sheetViews>
    <sheetView topLeftCell="B33" zoomScaleNormal="100" workbookViewId="0">
      <selection activeCell="J44" sqref="J44:K44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7.453125" style="24" customWidth="1"/>
    <col min="7" max="7" width="8.54296875" style="24" customWidth="1"/>
    <col min="8" max="8" width="15.54296875" style="24" customWidth="1"/>
    <col min="9" max="9" width="1.7265625" style="24" customWidth="1"/>
    <col min="10" max="10" width="15.54296875" style="102" customWidth="1"/>
    <col min="11" max="11" width="10.54296875" style="24" customWidth="1"/>
    <col min="12" max="12" width="14.453125" style="24" customWidth="1"/>
    <col min="13" max="16384" width="12.54296875" style="24"/>
  </cols>
  <sheetData>
    <row r="1" spans="2:16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6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6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6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6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6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6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6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6" ht="19" thickBot="1" x14ac:dyDescent="0.5">
      <c r="B9" s="23"/>
    </row>
    <row r="10" spans="2:16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219</v>
      </c>
      <c r="J10" s="103" t="s">
        <v>29</v>
      </c>
      <c r="K10" s="452">
        <v>202210008</v>
      </c>
      <c r="L10" s="453"/>
    </row>
    <row r="11" spans="2:16" ht="20.149999999999999" customHeight="1" x14ac:dyDescent="0.45">
      <c r="B11" s="454" t="s">
        <v>2037</v>
      </c>
      <c r="C11" s="455"/>
      <c r="D11" s="456"/>
      <c r="E11" s="30"/>
      <c r="F11" s="457" t="str">
        <f>VLOOKUP(H10,'Delivery Location'!A$4:N$416,2,0)</f>
        <v xml:space="preserve"> Fork &amp; Spoon                                               Block 768 Woodlands Ave 6 #01-30/31 Singapore 730768                                         (Dessert)</v>
      </c>
      <c r="G11" s="458"/>
      <c r="H11" s="459"/>
      <c r="J11" s="104" t="s">
        <v>11</v>
      </c>
      <c r="K11" s="466">
        <v>44835</v>
      </c>
      <c r="L11" s="467"/>
    </row>
    <row r="12" spans="2:16" ht="20.149999999999999" customHeight="1" x14ac:dyDescent="0.45">
      <c r="B12" s="468" t="s">
        <v>2023</v>
      </c>
      <c r="C12" s="469"/>
      <c r="D12" s="470"/>
      <c r="E12" s="30"/>
      <c r="F12" s="460"/>
      <c r="G12" s="461"/>
      <c r="H12" s="462"/>
      <c r="J12" s="104" t="s">
        <v>171</v>
      </c>
      <c r="K12" s="471" t="s">
        <v>533</v>
      </c>
      <c r="L12" s="472"/>
    </row>
    <row r="13" spans="2:16" ht="20.149999999999999" customHeight="1" x14ac:dyDescent="0.45">
      <c r="B13" s="468" t="s">
        <v>2024</v>
      </c>
      <c r="C13" s="469"/>
      <c r="D13" s="470"/>
      <c r="E13" s="30"/>
      <c r="F13" s="460"/>
      <c r="G13" s="461"/>
      <c r="H13" s="462"/>
      <c r="J13" s="104" t="s">
        <v>12</v>
      </c>
      <c r="K13" s="471" t="s">
        <v>692</v>
      </c>
      <c r="L13" s="472"/>
    </row>
    <row r="14" spans="2:16" ht="20.149999999999999" customHeight="1" x14ac:dyDescent="0.45">
      <c r="B14" s="468" t="s">
        <v>2025</v>
      </c>
      <c r="C14" s="469"/>
      <c r="D14" s="470"/>
      <c r="E14" s="30"/>
      <c r="F14" s="460"/>
      <c r="G14" s="461"/>
      <c r="H14" s="462"/>
      <c r="J14" s="104" t="s">
        <v>30</v>
      </c>
      <c r="K14" s="471" t="s">
        <v>16</v>
      </c>
      <c r="L14" s="472"/>
    </row>
    <row r="15" spans="2:16" ht="18" customHeight="1" thickBot="1" x14ac:dyDescent="0.5">
      <c r="B15" s="463" t="s">
        <v>2026</v>
      </c>
      <c r="C15" s="464"/>
      <c r="D15" s="465"/>
      <c r="E15" s="26"/>
      <c r="F15" s="463"/>
      <c r="G15" s="464"/>
      <c r="H15" s="465"/>
      <c r="J15" s="105" t="s">
        <v>13</v>
      </c>
      <c r="K15" s="476"/>
      <c r="L15" s="477"/>
    </row>
    <row r="16" spans="2:16" ht="19" thickBot="1" x14ac:dyDescent="0.5">
      <c r="J16" s="68"/>
      <c r="O16" s="76"/>
      <c r="P16" s="76"/>
    </row>
    <row r="17" spans="2:23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23" ht="20.149999999999999" customHeight="1" x14ac:dyDescent="0.45">
      <c r="B18" s="363"/>
      <c r="C18" s="413" t="s">
        <v>1462</v>
      </c>
      <c r="D18" s="600" t="str">
        <f>VLOOKUP(C18,'Sales Master'!B$3:D$499,2,)</f>
        <v>Pong Thai Hai (Wet) 碰大海</v>
      </c>
      <c r="E18" s="600"/>
      <c r="F18" s="600"/>
      <c r="G18" s="413">
        <v>8</v>
      </c>
      <c r="H18" s="422" t="str">
        <f>VLOOKUP(C18,'Sales Master'!$B$3:$F$3247,5,0)</f>
        <v>1KG</v>
      </c>
      <c r="I18" s="514" t="str">
        <f>VLOOKUP(C18,'Sales Master'!$B$3:$E$3247,4,0)</f>
        <v>DO!</v>
      </c>
      <c r="J18" s="514"/>
      <c r="K18" s="364">
        <f>VLOOKUP(C18,'Sales Master'!B$3:AR$499,43,0)</f>
        <v>7</v>
      </c>
      <c r="L18" s="365">
        <f t="shared" ref="L18" si="0">K18*G18</f>
        <v>56</v>
      </c>
      <c r="M18" s="78"/>
      <c r="N18" s="225">
        <f>VLOOKUP(C18,'Sales Master'!$B$3:$DA$3038,104,0)</f>
        <v>0.85</v>
      </c>
      <c r="O18" s="225">
        <f t="shared" ref="O18" si="1">K18-N18</f>
        <v>6.15</v>
      </c>
      <c r="P18" s="225">
        <f t="shared" ref="P18" si="2">O18*G18</f>
        <v>49.2</v>
      </c>
      <c r="Q18" s="76"/>
    </row>
    <row r="19" spans="2:23" ht="20.149999999999999" customHeight="1" x14ac:dyDescent="0.45">
      <c r="B19" s="34"/>
      <c r="C19" s="22" t="s">
        <v>1577</v>
      </c>
      <c r="D19" s="508" t="str">
        <f>VLOOKUP(C19,'Sales Master'!B$3:D$499,2,)</f>
        <v>Small Red Bean小红豆</v>
      </c>
      <c r="E19" s="508"/>
      <c r="F19" s="508"/>
      <c r="G19" s="22">
        <v>7</v>
      </c>
      <c r="H19" s="444" t="str">
        <f>VLOOKUP(C19,'Sales Master'!$B$3:$F$3247,5,0)</f>
        <v>5 kgs</v>
      </c>
      <c r="I19" s="482" t="str">
        <f>VLOOKUP(C19,'Sales Master'!$B$3:$E$3247,4,0)</f>
        <v>-</v>
      </c>
      <c r="J19" s="482"/>
      <c r="K19" s="35">
        <f>VLOOKUP(C19,'Sales Master'!B$3:AR$499,43,0)</f>
        <v>20.5</v>
      </c>
      <c r="L19" s="77">
        <f t="shared" ref="L19" si="3">K19*G19</f>
        <v>143.5</v>
      </c>
      <c r="M19" s="78"/>
      <c r="N19" s="225">
        <f>VLOOKUP(C19,'Sales Master'!$B$3:$DA$3038,104,0)</f>
        <v>16.5</v>
      </c>
      <c r="O19" s="225">
        <f t="shared" ref="O19" si="4">K19-N19</f>
        <v>4</v>
      </c>
      <c r="P19" s="225">
        <f t="shared" ref="P19" si="5">O19*G19</f>
        <v>28</v>
      </c>
      <c r="Q19" s="76"/>
    </row>
    <row r="20" spans="2:23" ht="20.149999999999999" customHeight="1" x14ac:dyDescent="0.45">
      <c r="B20" s="34"/>
      <c r="C20" s="22" t="s">
        <v>1599</v>
      </c>
      <c r="D20" s="508" t="str">
        <f>VLOOKUP(C20,'Sales Master'!B$3:D$499,2,)</f>
        <v>Black Glutinous Rice 黑糯米</v>
      </c>
      <c r="E20" s="508"/>
      <c r="F20" s="508"/>
      <c r="G20" s="22">
        <v>4</v>
      </c>
      <c r="H20" s="102" t="str">
        <f>VLOOKUP(C20,'Sales Master'!$B$3:$F$3247,5,0)</f>
        <v>5 kgs</v>
      </c>
      <c r="I20" s="482" t="str">
        <f>VLOOKUP(C20,'Sales Master'!$B$3:$E$3247,4,0)</f>
        <v>-</v>
      </c>
      <c r="J20" s="482"/>
      <c r="K20" s="139">
        <f>VLOOKUP(C20,'Sales Master'!B$3:AR$499,43,0)</f>
        <v>18</v>
      </c>
      <c r="L20" s="77">
        <f t="shared" ref="L20:L22" si="6">K20*G20</f>
        <v>72</v>
      </c>
      <c r="M20" s="78"/>
      <c r="N20" s="225">
        <f>VLOOKUP(C20,'Sales Master'!$B$3:$DA$3038,104,0)</f>
        <v>12</v>
      </c>
      <c r="O20" s="225">
        <f t="shared" ref="O20:O22" si="7">K20-N20</f>
        <v>6</v>
      </c>
      <c r="P20" s="225">
        <f t="shared" ref="P20:P22" si="8">O20*G20</f>
        <v>24</v>
      </c>
      <c r="Q20" s="76"/>
    </row>
    <row r="21" spans="2:23" ht="20.149999999999999" customHeight="1" x14ac:dyDescent="0.45">
      <c r="B21" s="34"/>
      <c r="C21" s="22" t="s">
        <v>1611</v>
      </c>
      <c r="D21" s="508" t="str">
        <f>VLOOKUP(C21,'Sales Master'!B$3:D$499,2,)</f>
        <v>Big Sago 大丸</v>
      </c>
      <c r="E21" s="508"/>
      <c r="F21" s="508"/>
      <c r="G21" s="22">
        <v>1</v>
      </c>
      <c r="H21" s="102" t="str">
        <f>VLOOKUP(C21,'Sales Master'!$B$3:$F$3247,5,0)</f>
        <v>5 kgs</v>
      </c>
      <c r="I21" s="482" t="str">
        <f>VLOOKUP(C21,'Sales Master'!$B$3:$E$3247,4,0)</f>
        <v>-</v>
      </c>
      <c r="J21" s="482"/>
      <c r="K21" s="35">
        <f>VLOOKUP(C21,'Sales Master'!B$3:AR$499,43,0)</f>
        <v>11</v>
      </c>
      <c r="L21" s="77">
        <f t="shared" si="6"/>
        <v>11</v>
      </c>
      <c r="M21" s="78"/>
      <c r="N21" s="225">
        <f>VLOOKUP(C21,'Sales Master'!$B$3:$DA$3038,104,0)</f>
        <v>8.6666666666666679</v>
      </c>
      <c r="O21" s="225">
        <f t="shared" si="7"/>
        <v>2.3333333333333321</v>
      </c>
      <c r="P21" s="225">
        <f t="shared" si="8"/>
        <v>2.3333333333333321</v>
      </c>
      <c r="Q21" s="76"/>
    </row>
    <row r="22" spans="2:23" ht="20.149999999999999" customHeight="1" x14ac:dyDescent="0.45">
      <c r="B22" s="34"/>
      <c r="C22" s="22" t="s">
        <v>1615</v>
      </c>
      <c r="D22" s="508" t="str">
        <f>VLOOKUP(C22,'Sales Master'!B$3:D$499,2,)</f>
        <v>Small Sago 小丸</v>
      </c>
      <c r="E22" s="508"/>
      <c r="F22" s="508"/>
      <c r="G22" s="22">
        <v>1</v>
      </c>
      <c r="H22" s="102" t="str">
        <f>VLOOKUP(C22,'Sales Master'!$B$3:$F$3247,5,0)</f>
        <v>5 kgs</v>
      </c>
      <c r="I22" s="482" t="str">
        <f>VLOOKUP(C22,'Sales Master'!$B$3:$E$3247,4,0)</f>
        <v>-</v>
      </c>
      <c r="J22" s="482"/>
      <c r="K22" s="35">
        <f>VLOOKUP(C22,'Sales Master'!B$3:AR$499,43,0)</f>
        <v>10</v>
      </c>
      <c r="L22" s="77">
        <f t="shared" si="6"/>
        <v>10</v>
      </c>
      <c r="M22" s="78"/>
      <c r="N22" s="225">
        <f>VLOOKUP(C22,'Sales Master'!$B$3:$DA$3038,104,0)</f>
        <v>8</v>
      </c>
      <c r="O22" s="225">
        <f t="shared" si="7"/>
        <v>2</v>
      </c>
      <c r="P22" s="225">
        <f t="shared" si="8"/>
        <v>2</v>
      </c>
      <c r="Q22" s="76"/>
    </row>
    <row r="23" spans="2:23" ht="20.149999999999999" customHeight="1" x14ac:dyDescent="0.45">
      <c r="B23" s="34"/>
      <c r="C23" s="22" t="s">
        <v>1618</v>
      </c>
      <c r="D23" s="508" t="str">
        <f>VLOOKUP(C23,'Sales Master'!B$3:D$499,2,)</f>
        <v>Dried Longan 龙眼干</v>
      </c>
      <c r="E23" s="508"/>
      <c r="F23" s="508"/>
      <c r="G23" s="22">
        <v>10</v>
      </c>
      <c r="H23" s="102" t="str">
        <f>VLOOKUP(C23,'Sales Master'!$B$3:$F$3247,5,0)</f>
        <v>1 kg</v>
      </c>
      <c r="I23" s="482" t="str">
        <f>VLOOKUP(C23,'Sales Master'!$B$3:$E$3247,4,0)</f>
        <v>TL</v>
      </c>
      <c r="J23" s="482"/>
      <c r="K23" s="35">
        <f>VLOOKUP(C23,'Sales Master'!B$3:AR$499,43,0)</f>
        <v>12</v>
      </c>
      <c r="L23" s="77">
        <f t="shared" ref="L23" si="9">K23*G23</f>
        <v>120</v>
      </c>
      <c r="M23" s="78"/>
      <c r="N23" s="225">
        <f>VLOOKUP(C23,'Sales Master'!$B$3:$DA$3038,104,0)</f>
        <v>8.5</v>
      </c>
      <c r="O23" s="225">
        <f t="shared" ref="O23" si="10">K23-N23</f>
        <v>3.5</v>
      </c>
      <c r="P23" s="225">
        <f t="shared" ref="P23" si="11">O23*G23</f>
        <v>35</v>
      </c>
      <c r="Q23" s="76"/>
      <c r="W23" s="125"/>
    </row>
    <row r="24" spans="2:23" ht="20.149999999999999" customHeight="1" x14ac:dyDescent="0.45">
      <c r="B24" s="34"/>
      <c r="C24" s="22" t="s">
        <v>1624</v>
      </c>
      <c r="D24" s="508" t="str">
        <f>VLOOKUP(C24,'Sales Master'!B$3:D$499,2,)</f>
        <v>Fungus黄 木耳朵</v>
      </c>
      <c r="E24" s="508"/>
      <c r="F24" s="508"/>
      <c r="G24" s="22">
        <v>1</v>
      </c>
      <c r="H24" s="102" t="str">
        <f>VLOOKUP(C24,'Sales Master'!$B$3:$F$3247,5,0)</f>
        <v>1 kg</v>
      </c>
      <c r="I24" s="482" t="str">
        <f>VLOOKUP(C24,'Sales Master'!$B$3:$E$3247,4,0)</f>
        <v>黄</v>
      </c>
      <c r="J24" s="482"/>
      <c r="K24" s="35">
        <f>VLOOKUP(C24,'Sales Master'!B$3:AR$499,43,0)</f>
        <v>16</v>
      </c>
      <c r="L24" s="77">
        <f>K24*G24</f>
        <v>16</v>
      </c>
      <c r="M24" s="78"/>
      <c r="N24" s="225">
        <f>VLOOKUP(C24,'Sales Master'!$B$3:$DA$3038,104,0)</f>
        <v>11</v>
      </c>
      <c r="O24" s="225">
        <f>K24-N24</f>
        <v>5</v>
      </c>
      <c r="P24" s="225">
        <f>O24*G24</f>
        <v>5</v>
      </c>
      <c r="Q24" s="76"/>
    </row>
    <row r="25" spans="2:23" ht="20.149999999999999" customHeight="1" x14ac:dyDescent="0.45">
      <c r="B25" s="34"/>
      <c r="C25" s="22" t="s">
        <v>1636</v>
      </c>
      <c r="D25" s="508" t="str">
        <f>VLOOKUP(C25,'Sales Master'!B$3:D$499,2,)</f>
        <v>Bean Curd Sheet 腐竹</v>
      </c>
      <c r="E25" s="508"/>
      <c r="F25" s="508"/>
      <c r="G25" s="22">
        <v>10</v>
      </c>
      <c r="H25" s="102" t="str">
        <f>VLOOKUP(C25,'Sales Master'!$B$3:$F$3247,5,0)</f>
        <v xml:space="preserve">150g/pkt </v>
      </c>
      <c r="I25" s="482" t="str">
        <f>VLOOKUP(C25,'Sales Master'!$B$3:$E$3247,4,0)</f>
        <v>丰</v>
      </c>
      <c r="J25" s="482"/>
      <c r="K25" s="35">
        <f>VLOOKUP(C25,'Sales Master'!B$3:AR$499,43,0)</f>
        <v>2.2000000000000002</v>
      </c>
      <c r="L25" s="77">
        <f t="shared" ref="L25" si="12">K25*G25</f>
        <v>22</v>
      </c>
      <c r="M25" s="78"/>
      <c r="N25" s="225">
        <f>VLOOKUP(C25,'Sales Master'!$B$3:$DA$3038,104,0)</f>
        <v>2.0833333333333335</v>
      </c>
      <c r="O25" s="225">
        <f t="shared" ref="O25" si="13">K25-N25</f>
        <v>0.1166666666666667</v>
      </c>
      <c r="P25" s="225">
        <f t="shared" ref="P25" si="14">O25*G25</f>
        <v>1.166666666666667</v>
      </c>
      <c r="Q25" s="76"/>
    </row>
    <row r="26" spans="2:23" ht="20.149999999999999" customHeight="1" x14ac:dyDescent="0.45">
      <c r="B26" s="34"/>
      <c r="C26" s="22" t="s">
        <v>1691</v>
      </c>
      <c r="D26" s="508" t="str">
        <f>VLOOKUP(C26,'Sales Master'!B$3:D$499,2,)</f>
        <v>Nata De Coco椰果芊 15mm</v>
      </c>
      <c r="E26" s="508"/>
      <c r="F26" s="508"/>
      <c r="G26" s="22">
        <v>2</v>
      </c>
      <c r="H26" s="102" t="str">
        <f>VLOOKUP(C26,'Sales Master'!$B$3:$F$3247,5,0)</f>
        <v>1 Can X A10</v>
      </c>
      <c r="I26" s="482" t="str">
        <f>VLOOKUP(C26,'Sales Master'!$B$3:$E$3247,4,0)</f>
        <v>Chefs</v>
      </c>
      <c r="J26" s="482"/>
      <c r="K26" s="35">
        <f>VLOOKUP(C26,'Sales Master'!B$3:AR$499,43,0)</f>
        <v>9.5</v>
      </c>
      <c r="L26" s="77">
        <f t="shared" ref="L26" si="15">K26*G26</f>
        <v>19</v>
      </c>
      <c r="M26" s="78"/>
      <c r="N26" s="225">
        <f>VLOOKUP(C26,'Sales Master'!$B$3:$DA$3038,104,0)</f>
        <v>6.916666666666667</v>
      </c>
      <c r="O26" s="225">
        <f t="shared" ref="O26" si="16">K26-N26</f>
        <v>2.583333333333333</v>
      </c>
      <c r="P26" s="225">
        <f t="shared" ref="P26" si="17">O26*G26</f>
        <v>5.1666666666666661</v>
      </c>
      <c r="Q26" s="76"/>
    </row>
    <row r="27" spans="2:23" ht="20.149999999999999" customHeight="1" x14ac:dyDescent="0.45">
      <c r="B27" s="34"/>
      <c r="C27" s="22" t="s">
        <v>1696</v>
      </c>
      <c r="D27" s="508" t="str">
        <f>VLOOKUP(C27,'Sales Master'!B$3:D$499,2,)</f>
        <v>Longan in Syrup龙眼</v>
      </c>
      <c r="E27" s="508"/>
      <c r="F27" s="508"/>
      <c r="G27" s="22">
        <v>6</v>
      </c>
      <c r="H27" s="102" t="str">
        <f>VLOOKUP(C27,'Sales Master'!$B$3:$F$3247,5,0)</f>
        <v>(565gm x 12)/箱</v>
      </c>
      <c r="I27" s="482" t="str">
        <f>VLOOKUP(C27,'Sales Master'!$B$3:$E$3247,4,0)</f>
        <v>YiFong</v>
      </c>
      <c r="J27" s="482"/>
      <c r="K27" s="35">
        <f>VLOOKUP(C27,'Sales Master'!B$3:AR$499,43,0)</f>
        <v>24</v>
      </c>
      <c r="L27" s="77">
        <f t="shared" ref="L27:L35" si="18">K27*G27</f>
        <v>144</v>
      </c>
      <c r="M27" s="78"/>
      <c r="N27" s="225">
        <f>VLOOKUP(C27,'Sales Master'!$B$3:$DA$3038,104,0)</f>
        <v>18.055555555555557</v>
      </c>
      <c r="O27" s="225">
        <f t="shared" ref="O27:O35" si="19">K27-N27</f>
        <v>5.9444444444444429</v>
      </c>
      <c r="P27" s="225">
        <f t="shared" ref="P27:P35" si="20">O27*G27</f>
        <v>35.666666666666657</v>
      </c>
      <c r="Q27" s="76"/>
    </row>
    <row r="28" spans="2:23" ht="20.149999999999999" customHeight="1" x14ac:dyDescent="0.45">
      <c r="B28" s="34"/>
      <c r="C28" s="22" t="s">
        <v>2035</v>
      </c>
      <c r="D28" s="508" t="str">
        <f>VLOOKUP(C28,'Sales Master'!B$3:D$499,2,)</f>
        <v>Fruit Cocktail杂果</v>
      </c>
      <c r="E28" s="508"/>
      <c r="F28" s="508"/>
      <c r="G28" s="22">
        <v>2</v>
      </c>
      <c r="H28" s="102" t="str">
        <f>VLOOKUP(C28,'Sales Master'!$B$3:$F$3247,5,0)</f>
        <v>(820gm x 12)/箱</v>
      </c>
      <c r="I28" s="482" t="str">
        <f>VLOOKUP(C28,'Sales Master'!$B$3:$E$3247,4,0)</f>
        <v>Mili</v>
      </c>
      <c r="J28" s="482"/>
      <c r="K28" s="35">
        <f>VLOOKUP(C28,'Sales Master'!B$3:AR$499,43,0)</f>
        <v>25</v>
      </c>
      <c r="L28" s="77">
        <f t="shared" si="18"/>
        <v>50</v>
      </c>
      <c r="M28" s="78"/>
      <c r="N28" s="225">
        <f>VLOOKUP(C28,'Sales Master'!$B$3:$DA$3038,104,0)</f>
        <v>20</v>
      </c>
      <c r="O28" s="225">
        <f t="shared" si="19"/>
        <v>5</v>
      </c>
      <c r="P28" s="225">
        <f t="shared" si="20"/>
        <v>10</v>
      </c>
      <c r="Q28" s="76"/>
    </row>
    <row r="29" spans="2:23" ht="20.149999999999999" customHeight="1" x14ac:dyDescent="0.45">
      <c r="B29" s="34"/>
      <c r="C29" s="22" t="s">
        <v>2073</v>
      </c>
      <c r="D29" s="508" t="str">
        <f>VLOOKUP(C29,'Sales Master'!B$3:D$499,2,)</f>
        <v>Water Chestnut 马蹄 - Can</v>
      </c>
      <c r="E29" s="508"/>
      <c r="F29" s="508"/>
      <c r="G29" s="22">
        <v>1</v>
      </c>
      <c r="H29" s="102" t="str">
        <f>VLOOKUP(C29,'Sales Master'!$B$3:$F$3247,5,0)</f>
        <v>(567gm x 24)/箱</v>
      </c>
      <c r="I29" s="482" t="str">
        <f>VLOOKUP(C29,'Sales Master'!$B$3:$E$3247,4,0)</f>
        <v>GOLDEN CHAMP</v>
      </c>
      <c r="J29" s="482"/>
      <c r="K29" s="35">
        <f>VLOOKUP(C29,'Sales Master'!B$3:AR$499,43,0)</f>
        <v>34</v>
      </c>
      <c r="L29" s="77">
        <f t="shared" si="18"/>
        <v>34</v>
      </c>
      <c r="M29" s="78"/>
      <c r="N29" s="225">
        <f>VLOOKUP(C29,'Sales Master'!$B$3:$DA$3038,104,0)</f>
        <v>28</v>
      </c>
      <c r="O29" s="225">
        <f t="shared" si="19"/>
        <v>6</v>
      </c>
      <c r="P29" s="225">
        <f t="shared" si="20"/>
        <v>6</v>
      </c>
      <c r="Q29" s="76"/>
    </row>
    <row r="30" spans="2:23" ht="20.149999999999999" customHeight="1" x14ac:dyDescent="0.45">
      <c r="B30" s="34"/>
      <c r="C30" s="22" t="s">
        <v>1736</v>
      </c>
      <c r="D30" s="508" t="str">
        <f>VLOOKUP(C30,'Sales Master'!B$3:D$499,2,)</f>
        <v>Coconut Milk 椰浆</v>
      </c>
      <c r="E30" s="508"/>
      <c r="F30" s="508"/>
      <c r="G30" s="22">
        <v>4</v>
      </c>
      <c r="H30" s="102" t="str">
        <f>VLOOKUP(C30,'Sales Master'!$B$3:$F$3247,5,0)</f>
        <v>(1L x 12bag)/箱</v>
      </c>
      <c r="I30" s="482" t="str">
        <f>VLOOKUP(C30,'Sales Master'!$B$3:$E$3247,4,0)</f>
        <v>Kara UHT</v>
      </c>
      <c r="J30" s="482"/>
      <c r="K30" s="35">
        <f>VLOOKUP(C30,'Sales Master'!B$3:AR$499,43,0)</f>
        <v>42</v>
      </c>
      <c r="L30" s="77">
        <f t="shared" si="18"/>
        <v>168</v>
      </c>
      <c r="M30" s="78"/>
      <c r="N30" s="225">
        <f>VLOOKUP(C30,'Sales Master'!$B$3:$DA$3038,104,0)</f>
        <v>35.5</v>
      </c>
      <c r="O30" s="225">
        <f t="shared" si="19"/>
        <v>6.5</v>
      </c>
      <c r="P30" s="225">
        <f t="shared" si="20"/>
        <v>26</v>
      </c>
      <c r="Q30" s="76"/>
    </row>
    <row r="31" spans="2:23" ht="20.149999999999999" customHeight="1" x14ac:dyDescent="0.45">
      <c r="B31" s="34"/>
      <c r="C31" s="22" t="s">
        <v>1792</v>
      </c>
      <c r="D31" s="508" t="str">
        <f>VLOOKUP(C31,'Sales Master'!B$3:D$499,2,)</f>
        <v>Yam 芋头</v>
      </c>
      <c r="E31" s="508"/>
      <c r="F31" s="508"/>
      <c r="G31" s="22">
        <v>8</v>
      </c>
      <c r="H31" s="102" t="str">
        <f>VLOOKUP(C31,'Sales Master'!$B$3:$F$3247,5,0)</f>
        <v>1 KG</v>
      </c>
      <c r="I31" s="482" t="str">
        <f>VLOOKUP(C31,'Sales Master'!$B$3:$E$3247,4,0)</f>
        <v>Malaysia</v>
      </c>
      <c r="J31" s="482"/>
      <c r="K31" s="35">
        <f>VLOOKUP(C31,'Sales Master'!B$3:AR$499,43,0)</f>
        <v>3</v>
      </c>
      <c r="L31" s="77">
        <f t="shared" si="18"/>
        <v>24</v>
      </c>
      <c r="M31" s="78"/>
      <c r="N31" s="225">
        <f>VLOOKUP(C31,'Sales Master'!$B$3:$DA$3038,104,0)</f>
        <v>1.8</v>
      </c>
      <c r="O31" s="225">
        <f t="shared" si="19"/>
        <v>1.2</v>
      </c>
      <c r="P31" s="225">
        <f t="shared" si="20"/>
        <v>9.6</v>
      </c>
      <c r="Q31" s="76"/>
    </row>
    <row r="32" spans="2:23" ht="20.149999999999999" customHeight="1" x14ac:dyDescent="0.45">
      <c r="B32" s="34"/>
      <c r="C32" s="22" t="s">
        <v>1794</v>
      </c>
      <c r="D32" s="508" t="str">
        <f>VLOOKUP(C32,'Sales Master'!B$3:D$499,2,)</f>
        <v>Pandan Leaf 班兰叶</v>
      </c>
      <c r="E32" s="508"/>
      <c r="F32" s="508"/>
      <c r="G32" s="22">
        <v>6</v>
      </c>
      <c r="H32" s="102" t="str">
        <f>VLOOKUP(C32,'Sales Master'!$B$3:$F$3247,5,0)</f>
        <v>1 kg</v>
      </c>
      <c r="I32" s="482" t="str">
        <f>VLOOKUP(C32,'Sales Master'!$B$3:$E$3247,4,0)</f>
        <v>-</v>
      </c>
      <c r="J32" s="482"/>
      <c r="K32" s="35">
        <f>VLOOKUP(C32,'Sales Master'!B$3:AR$499,43,0)</f>
        <v>1.8</v>
      </c>
      <c r="L32" s="77">
        <f t="shared" si="18"/>
        <v>10.8</v>
      </c>
      <c r="M32" s="78"/>
      <c r="N32" s="225">
        <f>VLOOKUP(C32,'Sales Master'!$B$3:$DA$3038,104,0)</f>
        <v>1</v>
      </c>
      <c r="O32" s="225">
        <f t="shared" si="19"/>
        <v>0.8</v>
      </c>
      <c r="P32" s="225">
        <f t="shared" si="20"/>
        <v>4.8000000000000007</v>
      </c>
      <c r="Q32" s="76"/>
    </row>
    <row r="33" spans="2:17" ht="20.149999999999999" customHeight="1" x14ac:dyDescent="0.45">
      <c r="B33" s="34"/>
      <c r="C33" s="22" t="s">
        <v>1795</v>
      </c>
      <c r="D33" s="508" t="str">
        <f>VLOOKUP(C33,'Sales Master'!B$3:D$499,2,)</f>
        <v>Lime 酸甘</v>
      </c>
      <c r="E33" s="508"/>
      <c r="F33" s="508"/>
      <c r="G33" s="22">
        <v>3</v>
      </c>
      <c r="H33" s="102" t="str">
        <f>VLOOKUP(C33,'Sales Master'!$B$3:$F$3247,5,0)</f>
        <v>1 kg</v>
      </c>
      <c r="I33" s="482" t="str">
        <f>VLOOKUP(C33,'Sales Master'!$B$3:$E$3247,4,0)</f>
        <v>-</v>
      </c>
      <c r="J33" s="482"/>
      <c r="K33" s="35">
        <f>VLOOKUP(C33,'Sales Master'!B$3:AR$499,43,0)</f>
        <v>2.8</v>
      </c>
      <c r="L33" s="77">
        <f t="shared" si="18"/>
        <v>8.3999999999999986</v>
      </c>
      <c r="M33" s="78"/>
      <c r="N33" s="225">
        <f>VLOOKUP(C33,'Sales Master'!$B$3:$DA$3038,104,0)</f>
        <v>1.9</v>
      </c>
      <c r="O33" s="225">
        <f t="shared" si="19"/>
        <v>0.89999999999999991</v>
      </c>
      <c r="P33" s="225">
        <f t="shared" si="20"/>
        <v>2.6999999999999997</v>
      </c>
      <c r="Q33" s="76"/>
    </row>
    <row r="34" spans="2:17" ht="20.149999999999999" customHeight="1" x14ac:dyDescent="0.45">
      <c r="B34" s="34"/>
      <c r="C34" s="22" t="s">
        <v>1805</v>
      </c>
      <c r="D34" s="508" t="str">
        <f>VLOOKUP(C34,'Sales Master'!B$3:D$499,2,)</f>
        <v>Food Coloring - Liquid)颜色-水</v>
      </c>
      <c r="E34" s="508"/>
      <c r="F34" s="508"/>
      <c r="G34" s="22">
        <v>4</v>
      </c>
      <c r="H34" s="102" t="str">
        <f>VLOOKUP(C34,'Sales Master'!$B$3:$F$3247,5,0)</f>
        <v>500 ML/BTL</v>
      </c>
      <c r="I34" s="482" t="str">
        <f>VLOOKUP(C34,'Sales Master'!$B$3:$E$3247,4,0)</f>
        <v>Red/红</v>
      </c>
      <c r="J34" s="482"/>
      <c r="K34" s="35">
        <f>VLOOKUP(C34,'Sales Master'!B$3:AR$499,43,0)</f>
        <v>2.5</v>
      </c>
      <c r="L34" s="77">
        <f t="shared" si="18"/>
        <v>10</v>
      </c>
      <c r="M34" s="78"/>
      <c r="N34" s="225">
        <f>VLOOKUP(C34,'Sales Master'!$B$3:$DA$3038,104,0)</f>
        <v>1.5999999999999999</v>
      </c>
      <c r="O34" s="225">
        <f t="shared" si="19"/>
        <v>0.90000000000000013</v>
      </c>
      <c r="P34" s="225">
        <f t="shared" si="20"/>
        <v>3.6000000000000005</v>
      </c>
      <c r="Q34" s="76"/>
    </row>
    <row r="35" spans="2:17" ht="20.149999999999999" customHeight="1" x14ac:dyDescent="0.45">
      <c r="B35" s="34"/>
      <c r="C35" s="22" t="s">
        <v>1806</v>
      </c>
      <c r="D35" s="508" t="str">
        <f>VLOOKUP(C35,'Sales Master'!B$3:D$499,2,)</f>
        <v>Food Coloring - Liquid)颜色-水</v>
      </c>
      <c r="E35" s="508"/>
      <c r="F35" s="508"/>
      <c r="G35" s="22">
        <v>2</v>
      </c>
      <c r="H35" s="102" t="str">
        <f>VLOOKUP(C35,'Sales Master'!$B$3:$F$3247,5,0)</f>
        <v>500 ML/BTL</v>
      </c>
      <c r="I35" s="482" t="str">
        <f>VLOOKUP(C35,'Sales Master'!$B$3:$E$3247,4,0)</f>
        <v>Green/青</v>
      </c>
      <c r="J35" s="482"/>
      <c r="K35" s="35">
        <f>VLOOKUP(C35,'Sales Master'!B$3:AR$499,43,0)</f>
        <v>2.5</v>
      </c>
      <c r="L35" s="77">
        <f t="shared" si="18"/>
        <v>5</v>
      </c>
      <c r="M35" s="78"/>
      <c r="N35" s="225">
        <f>VLOOKUP(C35,'Sales Master'!$B$3:$DA$3038,104,0)</f>
        <v>1.6</v>
      </c>
      <c r="O35" s="225">
        <f t="shared" si="19"/>
        <v>0.89999999999999991</v>
      </c>
      <c r="P35" s="225">
        <f t="shared" si="20"/>
        <v>1.7999999999999998</v>
      </c>
      <c r="Q35" s="76"/>
    </row>
    <row r="36" spans="2:17" ht="20.149999999999999" customHeight="1" x14ac:dyDescent="0.45">
      <c r="B36" s="34"/>
      <c r="C36" s="22"/>
      <c r="G36" s="22"/>
      <c r="H36" s="68"/>
      <c r="I36" s="68"/>
      <c r="J36" s="68"/>
      <c r="K36" s="35"/>
      <c r="L36" s="77"/>
      <c r="M36" s="78"/>
      <c r="N36" s="225"/>
      <c r="O36" s="225"/>
      <c r="P36" s="225"/>
      <c r="Q36" s="76"/>
    </row>
    <row r="37" spans="2:17" ht="20.149999999999999" customHeight="1" x14ac:dyDescent="0.45">
      <c r="B37" s="34"/>
      <c r="C37" s="22"/>
      <c r="G37" s="22"/>
      <c r="H37" s="68"/>
      <c r="I37" s="68"/>
      <c r="J37" s="68"/>
      <c r="K37" s="35"/>
      <c r="L37" s="77"/>
      <c r="M37" s="78"/>
      <c r="N37" s="225"/>
      <c r="O37" s="225"/>
      <c r="P37" s="225"/>
      <c r="Q37" s="76"/>
    </row>
    <row r="38" spans="2:17" ht="20.149999999999999" customHeight="1" thickBot="1" x14ac:dyDescent="0.5">
      <c r="B38" s="414"/>
      <c r="C38" s="415"/>
      <c r="D38" s="53"/>
      <c r="E38" s="53"/>
      <c r="F38" s="53"/>
      <c r="G38" s="38"/>
      <c r="H38" s="69"/>
      <c r="I38" s="69"/>
      <c r="J38" s="69"/>
      <c r="K38" s="39"/>
      <c r="L38" s="89"/>
    </row>
    <row r="39" spans="2:17" ht="20.149999999999999" customHeight="1" thickBot="1" x14ac:dyDescent="0.5">
      <c r="B39" s="11" t="s">
        <v>18</v>
      </c>
      <c r="L39" s="42"/>
    </row>
    <row r="40" spans="2:17" ht="20.149999999999999" customHeight="1" x14ac:dyDescent="0.45">
      <c r="B40" s="11" t="s">
        <v>19</v>
      </c>
      <c r="C40" s="7"/>
      <c r="D40" s="7"/>
      <c r="E40" s="7"/>
      <c r="F40" s="7"/>
      <c r="G40" s="7"/>
      <c r="H40" s="7"/>
      <c r="I40" s="7"/>
      <c r="J40" s="510" t="s">
        <v>15</v>
      </c>
      <c r="K40" s="511"/>
      <c r="L40" s="43">
        <f>SUM(L18:L39)</f>
        <v>923.69999999999993</v>
      </c>
      <c r="M40" s="76">
        <f>SUM(P18:P41)-L40*0.02</f>
        <v>233.55933333333331</v>
      </c>
      <c r="N40" s="201">
        <f>M40/L40</f>
        <v>0.25285193605427447</v>
      </c>
    </row>
    <row r="41" spans="2:17" ht="20.149999999999999" customHeight="1" x14ac:dyDescent="0.45">
      <c r="B41" s="11" t="s">
        <v>20</v>
      </c>
      <c r="C41" s="7"/>
      <c r="D41" s="7"/>
      <c r="E41" s="7"/>
      <c r="F41" s="7"/>
      <c r="G41" s="7"/>
      <c r="H41" s="7"/>
      <c r="I41" s="7"/>
      <c r="J41" s="44" t="s">
        <v>22</v>
      </c>
      <c r="K41" s="45"/>
      <c r="L41" s="46">
        <f>L40*K41</f>
        <v>0</v>
      </c>
    </row>
    <row r="42" spans="2:17" ht="20.149999999999999" customHeight="1" x14ac:dyDescent="0.45">
      <c r="B42" s="11" t="s">
        <v>24</v>
      </c>
      <c r="C42" s="7"/>
      <c r="D42" s="7"/>
      <c r="E42" s="7"/>
      <c r="F42" s="7"/>
      <c r="G42" s="7"/>
      <c r="H42" s="7"/>
      <c r="I42" s="7"/>
      <c r="J42" s="486" t="s">
        <v>21</v>
      </c>
      <c r="K42" s="487"/>
      <c r="L42" s="46">
        <f>L40-L41</f>
        <v>923.69999999999993</v>
      </c>
    </row>
    <row r="43" spans="2:17" ht="20.149999999999999" customHeight="1" x14ac:dyDescent="0.45">
      <c r="B43" s="11" t="s">
        <v>25</v>
      </c>
      <c r="C43" s="7"/>
      <c r="D43" s="7"/>
      <c r="E43" s="7"/>
      <c r="F43" s="7"/>
      <c r="G43" s="7"/>
      <c r="H43" s="7"/>
      <c r="I43" s="7"/>
      <c r="J43" s="150" t="s">
        <v>17</v>
      </c>
      <c r="K43" s="151">
        <v>7.0000000000000007E-2</v>
      </c>
      <c r="L43" s="47">
        <f>L42*K43</f>
        <v>64.659000000000006</v>
      </c>
    </row>
    <row r="44" spans="2:17" ht="20.149999999999999" customHeight="1" thickBot="1" x14ac:dyDescent="0.5">
      <c r="B44" s="11" t="s">
        <v>26</v>
      </c>
      <c r="C44" s="7"/>
      <c r="D44" s="7"/>
      <c r="E44" s="7"/>
      <c r="F44" s="7"/>
      <c r="G44" s="7"/>
      <c r="H44" s="7"/>
      <c r="I44" s="7"/>
      <c r="J44" s="488" t="s">
        <v>23</v>
      </c>
      <c r="K44" s="489"/>
      <c r="L44" s="48">
        <f>L42+L43</f>
        <v>988.35899999999992</v>
      </c>
    </row>
    <row r="45" spans="2:17" ht="20.149999999999999" customHeight="1" x14ac:dyDescent="0.45">
      <c r="B45" s="41"/>
      <c r="C45" s="7"/>
      <c r="D45" s="7"/>
      <c r="E45" s="7"/>
      <c r="F45" s="7"/>
      <c r="G45" s="7"/>
      <c r="H45" s="7"/>
      <c r="I45" s="7"/>
      <c r="L45" s="42"/>
    </row>
    <row r="46" spans="2:17" ht="20.149999999999999" customHeight="1" x14ac:dyDescent="0.45">
      <c r="B46" s="41"/>
      <c r="L46" s="42"/>
    </row>
    <row r="47" spans="2:17" ht="20.149999999999999" customHeight="1" x14ac:dyDescent="0.45">
      <c r="B47" s="41" t="s">
        <v>27</v>
      </c>
      <c r="J47" s="102" t="s">
        <v>28</v>
      </c>
      <c r="L47" s="42" t="s">
        <v>720</v>
      </c>
    </row>
    <row r="48" spans="2:17" ht="20.149999999999999" customHeight="1" x14ac:dyDescent="0.45">
      <c r="B48" s="41"/>
      <c r="L48" s="42"/>
    </row>
    <row r="49" spans="2:12" ht="20.149999999999999" customHeight="1" x14ac:dyDescent="0.45">
      <c r="B49" s="41"/>
      <c r="L49" s="42"/>
    </row>
    <row r="50" spans="2:12" ht="20.149999999999999" customHeight="1" x14ac:dyDescent="0.45">
      <c r="B50" s="49"/>
      <c r="C50" s="50"/>
      <c r="D50" s="50"/>
      <c r="J50" s="106"/>
      <c r="K50" s="50"/>
      <c r="L50" s="51"/>
    </row>
    <row r="51" spans="2:12" ht="20.149999999999999" customHeight="1" thickBot="1" x14ac:dyDescent="0.5">
      <c r="B51" s="52"/>
      <c r="C51" s="53"/>
      <c r="D51" s="53"/>
      <c r="E51" s="53"/>
      <c r="F51" s="53"/>
      <c r="G51" s="53"/>
      <c r="H51" s="53"/>
      <c r="I51" s="53"/>
      <c r="J51" s="107"/>
      <c r="K51" s="53"/>
      <c r="L51" s="54"/>
    </row>
    <row r="52" spans="2:12" ht="20.5" x14ac:dyDescent="0.45">
      <c r="F52" s="426"/>
    </row>
  </sheetData>
  <mergeCells count="54">
    <mergeCell ref="D33:F33"/>
    <mergeCell ref="D34:F34"/>
    <mergeCell ref="D35:F35"/>
    <mergeCell ref="I33:J33"/>
    <mergeCell ref="I34:J34"/>
    <mergeCell ref="I35:J35"/>
    <mergeCell ref="B15:D15"/>
    <mergeCell ref="I19:J19"/>
    <mergeCell ref="D19:F19"/>
    <mergeCell ref="B1:L8"/>
    <mergeCell ref="D17:F17"/>
    <mergeCell ref="I17:J1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D32:F32"/>
    <mergeCell ref="D31:F31"/>
    <mergeCell ref="D18:F18"/>
    <mergeCell ref="I23:J23"/>
    <mergeCell ref="D23:F23"/>
    <mergeCell ref="D27:F27"/>
    <mergeCell ref="I27:J27"/>
    <mergeCell ref="I18:J18"/>
    <mergeCell ref="D20:F20"/>
    <mergeCell ref="D21:F21"/>
    <mergeCell ref="D22:F22"/>
    <mergeCell ref="I20:J20"/>
    <mergeCell ref="I21:J21"/>
    <mergeCell ref="I22:J22"/>
    <mergeCell ref="I26:J26"/>
    <mergeCell ref="J44:K44"/>
    <mergeCell ref="J42:K42"/>
    <mergeCell ref="J40:K40"/>
    <mergeCell ref="I31:J31"/>
    <mergeCell ref="I32:J32"/>
    <mergeCell ref="I25:J25"/>
    <mergeCell ref="D24:F24"/>
    <mergeCell ref="D28:F28"/>
    <mergeCell ref="D29:F29"/>
    <mergeCell ref="D30:F30"/>
    <mergeCell ref="D25:F25"/>
    <mergeCell ref="I24:J24"/>
    <mergeCell ref="I28:J28"/>
    <mergeCell ref="D26:F26"/>
    <mergeCell ref="I29:J29"/>
    <mergeCell ref="I30:J30"/>
  </mergeCells>
  <conditionalFormatting sqref="C18:C23">
    <cfRule type="duplicateValues" dxfId="16" priority="67"/>
  </conditionalFormatting>
  <conditionalFormatting sqref="C38">
    <cfRule type="duplicateValues" dxfId="15" priority="642"/>
  </conditionalFormatting>
  <conditionalFormatting sqref="C31">
    <cfRule type="duplicateValues" dxfId="14" priority="7"/>
  </conditionalFormatting>
  <conditionalFormatting sqref="C27:C30 C23:C25">
    <cfRule type="duplicateValues" dxfId="13" priority="1131"/>
  </conditionalFormatting>
  <conditionalFormatting sqref="C31:C37">
    <cfRule type="duplicateValues" dxfId="12" priority="1137"/>
  </conditionalFormatting>
  <conditionalFormatting sqref="C24:C30">
    <cfRule type="duplicateValues" dxfId="11" priority="1138"/>
  </conditionalFormatting>
  <pageMargins left="0.70866141732283472" right="0.31496062992125984" top="0.59055118110236227" bottom="0" header="0.31496062992125984" footer="0.31496062992125984"/>
  <pageSetup paperSize="9" scale="76" orientation="portrait" horizontalDpi="300" verticalDpi="300" r:id="rId1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B2721B-27C4-4C07-936A-68749A0C55BB}">
  <sheetPr codeName="Sheet137">
    <tabColor rgb="FF92D050"/>
    <pageSetUpPr fitToPage="1"/>
  </sheetPr>
  <dimension ref="B1:P41"/>
  <sheetViews>
    <sheetView topLeftCell="A7" workbookViewId="0">
      <selection activeCell="D26" sqref="D26:F26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6.453125" style="24" customWidth="1"/>
    <col min="7" max="7" width="8.54296875" style="24" customWidth="1"/>
    <col min="8" max="8" width="15.54296875" style="24" customWidth="1"/>
    <col min="9" max="9" width="1.7265625" style="24" customWidth="1"/>
    <col min="10" max="10" width="15.54296875" style="102" customWidth="1"/>
    <col min="11" max="11" width="10.54296875" style="24" customWidth="1"/>
    <col min="12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218</v>
      </c>
      <c r="J10" s="103" t="s">
        <v>29</v>
      </c>
      <c r="K10" s="452">
        <v>202209383</v>
      </c>
      <c r="L10" s="453"/>
    </row>
    <row r="11" spans="2:12" ht="20.149999999999999" customHeight="1" x14ac:dyDescent="0.45">
      <c r="B11" s="454" t="s">
        <v>2037</v>
      </c>
      <c r="C11" s="455"/>
      <c r="D11" s="456"/>
      <c r="E11" s="30"/>
      <c r="F11" s="457" t="str">
        <f>VLOOKUP(H10,'Delivery Location'!A$4:N$416,2,0)</f>
        <v xml:space="preserve">Koufu - Dim Sum                                           Block 768 Woodlands Ave 6                 #01-30/31 Singapore 730768                          </v>
      </c>
      <c r="G11" s="458"/>
      <c r="H11" s="459"/>
      <c r="J11" s="104" t="s">
        <v>11</v>
      </c>
      <c r="K11" s="601">
        <v>44828</v>
      </c>
      <c r="L11" s="602"/>
    </row>
    <row r="12" spans="2:12" ht="20.149999999999999" customHeight="1" x14ac:dyDescent="0.45">
      <c r="B12" s="468" t="s">
        <v>2139</v>
      </c>
      <c r="C12" s="469"/>
      <c r="D12" s="470"/>
      <c r="E12" s="30"/>
      <c r="F12" s="460"/>
      <c r="G12" s="461"/>
      <c r="H12" s="462"/>
      <c r="J12" s="104" t="s">
        <v>171</v>
      </c>
      <c r="K12" s="471" t="s">
        <v>533</v>
      </c>
      <c r="L12" s="472"/>
    </row>
    <row r="13" spans="2:12" ht="20.149999999999999" customHeight="1" x14ac:dyDescent="0.45">
      <c r="B13" s="468" t="s">
        <v>2024</v>
      </c>
      <c r="C13" s="469"/>
      <c r="D13" s="470"/>
      <c r="E13" s="30"/>
      <c r="F13" s="460"/>
      <c r="G13" s="461"/>
      <c r="H13" s="462"/>
      <c r="J13" s="104" t="s">
        <v>12</v>
      </c>
      <c r="K13" s="471" t="s">
        <v>14</v>
      </c>
      <c r="L13" s="472"/>
    </row>
    <row r="14" spans="2:12" ht="20.149999999999999" customHeight="1" x14ac:dyDescent="0.45">
      <c r="B14" s="468" t="s">
        <v>2025</v>
      </c>
      <c r="C14" s="469"/>
      <c r="D14" s="470"/>
      <c r="E14" s="30"/>
      <c r="F14" s="460"/>
      <c r="G14" s="461"/>
      <c r="H14" s="462"/>
      <c r="J14" s="104" t="s">
        <v>30</v>
      </c>
      <c r="K14" s="471" t="s">
        <v>16</v>
      </c>
      <c r="L14" s="472"/>
    </row>
    <row r="15" spans="2:12" ht="18" customHeight="1" thickBot="1" x14ac:dyDescent="0.5">
      <c r="B15" s="463" t="s">
        <v>2026</v>
      </c>
      <c r="C15" s="464"/>
      <c r="D15" s="465"/>
      <c r="E15" s="26"/>
      <c r="F15" s="463"/>
      <c r="G15" s="464"/>
      <c r="H15" s="465"/>
      <c r="J15" s="105" t="s">
        <v>13</v>
      </c>
      <c r="K15" s="476"/>
      <c r="L15" s="477"/>
    </row>
    <row r="16" spans="2:12" ht="19" thickBot="1" x14ac:dyDescent="0.5">
      <c r="J16" s="68"/>
    </row>
    <row r="17" spans="2:16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16" ht="20.149999999999999" customHeight="1" x14ac:dyDescent="0.45">
      <c r="B18" s="34"/>
      <c r="C18" s="22" t="s">
        <v>1736</v>
      </c>
      <c r="D18" s="508" t="str">
        <f>VLOOKUP(C18,'Sales Master'!B$3:D$499,2,)</f>
        <v>Coconut Milk 椰浆</v>
      </c>
      <c r="E18" s="508"/>
      <c r="F18" s="508"/>
      <c r="G18" s="22">
        <v>4</v>
      </c>
      <c r="H18" s="389" t="str">
        <f>VLOOKUP(C18,'Sales Master'!$B$3:$F$3247,5,0)</f>
        <v>(1L x 12bag)/箱</v>
      </c>
      <c r="I18" s="482" t="str">
        <f>VLOOKUP(C18,'Sales Master'!$B$3:$E$3247,4,0)</f>
        <v>Kara UHT</v>
      </c>
      <c r="J18" s="482"/>
      <c r="K18" s="35">
        <f>VLOOKUP(C18,'Sales Master'!B$3:J$499,9,0)</f>
        <v>42</v>
      </c>
      <c r="L18" s="77">
        <f>K18*G18</f>
        <v>168</v>
      </c>
      <c r="M18" s="78"/>
      <c r="N18" s="225">
        <f>VLOOKUP(C18,'Sales Master'!$B$3:$DA$3038,104,0)</f>
        <v>35.5</v>
      </c>
      <c r="O18" s="225">
        <f>K18-N18</f>
        <v>6.5</v>
      </c>
      <c r="P18" s="225">
        <f>O18*G18</f>
        <v>26</v>
      </c>
    </row>
    <row r="19" spans="2:16" ht="20.149999999999999" customHeight="1" x14ac:dyDescent="0.45">
      <c r="B19" s="34"/>
      <c r="C19" s="22"/>
      <c r="D19" s="508"/>
      <c r="E19" s="508"/>
      <c r="F19" s="508"/>
      <c r="G19" s="22"/>
      <c r="H19" s="68"/>
      <c r="I19" s="481"/>
      <c r="J19" s="481"/>
      <c r="K19" s="35"/>
      <c r="L19" s="77"/>
      <c r="M19" s="78"/>
      <c r="N19" s="225"/>
      <c r="O19" s="225"/>
      <c r="P19" s="225"/>
    </row>
    <row r="20" spans="2:16" ht="20.149999999999999" customHeight="1" x14ac:dyDescent="0.45">
      <c r="B20" s="34"/>
      <c r="C20" s="22"/>
      <c r="D20" s="508"/>
      <c r="E20" s="508"/>
      <c r="F20" s="508"/>
      <c r="G20" s="22"/>
      <c r="H20" s="68"/>
      <c r="I20" s="481"/>
      <c r="J20" s="481"/>
      <c r="K20" s="35"/>
      <c r="L20" s="77"/>
      <c r="M20" s="78"/>
      <c r="N20" s="225"/>
      <c r="O20" s="225"/>
      <c r="P20" s="225"/>
    </row>
    <row r="21" spans="2:16" ht="20.149999999999999" customHeight="1" x14ac:dyDescent="0.45">
      <c r="B21" s="34"/>
      <c r="C21" s="22"/>
      <c r="D21" s="508"/>
      <c r="E21" s="508"/>
      <c r="F21" s="508"/>
      <c r="G21" s="22"/>
      <c r="H21" s="68"/>
      <c r="I21" s="481"/>
      <c r="J21" s="481"/>
      <c r="K21" s="35"/>
      <c r="L21" s="77"/>
      <c r="M21" s="78"/>
    </row>
    <row r="22" spans="2:16" x14ac:dyDescent="0.45">
      <c r="B22" s="34"/>
      <c r="C22" s="22"/>
      <c r="D22" s="508"/>
      <c r="E22" s="508"/>
      <c r="F22" s="508"/>
      <c r="G22" s="22"/>
      <c r="H22" s="68"/>
      <c r="I22" s="481"/>
      <c r="J22" s="481"/>
      <c r="K22" s="35"/>
      <c r="L22" s="77"/>
      <c r="M22" s="78"/>
    </row>
    <row r="23" spans="2:16" ht="20.149999999999999" customHeight="1" x14ac:dyDescent="0.45">
      <c r="B23" s="34"/>
      <c r="C23" s="22"/>
      <c r="D23" s="508"/>
      <c r="E23" s="508"/>
      <c r="F23" s="508"/>
      <c r="G23" s="22"/>
      <c r="H23" s="68"/>
      <c r="I23" s="481"/>
      <c r="J23" s="481"/>
      <c r="K23" s="35"/>
      <c r="L23" s="77"/>
      <c r="M23" s="78"/>
    </row>
    <row r="24" spans="2:16" ht="20.149999999999999" customHeight="1" x14ac:dyDescent="0.45">
      <c r="B24" s="34"/>
      <c r="C24" s="22"/>
      <c r="D24" s="508"/>
      <c r="E24" s="508"/>
      <c r="F24" s="508"/>
      <c r="G24" s="22"/>
      <c r="H24" s="68"/>
      <c r="I24" s="481"/>
      <c r="J24" s="481"/>
      <c r="K24" s="35"/>
      <c r="L24" s="77"/>
      <c r="M24" s="78"/>
    </row>
    <row r="25" spans="2:16" ht="20.149999999999999" customHeight="1" x14ac:dyDescent="0.45">
      <c r="B25" s="34"/>
      <c r="C25" s="22"/>
      <c r="D25" s="508"/>
      <c r="E25" s="508"/>
      <c r="F25" s="508"/>
      <c r="G25" s="22"/>
      <c r="H25" s="68"/>
      <c r="I25" s="481"/>
      <c r="J25" s="481"/>
      <c r="K25" s="35"/>
      <c r="L25" s="77"/>
      <c r="M25" s="78"/>
    </row>
    <row r="26" spans="2:16" ht="20.149999999999999" customHeight="1" x14ac:dyDescent="0.45">
      <c r="B26" s="34"/>
      <c r="C26" s="22"/>
      <c r="D26" s="508"/>
      <c r="E26" s="508"/>
      <c r="F26" s="508"/>
      <c r="G26" s="22"/>
      <c r="H26" s="68"/>
      <c r="I26" s="481"/>
      <c r="J26" s="481"/>
      <c r="K26" s="35"/>
      <c r="L26" s="36"/>
    </row>
    <row r="27" spans="2:16" ht="20.149999999999999" customHeight="1" thickBot="1" x14ac:dyDescent="0.5">
      <c r="B27" s="37"/>
      <c r="C27" s="38"/>
      <c r="D27" s="509"/>
      <c r="E27" s="509"/>
      <c r="F27" s="509"/>
      <c r="G27" s="38"/>
      <c r="H27" s="69"/>
      <c r="I27" s="557"/>
      <c r="J27" s="557"/>
      <c r="K27" s="39"/>
      <c r="L27" s="40"/>
    </row>
    <row r="28" spans="2:16" ht="20.149999999999999" customHeight="1" thickBot="1" x14ac:dyDescent="0.5">
      <c r="B28" s="41"/>
      <c r="L28" s="42"/>
    </row>
    <row r="29" spans="2:16" ht="20.149999999999999" customHeight="1" x14ac:dyDescent="0.45">
      <c r="B29" s="11" t="s">
        <v>18</v>
      </c>
      <c r="C29" s="7"/>
      <c r="D29" s="7"/>
      <c r="E29" s="7"/>
      <c r="F29" s="7"/>
      <c r="G29" s="7"/>
      <c r="H29" s="7"/>
      <c r="I29" s="7"/>
      <c r="J29" s="510" t="s">
        <v>15</v>
      </c>
      <c r="K29" s="511"/>
      <c r="L29" s="43">
        <f>SUM(L17:L26)</f>
        <v>168</v>
      </c>
      <c r="M29" s="76">
        <f>SUM(P18:P27)</f>
        <v>26</v>
      </c>
      <c r="N29" s="201">
        <f>M29/L29</f>
        <v>0.15476190476190477</v>
      </c>
    </row>
    <row r="30" spans="2:16" ht="20.149999999999999" customHeight="1" x14ac:dyDescent="0.45">
      <c r="B30" s="11" t="s">
        <v>19</v>
      </c>
      <c r="C30" s="7"/>
      <c r="D30" s="7"/>
      <c r="E30" s="7"/>
      <c r="F30" s="7"/>
      <c r="G30" s="7"/>
      <c r="H30" s="7"/>
      <c r="I30" s="7"/>
      <c r="J30" s="44" t="s">
        <v>22</v>
      </c>
      <c r="K30" s="45"/>
      <c r="L30" s="46">
        <f>L29*K30</f>
        <v>0</v>
      </c>
    </row>
    <row r="31" spans="2:16" ht="20.149999999999999" customHeight="1" x14ac:dyDescent="0.45">
      <c r="B31" s="11" t="s">
        <v>20</v>
      </c>
      <c r="C31" s="7"/>
      <c r="D31" s="7"/>
      <c r="E31" s="7"/>
      <c r="F31" s="7"/>
      <c r="G31" s="7"/>
      <c r="H31" s="7"/>
      <c r="I31" s="7"/>
      <c r="J31" s="486" t="s">
        <v>21</v>
      </c>
      <c r="K31" s="487"/>
      <c r="L31" s="46">
        <f>L29-L30</f>
        <v>168</v>
      </c>
    </row>
    <row r="32" spans="2:16" ht="20.149999999999999" customHeight="1" x14ac:dyDescent="0.45">
      <c r="B32" s="11" t="s">
        <v>24</v>
      </c>
      <c r="C32" s="7"/>
      <c r="D32" s="7"/>
      <c r="E32" s="7"/>
      <c r="F32" s="7"/>
      <c r="G32" s="7"/>
      <c r="H32" s="7"/>
      <c r="I32" s="7"/>
      <c r="J32" s="150" t="s">
        <v>17</v>
      </c>
      <c r="K32" s="151">
        <v>7.0000000000000007E-2</v>
      </c>
      <c r="L32" s="47">
        <f>L31*K32</f>
        <v>11.760000000000002</v>
      </c>
    </row>
    <row r="33" spans="2:12" ht="20.149999999999999" customHeight="1" thickBot="1" x14ac:dyDescent="0.5">
      <c r="B33" s="11" t="s">
        <v>25</v>
      </c>
      <c r="C33" s="7"/>
      <c r="D33" s="7"/>
      <c r="E33" s="7"/>
      <c r="F33" s="7"/>
      <c r="G33" s="7"/>
      <c r="H33" s="7"/>
      <c r="I33" s="7"/>
      <c r="J33" s="488" t="s">
        <v>23</v>
      </c>
      <c r="K33" s="489"/>
      <c r="L33" s="48">
        <f>L31+L32</f>
        <v>179.76</v>
      </c>
    </row>
    <row r="34" spans="2:12" ht="20.149999999999999" customHeight="1" x14ac:dyDescent="0.45">
      <c r="B34" s="11" t="s">
        <v>26</v>
      </c>
      <c r="C34" s="7"/>
      <c r="D34" s="7"/>
      <c r="E34" s="7"/>
      <c r="F34" s="7"/>
      <c r="G34" s="7"/>
      <c r="H34" s="7"/>
      <c r="I34" s="7"/>
      <c r="L34" s="42"/>
    </row>
    <row r="35" spans="2:12" ht="20.149999999999999" customHeight="1" x14ac:dyDescent="0.45">
      <c r="B35" s="41"/>
      <c r="L35" s="42"/>
    </row>
    <row r="36" spans="2:12" ht="20.149999999999999" customHeight="1" x14ac:dyDescent="0.45">
      <c r="B36" s="41"/>
      <c r="L36" s="42"/>
    </row>
    <row r="37" spans="2:12" ht="20.149999999999999" customHeight="1" x14ac:dyDescent="0.45">
      <c r="B37" s="41"/>
      <c r="L37" s="42"/>
    </row>
    <row r="38" spans="2:12" ht="20.149999999999999" customHeight="1" x14ac:dyDescent="0.45">
      <c r="B38" s="41"/>
      <c r="L38" s="42"/>
    </row>
    <row r="39" spans="2:12" ht="20.149999999999999" customHeight="1" x14ac:dyDescent="0.45">
      <c r="B39" s="49"/>
      <c r="C39" s="50"/>
      <c r="D39" s="50"/>
      <c r="J39" s="106"/>
      <c r="K39" s="50"/>
      <c r="L39" s="51"/>
    </row>
    <row r="40" spans="2:12" ht="20.149999999999999" customHeight="1" x14ac:dyDescent="0.45">
      <c r="B40" s="41" t="s">
        <v>27</v>
      </c>
      <c r="J40" s="102" t="s">
        <v>28</v>
      </c>
      <c r="L40" s="42"/>
    </row>
    <row r="41" spans="2:12" ht="19" thickBot="1" x14ac:dyDescent="0.5">
      <c r="B41" s="52"/>
      <c r="C41" s="53"/>
      <c r="D41" s="53"/>
      <c r="E41" s="53"/>
      <c r="F41" s="53"/>
      <c r="G41" s="53"/>
      <c r="H41" s="53"/>
      <c r="I41" s="53"/>
      <c r="J41" s="107"/>
      <c r="K41" s="53"/>
      <c r="L41" s="54"/>
    </row>
  </sheetData>
  <mergeCells count="38">
    <mergeCell ref="B15:D15"/>
    <mergeCell ref="B1:L8"/>
    <mergeCell ref="D19:F19"/>
    <mergeCell ref="I19:J19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D17:F17"/>
    <mergeCell ref="I22:J22"/>
    <mergeCell ref="I23:J23"/>
    <mergeCell ref="D20:F20"/>
    <mergeCell ref="D21:F21"/>
    <mergeCell ref="D22:F22"/>
    <mergeCell ref="I17:J17"/>
    <mergeCell ref="D18:F18"/>
    <mergeCell ref="I18:J18"/>
    <mergeCell ref="I20:J20"/>
    <mergeCell ref="I21:J21"/>
    <mergeCell ref="J33:K33"/>
    <mergeCell ref="D26:F26"/>
    <mergeCell ref="I26:J26"/>
    <mergeCell ref="D27:F27"/>
    <mergeCell ref="I27:J27"/>
    <mergeCell ref="J29:K29"/>
    <mergeCell ref="J31:K31"/>
    <mergeCell ref="I25:J25"/>
    <mergeCell ref="D23:F23"/>
    <mergeCell ref="D24:F24"/>
    <mergeCell ref="I24:J24"/>
    <mergeCell ref="D25:F25"/>
  </mergeCells>
  <conditionalFormatting sqref="C19">
    <cfRule type="duplicateValues" dxfId="10" priority="1"/>
  </conditionalFormatting>
  <conditionalFormatting sqref="C18 C20:C27">
    <cfRule type="duplicateValues" dxfId="9" priority="843"/>
  </conditionalFormatting>
  <pageMargins left="0.70866141732283472" right="0.31496062992125984" top="0.59055118110236227" bottom="0" header="0.31496062992125984" footer="0.31496062992125984"/>
  <pageSetup paperSize="9" scale="78" orientation="portrait" horizontalDpi="300" verticalDpi="300" r:id="rId1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239CC-97A2-46F8-B38C-A4EB616CA3C9}">
  <sheetPr codeName="Sheet107">
    <tabColor rgb="FF92D050"/>
    <pageSetUpPr fitToPage="1"/>
  </sheetPr>
  <dimension ref="B1:W41"/>
  <sheetViews>
    <sheetView topLeftCell="B1" workbookViewId="0">
      <selection activeCell="B1" sqref="B1:L41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20" style="24" customWidth="1"/>
    <col min="7" max="7" width="8.54296875" style="24" customWidth="1"/>
    <col min="8" max="8" width="15.81640625" style="24" customWidth="1"/>
    <col min="9" max="9" width="1.7265625" style="24" customWidth="1"/>
    <col min="10" max="10" width="13" style="102" customWidth="1"/>
    <col min="11" max="11" width="11" style="24" customWidth="1"/>
    <col min="12" max="12" width="12.54296875" style="24" customWidth="1"/>
    <col min="13" max="16384" width="12.54296875" style="24"/>
  </cols>
  <sheetData>
    <row r="1" spans="2:23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23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23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23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23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23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23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23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23" ht="19" thickBot="1" x14ac:dyDescent="0.5">
      <c r="B9" s="23"/>
    </row>
    <row r="10" spans="2:23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217</v>
      </c>
      <c r="J10" s="103" t="s">
        <v>29</v>
      </c>
      <c r="K10" s="452">
        <v>202209384</v>
      </c>
      <c r="L10" s="453"/>
    </row>
    <row r="11" spans="2:23" ht="20.149999999999999" customHeight="1" x14ac:dyDescent="0.45">
      <c r="B11" s="454" t="s">
        <v>2037</v>
      </c>
      <c r="C11" s="455"/>
      <c r="D11" s="456"/>
      <c r="E11" s="30"/>
      <c r="F11" s="457" t="str">
        <f>VLOOKUP(H10,'Delivery Location'!A$4:N$416,2,0)</f>
        <v xml:space="preserve">Koufu - Drink                                                 Block 768 Woodlands Ave 6                     #01-30/31 Singapore 730768                         </v>
      </c>
      <c r="G11" s="458"/>
      <c r="H11" s="459"/>
      <c r="J11" s="104" t="s">
        <v>11</v>
      </c>
      <c r="K11" s="466">
        <v>44828</v>
      </c>
      <c r="L11" s="467"/>
    </row>
    <row r="12" spans="2:23" ht="20.149999999999999" customHeight="1" x14ac:dyDescent="0.45">
      <c r="B12" s="468" t="s">
        <v>2139</v>
      </c>
      <c r="C12" s="469"/>
      <c r="D12" s="470"/>
      <c r="E12" s="30"/>
      <c r="F12" s="460"/>
      <c r="G12" s="461"/>
      <c r="H12" s="462"/>
      <c r="J12" s="104" t="s">
        <v>171</v>
      </c>
      <c r="K12" s="471" t="s">
        <v>533</v>
      </c>
      <c r="L12" s="472"/>
      <c r="R12" s="24">
        <v>500</v>
      </c>
      <c r="S12" s="24">
        <f>5.4/3</f>
        <v>1.8</v>
      </c>
      <c r="T12" s="24">
        <f>S12/1000*R12</f>
        <v>0.9</v>
      </c>
    </row>
    <row r="13" spans="2:23" ht="20.149999999999999" customHeight="1" x14ac:dyDescent="0.45">
      <c r="B13" s="468" t="s">
        <v>2024</v>
      </c>
      <c r="C13" s="469"/>
      <c r="D13" s="470"/>
      <c r="E13" s="30"/>
      <c r="F13" s="460"/>
      <c r="G13" s="461"/>
      <c r="H13" s="462"/>
      <c r="J13" s="104" t="s">
        <v>12</v>
      </c>
      <c r="K13" s="471" t="s">
        <v>14</v>
      </c>
      <c r="L13" s="472"/>
      <c r="R13" s="24">
        <v>500</v>
      </c>
      <c r="S13" s="24">
        <f>21.5/25</f>
        <v>0.86</v>
      </c>
      <c r="T13" s="24">
        <f>S13/1000*R13</f>
        <v>0.43</v>
      </c>
    </row>
    <row r="14" spans="2:23" ht="20.149999999999999" customHeight="1" x14ac:dyDescent="0.45">
      <c r="B14" s="468" t="s">
        <v>2025</v>
      </c>
      <c r="C14" s="469"/>
      <c r="D14" s="470"/>
      <c r="E14" s="30"/>
      <c r="F14" s="460"/>
      <c r="G14" s="461"/>
      <c r="H14" s="462"/>
      <c r="J14" s="104" t="s">
        <v>30</v>
      </c>
      <c r="K14" s="471" t="s">
        <v>16</v>
      </c>
      <c r="L14" s="472"/>
      <c r="R14" s="24">
        <v>900</v>
      </c>
    </row>
    <row r="15" spans="2:23" ht="18" customHeight="1" thickBot="1" x14ac:dyDescent="0.5">
      <c r="B15" s="463" t="s">
        <v>2026</v>
      </c>
      <c r="C15" s="464"/>
      <c r="D15" s="465"/>
      <c r="E15" s="26"/>
      <c r="F15" s="463"/>
      <c r="G15" s="464"/>
      <c r="H15" s="465"/>
      <c r="J15" s="105" t="s">
        <v>13</v>
      </c>
      <c r="K15" s="476"/>
      <c r="L15" s="477"/>
      <c r="S15" s="24">
        <v>1500</v>
      </c>
      <c r="T15" s="24">
        <f>SUM(T12:T14)*1.2</f>
        <v>1.5960000000000001</v>
      </c>
      <c r="U15" s="24">
        <f>T15/S15*4000</f>
        <v>4.2560000000000002</v>
      </c>
      <c r="V15" s="24">
        <f>U15+1</f>
        <v>5.2560000000000002</v>
      </c>
      <c r="W15" s="24">
        <f>V15*1.4</f>
        <v>7.3583999999999996</v>
      </c>
    </row>
    <row r="16" spans="2:23" ht="19" thickBot="1" x14ac:dyDescent="0.5">
      <c r="J16" s="68"/>
    </row>
    <row r="17" spans="2:16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16" ht="20.149999999999999" customHeight="1" x14ac:dyDescent="0.45">
      <c r="B18" s="34"/>
      <c r="C18" s="22" t="s">
        <v>1794</v>
      </c>
      <c r="D18" s="508" t="str">
        <f>VLOOKUP(C18,'Sales Master'!B$3:D$499,2,)</f>
        <v>Pandan Leaf 班兰叶</v>
      </c>
      <c r="E18" s="508"/>
      <c r="F18" s="508"/>
      <c r="G18" s="22">
        <v>1</v>
      </c>
      <c r="H18" s="389" t="str">
        <f>VLOOKUP(C18,'Sales Master'!B$3:F$3183,5,0)</f>
        <v>1 kg</v>
      </c>
      <c r="I18" s="482" t="str">
        <f>VLOOKUP(C18,'Sales Master'!B$3:E$3183,4,0)</f>
        <v>-</v>
      </c>
      <c r="J18" s="482"/>
      <c r="K18" s="35">
        <f>VLOOKUP(C18,'Sales Master'!B$3:J$499,9,0)</f>
        <v>1.8</v>
      </c>
      <c r="L18" s="77">
        <f>K18*G18</f>
        <v>1.8</v>
      </c>
      <c r="M18" s="78"/>
      <c r="N18" s="225">
        <f>VLOOKUP(C18,'Sales Master'!$B$3:$DA$3038,104,0)</f>
        <v>1</v>
      </c>
      <c r="O18" s="225">
        <f>K18-N18</f>
        <v>0.8</v>
      </c>
      <c r="P18" s="225">
        <f>O18*G18</f>
        <v>0.8</v>
      </c>
    </row>
    <row r="19" spans="2:16" ht="20.149999999999999" customHeight="1" x14ac:dyDescent="0.45">
      <c r="B19" s="34"/>
      <c r="C19" s="22"/>
      <c r="D19" s="508"/>
      <c r="E19" s="508"/>
      <c r="F19" s="508"/>
      <c r="G19" s="22"/>
      <c r="H19" s="389"/>
      <c r="I19" s="512"/>
      <c r="J19" s="512"/>
      <c r="K19" s="35"/>
      <c r="L19" s="77"/>
      <c r="M19" s="78"/>
      <c r="N19" s="225"/>
      <c r="O19" s="225"/>
      <c r="P19" s="225"/>
    </row>
    <row r="20" spans="2:16" ht="20.149999999999999" customHeight="1" x14ac:dyDescent="0.45">
      <c r="B20" s="34"/>
      <c r="C20" s="22"/>
      <c r="D20" s="508"/>
      <c r="E20" s="508"/>
      <c r="F20" s="508"/>
      <c r="G20" s="22"/>
      <c r="H20" s="68"/>
      <c r="I20" s="481"/>
      <c r="J20" s="481"/>
      <c r="K20" s="35"/>
      <c r="L20" s="77"/>
      <c r="M20" s="78"/>
      <c r="N20" s="225"/>
      <c r="O20" s="225"/>
      <c r="P20" s="225"/>
    </row>
    <row r="21" spans="2:16" ht="20.149999999999999" customHeight="1" x14ac:dyDescent="0.45">
      <c r="B21" s="34"/>
      <c r="C21" s="22"/>
      <c r="G21" s="22"/>
      <c r="H21" s="68"/>
      <c r="I21" s="481"/>
      <c r="J21" s="481"/>
      <c r="K21" s="35"/>
      <c r="L21" s="77"/>
      <c r="M21" s="78"/>
    </row>
    <row r="22" spans="2:16" ht="20.149999999999999" customHeight="1" x14ac:dyDescent="0.45">
      <c r="B22" s="34"/>
      <c r="C22" s="22"/>
      <c r="G22" s="22"/>
      <c r="H22" s="68"/>
      <c r="I22" s="481"/>
      <c r="J22" s="481"/>
      <c r="K22" s="35"/>
      <c r="L22" s="77"/>
      <c r="M22" s="78"/>
    </row>
    <row r="23" spans="2:16" ht="20.149999999999999" customHeight="1" x14ac:dyDescent="0.45">
      <c r="B23" s="34"/>
      <c r="C23" s="22"/>
      <c r="G23" s="22"/>
      <c r="H23" s="68"/>
      <c r="I23" s="481"/>
      <c r="J23" s="481"/>
      <c r="K23" s="35"/>
      <c r="L23" s="77"/>
      <c r="M23" s="78"/>
    </row>
    <row r="24" spans="2:16" ht="20.149999999999999" customHeight="1" x14ac:dyDescent="0.45">
      <c r="B24" s="34"/>
      <c r="C24" s="22"/>
      <c r="G24" s="22"/>
      <c r="H24" s="68"/>
      <c r="I24" s="481"/>
      <c r="J24" s="481"/>
      <c r="K24" s="35"/>
      <c r="L24" s="77"/>
      <c r="M24" s="78"/>
    </row>
    <row r="25" spans="2:16" ht="20.149999999999999" customHeight="1" x14ac:dyDescent="0.45">
      <c r="B25" s="34"/>
      <c r="C25" s="22"/>
      <c r="G25" s="22"/>
      <c r="H25" s="68"/>
      <c r="I25" s="481"/>
      <c r="J25" s="481"/>
      <c r="K25" s="35"/>
      <c r="L25" s="77"/>
      <c r="M25" s="78"/>
    </row>
    <row r="26" spans="2:16" ht="20.149999999999999" customHeight="1" x14ac:dyDescent="0.45">
      <c r="B26" s="34"/>
      <c r="C26" s="22"/>
      <c r="D26" s="508"/>
      <c r="E26" s="508"/>
      <c r="F26" s="508"/>
      <c r="G26" s="22"/>
      <c r="H26" s="68"/>
      <c r="I26" s="481"/>
      <c r="J26" s="481"/>
      <c r="K26" s="35"/>
      <c r="L26" s="36"/>
    </row>
    <row r="27" spans="2:16" ht="20.149999999999999" customHeight="1" thickBot="1" x14ac:dyDescent="0.5">
      <c r="B27" s="37"/>
      <c r="C27" s="38"/>
      <c r="D27" s="509"/>
      <c r="E27" s="509"/>
      <c r="F27" s="509"/>
      <c r="G27" s="38"/>
      <c r="H27" s="69"/>
      <c r="I27" s="557"/>
      <c r="J27" s="557"/>
      <c r="K27" s="39"/>
      <c r="L27" s="40"/>
    </row>
    <row r="28" spans="2:16" ht="20.149999999999999" customHeight="1" thickBot="1" x14ac:dyDescent="0.5">
      <c r="B28" s="41"/>
      <c r="L28" s="42"/>
    </row>
    <row r="29" spans="2:16" ht="20.149999999999999" customHeight="1" x14ac:dyDescent="0.45">
      <c r="B29" s="11" t="s">
        <v>18</v>
      </c>
      <c r="C29" s="7"/>
      <c r="D29" s="7"/>
      <c r="E29" s="7"/>
      <c r="F29" s="7"/>
      <c r="G29" s="7"/>
      <c r="H29" s="7"/>
      <c r="I29" s="7"/>
      <c r="J29" s="510" t="s">
        <v>15</v>
      </c>
      <c r="K29" s="511"/>
      <c r="L29" s="43">
        <f>SUM(L17:L26)</f>
        <v>1.8</v>
      </c>
      <c r="M29" s="76">
        <f>SUM(P18:P26)-L29*0.02</f>
        <v>0.76400000000000001</v>
      </c>
      <c r="N29" s="201">
        <f>M29/L29</f>
        <v>0.42444444444444446</v>
      </c>
    </row>
    <row r="30" spans="2:16" ht="20.149999999999999" customHeight="1" x14ac:dyDescent="0.45">
      <c r="B30" s="11" t="s">
        <v>19</v>
      </c>
      <c r="C30" s="7"/>
      <c r="D30" s="7"/>
      <c r="E30" s="7"/>
      <c r="F30" s="7"/>
      <c r="G30" s="7"/>
      <c r="H30" s="7"/>
      <c r="I30" s="7"/>
      <c r="J30" s="44" t="s">
        <v>22</v>
      </c>
      <c r="K30" s="45"/>
      <c r="L30" s="46">
        <f>L29*K30</f>
        <v>0</v>
      </c>
    </row>
    <row r="31" spans="2:16" ht="20.149999999999999" customHeight="1" x14ac:dyDescent="0.45">
      <c r="B31" s="11" t="s">
        <v>20</v>
      </c>
      <c r="C31" s="7"/>
      <c r="D31" s="7"/>
      <c r="E31" s="7"/>
      <c r="F31" s="7"/>
      <c r="G31" s="7"/>
      <c r="H31" s="7"/>
      <c r="I31" s="7"/>
      <c r="J31" s="486" t="s">
        <v>21</v>
      </c>
      <c r="K31" s="487"/>
      <c r="L31" s="46">
        <f>L29-L30</f>
        <v>1.8</v>
      </c>
    </row>
    <row r="32" spans="2:16" ht="20.149999999999999" customHeight="1" x14ac:dyDescent="0.45">
      <c r="B32" s="11" t="s">
        <v>24</v>
      </c>
      <c r="C32" s="7"/>
      <c r="D32" s="7"/>
      <c r="E32" s="7"/>
      <c r="F32" s="7"/>
      <c r="G32" s="7"/>
      <c r="H32" s="7"/>
      <c r="I32" s="7"/>
      <c r="J32" s="150" t="s">
        <v>17</v>
      </c>
      <c r="K32" s="151">
        <v>7.0000000000000007E-2</v>
      </c>
      <c r="L32" s="47">
        <f>L31*K32</f>
        <v>0.12600000000000003</v>
      </c>
    </row>
    <row r="33" spans="2:12" ht="20.149999999999999" customHeight="1" thickBot="1" x14ac:dyDescent="0.5">
      <c r="B33" s="11" t="s">
        <v>25</v>
      </c>
      <c r="C33" s="7"/>
      <c r="D33" s="7"/>
      <c r="E33" s="7"/>
      <c r="F33" s="7"/>
      <c r="G33" s="7"/>
      <c r="H33" s="7"/>
      <c r="I33" s="7"/>
      <c r="J33" s="488" t="s">
        <v>23</v>
      </c>
      <c r="K33" s="489"/>
      <c r="L33" s="48">
        <f>L31+L32</f>
        <v>1.9260000000000002</v>
      </c>
    </row>
    <row r="34" spans="2:12" ht="20.149999999999999" customHeight="1" x14ac:dyDescent="0.45">
      <c r="B34" s="11" t="s">
        <v>26</v>
      </c>
      <c r="C34" s="7"/>
      <c r="D34" s="7"/>
      <c r="E34" s="7"/>
      <c r="F34" s="7"/>
      <c r="G34" s="7"/>
      <c r="H34" s="7"/>
      <c r="I34" s="7"/>
      <c r="L34" s="42"/>
    </row>
    <row r="35" spans="2:12" ht="20.149999999999999" customHeight="1" x14ac:dyDescent="0.45">
      <c r="B35" s="41"/>
      <c r="L35" s="42"/>
    </row>
    <row r="36" spans="2:12" ht="20.149999999999999" customHeight="1" x14ac:dyDescent="0.45">
      <c r="B36" s="41"/>
      <c r="L36" s="42"/>
    </row>
    <row r="37" spans="2:12" ht="20.149999999999999" customHeight="1" x14ac:dyDescent="0.45">
      <c r="B37" s="41"/>
      <c r="L37" s="42"/>
    </row>
    <row r="38" spans="2:12" ht="20.149999999999999" customHeight="1" x14ac:dyDescent="0.45">
      <c r="B38" s="41"/>
      <c r="L38" s="42"/>
    </row>
    <row r="39" spans="2:12" ht="20.149999999999999" customHeight="1" x14ac:dyDescent="0.45">
      <c r="B39" s="49"/>
      <c r="C39" s="50"/>
      <c r="D39" s="50"/>
      <c r="J39" s="106"/>
      <c r="K39" s="50"/>
      <c r="L39" s="51"/>
    </row>
    <row r="40" spans="2:12" ht="20.149999999999999" customHeight="1" x14ac:dyDescent="0.45">
      <c r="B40" s="41" t="s">
        <v>27</v>
      </c>
      <c r="J40" s="102" t="s">
        <v>28</v>
      </c>
      <c r="L40" s="42"/>
    </row>
    <row r="41" spans="2:12" ht="19" thickBot="1" x14ac:dyDescent="0.5">
      <c r="B41" s="52"/>
      <c r="C41" s="53"/>
      <c r="D41" s="53"/>
      <c r="E41" s="53"/>
      <c r="F41" s="53"/>
      <c r="G41" s="53"/>
      <c r="H41" s="53"/>
      <c r="I41" s="53"/>
      <c r="J41" s="107"/>
      <c r="K41" s="53"/>
      <c r="L41" s="54"/>
    </row>
  </sheetData>
  <mergeCells count="33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  <mergeCell ref="D17:F17"/>
    <mergeCell ref="I17:J17"/>
    <mergeCell ref="D18:F18"/>
    <mergeCell ref="I18:J18"/>
    <mergeCell ref="I19:J19"/>
    <mergeCell ref="I25:J25"/>
    <mergeCell ref="D19:F19"/>
    <mergeCell ref="J33:K33"/>
    <mergeCell ref="D26:F26"/>
    <mergeCell ref="I26:J26"/>
    <mergeCell ref="D27:F27"/>
    <mergeCell ref="I27:J27"/>
    <mergeCell ref="J29:K29"/>
    <mergeCell ref="J31:K31"/>
    <mergeCell ref="I20:J20"/>
    <mergeCell ref="I21:J21"/>
    <mergeCell ref="I22:J22"/>
    <mergeCell ref="I23:J23"/>
    <mergeCell ref="I24:J24"/>
    <mergeCell ref="D20:F20"/>
  </mergeCells>
  <conditionalFormatting sqref="C21:C27 C18">
    <cfRule type="duplicateValues" dxfId="8" priority="777"/>
  </conditionalFormatting>
  <conditionalFormatting sqref="C19:C20">
    <cfRule type="duplicateValues" dxfId="7" priority="1"/>
  </conditionalFormatting>
  <pageMargins left="0.70866141732283472" right="0.31496062992125984" top="0.59055118110236227" bottom="0" header="0.31496062992125984" footer="0.31496062992125984"/>
  <pageSetup paperSize="9" scale="77" orientation="portrait" horizontalDpi="300" verticalDpi="300" r:id="rId1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6BECAA-078E-4B2E-9D81-9AAD8ABF4700}">
  <sheetPr codeName="Sheet121">
    <tabColor rgb="FF92D050"/>
    <pageSetUpPr fitToPage="1"/>
  </sheetPr>
  <dimension ref="B1:W51"/>
  <sheetViews>
    <sheetView topLeftCell="B18" workbookViewId="0">
      <selection activeCell="G27" sqref="G27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7.453125" style="24" customWidth="1"/>
    <col min="7" max="7" width="8.54296875" style="24" customWidth="1"/>
    <col min="8" max="8" width="15.54296875" style="24" customWidth="1"/>
    <col min="9" max="9" width="2.54296875" style="24" customWidth="1"/>
    <col min="10" max="10" width="15.54296875" style="24" customWidth="1"/>
    <col min="11" max="11" width="10.54296875" style="24" customWidth="1"/>
    <col min="12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696</v>
      </c>
      <c r="J10" s="29" t="s">
        <v>29</v>
      </c>
      <c r="K10" s="452">
        <v>202209414</v>
      </c>
      <c r="L10" s="453"/>
    </row>
    <row r="11" spans="2:12" ht="20.149999999999999" customHeight="1" x14ac:dyDescent="0.45">
      <c r="B11" s="454" t="s">
        <v>702</v>
      </c>
      <c r="C11" s="455"/>
      <c r="D11" s="456"/>
      <c r="E11" s="30"/>
      <c r="F11" s="457" t="str">
        <f>VLOOKUP(H10,'Delivery Location'!A$4:N$416,2,0)</f>
        <v>小福                                                            SPH. 1000 Toa Payoh North. #07 Singapore 318994</v>
      </c>
      <c r="G11" s="458"/>
      <c r="H11" s="459"/>
      <c r="J11" s="31" t="s">
        <v>11</v>
      </c>
      <c r="K11" s="466">
        <v>44831</v>
      </c>
      <c r="L11" s="467"/>
    </row>
    <row r="12" spans="2:12" ht="20.149999999999999" customHeight="1" x14ac:dyDescent="0.45">
      <c r="B12" s="468" t="s">
        <v>700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533</v>
      </c>
      <c r="L12" s="472"/>
    </row>
    <row r="13" spans="2:12" ht="20.149999999999999" customHeight="1" x14ac:dyDescent="0.45">
      <c r="B13" s="468" t="s">
        <v>699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688</v>
      </c>
      <c r="L13" s="472"/>
    </row>
    <row r="14" spans="2:12" ht="20.149999999999999" customHeight="1" x14ac:dyDescent="0.45">
      <c r="B14" s="468" t="s">
        <v>703</v>
      </c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552"/>
      <c r="C15" s="474"/>
      <c r="D15" s="475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23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23" ht="20.149999999999999" customHeight="1" x14ac:dyDescent="0.45">
      <c r="B18" s="70"/>
      <c r="C18" s="22" t="s">
        <v>1566</v>
      </c>
      <c r="D18" s="508" t="str">
        <f>VLOOKUP(C18,'Sales Master'!B$3:D$699,2,)</f>
        <v>Chin Chow  仙草</v>
      </c>
      <c r="E18" s="508"/>
      <c r="F18" s="508"/>
      <c r="G18" s="90">
        <v>6</v>
      </c>
      <c r="H18" s="389" t="str">
        <f>VLOOKUP(C18,'Sales Master'!$B$3:$F$3247,5,0)</f>
        <v>5KGS/PKT</v>
      </c>
      <c r="I18" s="512" t="str">
        <f>VLOOKUP(C18,'Sales Master'!$B$3:$E$3247,4,0)</f>
        <v>TSM</v>
      </c>
      <c r="J18" s="512"/>
      <c r="K18" s="98">
        <f>VLOOKUP(C18,'Sales Master'!B$3:AF$581,31,0)</f>
        <v>5</v>
      </c>
      <c r="L18" s="99">
        <f t="shared" ref="L18:L22" si="0">K18*G18</f>
        <v>30</v>
      </c>
      <c r="M18" s="78"/>
      <c r="N18" s="225">
        <f>VLOOKUP(C18,'Sales Master'!$B$3:$DA$3038,104,0)</f>
        <v>4</v>
      </c>
      <c r="O18" s="225">
        <f t="shared" ref="O18:O22" si="1">K18-N18</f>
        <v>1</v>
      </c>
      <c r="P18" s="225">
        <f t="shared" ref="P18:P22" si="2">O18*G18</f>
        <v>6</v>
      </c>
      <c r="R18" s="24">
        <v>1</v>
      </c>
      <c r="S18" s="24" t="s">
        <v>47</v>
      </c>
      <c r="T18" s="24" t="s">
        <v>486</v>
      </c>
      <c r="V18" s="24">
        <v>42</v>
      </c>
      <c r="W18" s="24">
        <v>42</v>
      </c>
    </row>
    <row r="19" spans="2:23" ht="20.149999999999999" customHeight="1" x14ac:dyDescent="0.45">
      <c r="B19" s="70"/>
      <c r="C19" s="22" t="s">
        <v>1574</v>
      </c>
      <c r="D19" s="508" t="str">
        <f>VLOOKUP(C19,'Sales Master'!B$3:D$699,2,)</f>
        <v>Red Bean红豆</v>
      </c>
      <c r="E19" s="508"/>
      <c r="F19" s="508"/>
      <c r="G19" s="90">
        <v>1</v>
      </c>
      <c r="H19" s="389" t="str">
        <f>VLOOKUP(C19,'Sales Master'!$B$3:$F$3247,5,0)</f>
        <v>3 kgs</v>
      </c>
      <c r="I19" s="512" t="str">
        <f>VLOOKUP(C19,'Sales Master'!$B$3:$E$3247,4,0)</f>
        <v>-</v>
      </c>
      <c r="J19" s="512"/>
      <c r="K19" s="98">
        <v>13.5</v>
      </c>
      <c r="L19" s="99">
        <f t="shared" si="0"/>
        <v>13.5</v>
      </c>
      <c r="M19" s="78"/>
      <c r="N19" s="225">
        <f>VLOOKUP(C19,'Sales Master'!$B$3:$DA$3038,104,0)</f>
        <v>10.199999999999999</v>
      </c>
      <c r="O19" s="225">
        <f t="shared" si="1"/>
        <v>3.3000000000000007</v>
      </c>
      <c r="P19" s="225">
        <f t="shared" si="2"/>
        <v>3.3000000000000007</v>
      </c>
      <c r="R19" s="24">
        <v>1</v>
      </c>
      <c r="S19" s="24" t="s">
        <v>36</v>
      </c>
      <c r="T19" s="24" t="s">
        <v>71</v>
      </c>
      <c r="V19" s="24">
        <v>6</v>
      </c>
      <c r="W19" s="24">
        <v>6</v>
      </c>
    </row>
    <row r="20" spans="2:23" ht="20.149999999999999" customHeight="1" x14ac:dyDescent="0.45">
      <c r="B20" s="70"/>
      <c r="C20" s="22" t="s">
        <v>1586</v>
      </c>
      <c r="D20" s="508" t="str">
        <f>VLOOKUP(C20,'Sales Master'!B$3:D$699,2,)</f>
        <v>Green Bean 绿豆</v>
      </c>
      <c r="E20" s="508"/>
      <c r="F20" s="508"/>
      <c r="G20" s="90">
        <v>1</v>
      </c>
      <c r="H20" s="389" t="str">
        <f>VLOOKUP(C20,'Sales Master'!$B$3:$F$3247,5,0)</f>
        <v>2.5 KGS</v>
      </c>
      <c r="I20" s="512" t="str">
        <f>VLOOKUP(C20,'Sales Master'!$B$3:$E$3247,4,0)</f>
        <v>-</v>
      </c>
      <c r="J20" s="512"/>
      <c r="K20" s="98">
        <v>6.2</v>
      </c>
      <c r="L20" s="99">
        <f t="shared" si="0"/>
        <v>6.2</v>
      </c>
      <c r="M20" s="78"/>
      <c r="N20" s="225">
        <f>VLOOKUP(C20,'Sales Master'!$B$3:$DA$3038,104,0)</f>
        <v>6.58</v>
      </c>
      <c r="O20" s="225">
        <f t="shared" si="1"/>
        <v>-0.37999999999999989</v>
      </c>
      <c r="P20" s="225">
        <f t="shared" si="2"/>
        <v>-0.37999999999999989</v>
      </c>
    </row>
    <row r="21" spans="2:23" ht="20.149999999999999" customHeight="1" x14ac:dyDescent="0.45">
      <c r="B21" s="70"/>
      <c r="C21" s="22" t="s">
        <v>1608</v>
      </c>
      <c r="D21" s="508" t="str">
        <f>VLOOKUP(C21,'Sales Master'!B$3:D$699,2,)</f>
        <v>Pearl Barley 薏米</v>
      </c>
      <c r="E21" s="508"/>
      <c r="F21" s="508"/>
      <c r="G21" s="90">
        <v>1</v>
      </c>
      <c r="H21" s="389" t="str">
        <f>VLOOKUP(C21,'Sales Master'!$B$3:$F$3247,5,0)</f>
        <v>5 kgs</v>
      </c>
      <c r="I21" s="512" t="str">
        <f>VLOOKUP(C21,'Sales Master'!$B$3:$E$3247,4,0)</f>
        <v>-</v>
      </c>
      <c r="J21" s="512"/>
      <c r="K21" s="98">
        <f>VLOOKUP(C21,'Sales Master'!B$3:AF$581,31,0)</f>
        <v>10.5</v>
      </c>
      <c r="L21" s="99">
        <f t="shared" si="0"/>
        <v>10.5</v>
      </c>
      <c r="M21" s="78"/>
      <c r="N21" s="225">
        <f>VLOOKUP(C21,'Sales Master'!$B$3:$DA$3038,104,0)</f>
        <v>6.8000000000000007</v>
      </c>
      <c r="O21" s="225">
        <f t="shared" si="1"/>
        <v>3.6999999999999993</v>
      </c>
      <c r="P21" s="225">
        <f t="shared" si="2"/>
        <v>3.6999999999999993</v>
      </c>
    </row>
    <row r="22" spans="2:23" ht="20.149999999999999" customHeight="1" x14ac:dyDescent="0.45">
      <c r="B22" s="70"/>
      <c r="C22" s="22" t="s">
        <v>1789</v>
      </c>
      <c r="D22" s="508" t="str">
        <f>VLOOKUP(C22,'Sales Master'!B$3:D$699,2,)</f>
        <v>Sweet Potato 番薯</v>
      </c>
      <c r="E22" s="508"/>
      <c r="F22" s="508"/>
      <c r="G22" s="430">
        <v>10</v>
      </c>
      <c r="H22" s="431" t="str">
        <f>VLOOKUP(C22,'Sales Master'!$B$3:$F$3247,5,0)</f>
        <v>1 KG</v>
      </c>
      <c r="I22" s="512" t="str">
        <f>VLOOKUP(C22,'Sales Master'!$B$3:$E$3247,4,0)</f>
        <v>Malaysia</v>
      </c>
      <c r="J22" s="512"/>
      <c r="K22" s="98">
        <f>VLOOKUP(C22,'Sales Master'!B$3:AF$581,31,0)</f>
        <v>2.5</v>
      </c>
      <c r="L22" s="99">
        <f t="shared" si="0"/>
        <v>25</v>
      </c>
      <c r="M22" s="78"/>
      <c r="N22" s="225">
        <f>VLOOKUP(C22,'Sales Master'!$B$3:$DA$3038,104,0)</f>
        <v>1.8666666666666665</v>
      </c>
      <c r="O22" s="225">
        <f t="shared" si="1"/>
        <v>0.63333333333333353</v>
      </c>
      <c r="P22" s="225">
        <f t="shared" si="2"/>
        <v>6.3333333333333357</v>
      </c>
    </row>
    <row r="23" spans="2:23" ht="20.149999999999999" customHeight="1" x14ac:dyDescent="0.45">
      <c r="B23" s="70"/>
      <c r="C23" s="22" t="s">
        <v>1794</v>
      </c>
      <c r="D23" s="508" t="str">
        <f>VLOOKUP(C23,'Sales Master'!B$3:D$699,2,)</f>
        <v>Pandan Leaf 班兰叶</v>
      </c>
      <c r="E23" s="508"/>
      <c r="F23" s="508"/>
      <c r="G23" s="90">
        <v>1</v>
      </c>
      <c r="H23" s="389" t="str">
        <f>VLOOKUP(C23,'Sales Master'!$B$3:$F$3247,5,0)</f>
        <v>1 kg</v>
      </c>
      <c r="I23" s="512" t="str">
        <f>VLOOKUP(C23,'Sales Master'!$B$3:$E$3247,4,0)</f>
        <v>-</v>
      </c>
      <c r="J23" s="512"/>
      <c r="K23" s="98">
        <f>VLOOKUP(C23,'Sales Master'!B$3:AF$581,31,0)</f>
        <v>1.8</v>
      </c>
      <c r="L23" s="99">
        <f t="shared" ref="L23" si="3">K23*G23</f>
        <v>1.8</v>
      </c>
      <c r="M23" s="78"/>
      <c r="N23" s="225">
        <f>VLOOKUP(C23,'Sales Master'!$B$3:$DA$3038,104,0)</f>
        <v>1</v>
      </c>
      <c r="O23" s="225">
        <f t="shared" ref="O23" si="4">K23-N23</f>
        <v>0.8</v>
      </c>
      <c r="P23" s="225">
        <f t="shared" ref="P23" si="5">O23*G23</f>
        <v>0.8</v>
      </c>
    </row>
    <row r="24" spans="2:23" ht="20.149999999999999" customHeight="1" x14ac:dyDescent="0.45">
      <c r="B24" s="70"/>
      <c r="C24" s="22" t="s">
        <v>1599</v>
      </c>
      <c r="D24" s="508" t="str">
        <f>VLOOKUP(C24,'Sales Master'!B$3:D$699,2,)</f>
        <v>Black Glutinous Rice 黑糯米</v>
      </c>
      <c r="E24" s="508"/>
      <c r="F24" s="508"/>
      <c r="G24" s="90">
        <v>1</v>
      </c>
      <c r="H24" s="389" t="str">
        <f>VLOOKUP(C24,'Sales Master'!$B$3:$F$3247,5,0)</f>
        <v>5 kgs</v>
      </c>
      <c r="I24" s="512" t="str">
        <f>VLOOKUP(C24,'Sales Master'!$B$3:$E$3247,4,0)</f>
        <v>-</v>
      </c>
      <c r="J24" s="512"/>
      <c r="K24" s="98">
        <f>VLOOKUP(C24,'Sales Master'!B$3:AF$581,31,0)</f>
        <v>18</v>
      </c>
      <c r="L24" s="99">
        <f t="shared" ref="L24" si="6">K24*G24</f>
        <v>18</v>
      </c>
      <c r="M24" s="78"/>
      <c r="N24" s="225">
        <f>VLOOKUP(C24,'Sales Master'!$B$3:$DA$3038,104,0)</f>
        <v>12</v>
      </c>
      <c r="O24" s="225">
        <f t="shared" ref="O24" si="7">K24-N24</f>
        <v>6</v>
      </c>
      <c r="P24" s="225">
        <f t="shared" ref="P24" si="8">O24*G24</f>
        <v>6</v>
      </c>
    </row>
    <row r="25" spans="2:23" ht="20.149999999999999" customHeight="1" x14ac:dyDescent="0.45">
      <c r="B25" s="70"/>
      <c r="C25" s="22"/>
      <c r="D25" s="508"/>
      <c r="E25" s="508"/>
      <c r="F25" s="508"/>
      <c r="G25" s="90"/>
      <c r="H25" s="389"/>
      <c r="I25" s="512"/>
      <c r="J25" s="512"/>
      <c r="K25" s="98"/>
      <c r="L25" s="99"/>
      <c r="M25" s="78"/>
      <c r="N25" s="225"/>
      <c r="O25" s="225"/>
      <c r="P25" s="225"/>
    </row>
    <row r="26" spans="2:23" ht="20.149999999999999" customHeight="1" x14ac:dyDescent="0.45">
      <c r="B26" s="70"/>
      <c r="C26" s="22"/>
      <c r="D26" s="508"/>
      <c r="E26" s="508"/>
      <c r="F26" s="508"/>
      <c r="G26" s="90"/>
      <c r="H26" s="389"/>
      <c r="I26" s="512"/>
      <c r="J26" s="512"/>
      <c r="K26" s="98"/>
      <c r="L26" s="99"/>
      <c r="M26" s="78"/>
      <c r="N26" s="225"/>
      <c r="O26" s="225"/>
      <c r="P26" s="225"/>
    </row>
    <row r="27" spans="2:23" ht="20.149999999999999" customHeight="1" x14ac:dyDescent="0.45">
      <c r="B27" s="70"/>
      <c r="C27" s="22"/>
      <c r="G27" s="90"/>
      <c r="H27" s="389"/>
      <c r="I27" s="389"/>
      <c r="J27" s="389"/>
      <c r="K27" s="98"/>
      <c r="L27" s="99"/>
      <c r="M27" s="78"/>
      <c r="N27" s="225"/>
      <c r="O27" s="225"/>
      <c r="P27" s="225"/>
    </row>
    <row r="28" spans="2:23" ht="20.149999999999999" customHeight="1" x14ac:dyDescent="0.45">
      <c r="B28" s="70"/>
      <c r="C28" s="22"/>
      <c r="D28" s="508"/>
      <c r="E28" s="508"/>
      <c r="F28" s="508"/>
      <c r="G28" s="90"/>
      <c r="H28" s="389"/>
      <c r="I28" s="512"/>
      <c r="J28" s="512"/>
      <c r="K28" s="98"/>
      <c r="L28" s="99"/>
      <c r="M28" s="78"/>
      <c r="N28" s="225"/>
      <c r="O28" s="225"/>
      <c r="P28" s="225"/>
    </row>
    <row r="29" spans="2:23" ht="20.149999999999999" customHeight="1" x14ac:dyDescent="0.45">
      <c r="B29" s="70"/>
      <c r="C29" s="22"/>
      <c r="G29" s="90"/>
      <c r="H29" s="389"/>
      <c r="I29" s="389"/>
      <c r="J29" s="389"/>
      <c r="K29" s="98"/>
      <c r="L29" s="99"/>
      <c r="M29" s="78"/>
      <c r="N29" s="225"/>
      <c r="O29" s="225"/>
      <c r="P29" s="225"/>
    </row>
    <row r="30" spans="2:23" ht="20.149999999999999" customHeight="1" x14ac:dyDescent="0.45">
      <c r="B30" s="70"/>
      <c r="C30" s="603" t="s">
        <v>2283</v>
      </c>
      <c r="D30" s="603"/>
      <c r="G30" s="90"/>
      <c r="H30" s="68"/>
      <c r="I30" s="68"/>
      <c r="J30" s="68"/>
      <c r="K30" s="286"/>
      <c r="L30" s="99"/>
      <c r="M30" s="78"/>
      <c r="N30" s="416"/>
      <c r="O30" s="416"/>
      <c r="P30" s="416"/>
    </row>
    <row r="31" spans="2:23" ht="20.149999999999999" customHeight="1" x14ac:dyDescent="0.45">
      <c r="B31" s="70"/>
      <c r="C31" s="22" t="s">
        <v>1606</v>
      </c>
      <c r="D31" s="508" t="str">
        <f>VLOOKUP(C31,'Sales Master'!B$3:D$699,2,)</f>
        <v>White Wheat 大麦</v>
      </c>
      <c r="E31" s="508"/>
      <c r="F31" s="508"/>
      <c r="G31" s="90">
        <v>1</v>
      </c>
      <c r="H31" s="389" t="str">
        <f>VLOOKUP(C31,'Sales Master'!$B$3:$F$3247,5,0)</f>
        <v>10PKT/BAG</v>
      </c>
      <c r="I31" s="512" t="str">
        <f>VLOOKUP(C31,'Sales Master'!$B$3:$E$3247,4,0)</f>
        <v>-</v>
      </c>
      <c r="J31" s="512"/>
      <c r="K31" s="98">
        <v>10.5</v>
      </c>
      <c r="L31" s="99"/>
      <c r="M31" s="78"/>
      <c r="N31" s="416"/>
      <c r="O31" s="416"/>
      <c r="P31" s="416"/>
    </row>
    <row r="32" spans="2:23" ht="20.149999999999999" customHeight="1" x14ac:dyDescent="0.45">
      <c r="B32" s="70"/>
      <c r="C32" s="90" t="s">
        <v>1766</v>
      </c>
      <c r="D32" s="508" t="str">
        <f>VLOOKUP(C32,'Sales Master'!B$3:D$699,2,)</f>
        <v>Brown Sugar 黑糖</v>
      </c>
      <c r="E32" s="508"/>
      <c r="F32" s="508"/>
      <c r="G32" s="90">
        <v>1</v>
      </c>
      <c r="H32" s="389" t="str">
        <f>VLOOKUP(C32,'Sales Master'!$B$3:$F$3247,5,0)</f>
        <v>6 kgs</v>
      </c>
      <c r="I32" s="512" t="str">
        <f>VLOOKUP(C32,'Sales Master'!$B$3:$E$3247,4,0)</f>
        <v>Star</v>
      </c>
      <c r="J32" s="512"/>
      <c r="K32" s="98">
        <v>16.5</v>
      </c>
      <c r="L32" s="99"/>
      <c r="M32" s="78"/>
      <c r="N32" s="416"/>
      <c r="O32" s="416"/>
      <c r="P32" s="416"/>
    </row>
    <row r="33" spans="2:14" ht="20.149999999999999" customHeight="1" x14ac:dyDescent="0.45">
      <c r="B33" s="70"/>
      <c r="C33" s="22" t="s">
        <v>1572</v>
      </c>
      <c r="D33" s="508" t="str">
        <f>VLOOKUP(C33,'Sales Master'!B$3:D$699,2,)</f>
        <v>Red Bean红豆 (5.5 mm)</v>
      </c>
      <c r="E33" s="508"/>
      <c r="F33" s="508"/>
      <c r="G33" s="90">
        <v>1</v>
      </c>
      <c r="H33" s="389" t="str">
        <f>VLOOKUP(C33,'Sales Master'!$B$3:$F$3247,5,0)</f>
        <v>5 kgs</v>
      </c>
      <c r="I33" s="512" t="str">
        <f>VLOOKUP(C33,'Sales Master'!$B$3:$E$3247,4,0)</f>
        <v>-</v>
      </c>
      <c r="J33" s="512"/>
      <c r="K33" s="98">
        <v>21</v>
      </c>
      <c r="L33" s="99"/>
      <c r="M33" s="78"/>
    </row>
    <row r="34" spans="2:14" ht="20.149999999999999" customHeight="1" x14ac:dyDescent="0.45">
      <c r="B34" s="70"/>
      <c r="C34" s="22" t="s">
        <v>1566</v>
      </c>
      <c r="D34" s="508" t="str">
        <f>VLOOKUP(C34,'Sales Master'!B$3:D$699,2,)</f>
        <v>Chin Chow  仙草</v>
      </c>
      <c r="E34" s="508"/>
      <c r="F34" s="508"/>
      <c r="G34" s="90">
        <v>1</v>
      </c>
      <c r="H34" s="389" t="str">
        <f>VLOOKUP(C34,'Sales Master'!$B$3:$F$3247,5,0)</f>
        <v>5KGS/PKT</v>
      </c>
      <c r="I34" s="512" t="str">
        <f>VLOOKUP(C34,'Sales Master'!$B$3:$E$3247,4,0)</f>
        <v>TSM</v>
      </c>
      <c r="J34" s="512"/>
      <c r="K34" s="98">
        <v>5</v>
      </c>
      <c r="L34" s="99"/>
      <c r="M34" s="78"/>
    </row>
    <row r="35" spans="2:14" ht="20.149999999999999" customHeight="1" x14ac:dyDescent="0.45">
      <c r="B35" s="70"/>
      <c r="C35" s="22" t="s">
        <v>1608</v>
      </c>
      <c r="D35" s="508" t="str">
        <f>VLOOKUP(C35,'Sales Master'!B$3:D$699,2,)</f>
        <v>Pearl Barley 薏米</v>
      </c>
      <c r="E35" s="508"/>
      <c r="F35" s="508"/>
      <c r="G35" s="90">
        <v>1</v>
      </c>
      <c r="H35" s="389" t="str">
        <f>VLOOKUP(C35,'Sales Master'!$B$3:$F$3247,5,0)</f>
        <v>5 kgs</v>
      </c>
      <c r="I35" s="512" t="str">
        <f>VLOOKUP(C35,'Sales Master'!$B$3:$E$3247,4,0)</f>
        <v>-</v>
      </c>
      <c r="J35" s="512"/>
      <c r="K35" s="98">
        <v>10.5</v>
      </c>
      <c r="L35" s="99"/>
      <c r="M35" s="78"/>
    </row>
    <row r="36" spans="2:14" ht="20.149999999999999" customHeight="1" x14ac:dyDescent="0.45">
      <c r="B36" s="70"/>
      <c r="C36" s="299"/>
      <c r="G36" s="90"/>
      <c r="H36" s="68"/>
      <c r="I36" s="68"/>
      <c r="J36" s="68"/>
      <c r="K36" s="286"/>
      <c r="L36" s="99"/>
      <c r="M36" s="78"/>
    </row>
    <row r="37" spans="2:14" ht="20.149999999999999" customHeight="1" x14ac:dyDescent="0.45">
      <c r="B37" s="70"/>
      <c r="C37" s="22"/>
      <c r="D37" s="505"/>
      <c r="E37" s="505"/>
      <c r="F37" s="505"/>
      <c r="G37" s="90"/>
      <c r="H37" s="97"/>
      <c r="I37" s="506"/>
      <c r="J37" s="506"/>
      <c r="K37" s="286"/>
      <c r="L37" s="99"/>
      <c r="M37" s="78"/>
    </row>
    <row r="38" spans="2:14" ht="20.149999999999999" customHeight="1" thickBot="1" x14ac:dyDescent="0.5">
      <c r="B38" s="52"/>
      <c r="C38" s="53"/>
      <c r="D38" s="53"/>
      <c r="E38" s="53"/>
      <c r="F38" s="53"/>
      <c r="G38" s="53"/>
      <c r="H38" s="53"/>
      <c r="I38" s="53"/>
      <c r="J38" s="53"/>
      <c r="K38" s="53"/>
      <c r="L38" s="54"/>
    </row>
    <row r="39" spans="2:14" ht="20.149999999999999" customHeight="1" x14ac:dyDescent="0.45">
      <c r="B39" s="11" t="s">
        <v>18</v>
      </c>
      <c r="C39" s="7"/>
      <c r="D39" s="7"/>
      <c r="E39" s="7"/>
      <c r="F39" s="7"/>
      <c r="G39" s="7"/>
      <c r="H39" s="7"/>
      <c r="I39" s="7"/>
      <c r="J39" s="510" t="s">
        <v>15</v>
      </c>
      <c r="K39" s="511"/>
      <c r="L39" s="43">
        <f>SUM(L17:L37)</f>
        <v>105</v>
      </c>
      <c r="M39" s="76">
        <f>SUM(P18:P37)-L40</f>
        <v>25.753333333333337</v>
      </c>
      <c r="N39" s="201">
        <f>M39/L39</f>
        <v>0.2452698412698413</v>
      </c>
    </row>
    <row r="40" spans="2:14" ht="20.149999999999999" customHeight="1" x14ac:dyDescent="0.45">
      <c r="B40" s="11" t="s">
        <v>19</v>
      </c>
      <c r="C40" s="7"/>
      <c r="D40" s="7"/>
      <c r="E40" s="7"/>
      <c r="F40" s="7"/>
      <c r="G40" s="7"/>
      <c r="H40" s="7"/>
      <c r="I40" s="7"/>
      <c r="J40" s="44" t="s">
        <v>22</v>
      </c>
      <c r="K40" s="45"/>
      <c r="L40" s="46">
        <f>L39*K40</f>
        <v>0</v>
      </c>
    </row>
    <row r="41" spans="2:14" ht="20.149999999999999" customHeight="1" x14ac:dyDescent="0.45">
      <c r="B41" s="11" t="s">
        <v>20</v>
      </c>
      <c r="C41" s="7"/>
      <c r="D41" s="7"/>
      <c r="E41" s="7"/>
      <c r="F41" s="7"/>
      <c r="G41" s="7"/>
      <c r="H41" s="7"/>
      <c r="I41" s="7"/>
      <c r="J41" s="486" t="s">
        <v>21</v>
      </c>
      <c r="K41" s="487"/>
      <c r="L41" s="46">
        <f>L39-L40</f>
        <v>105</v>
      </c>
    </row>
    <row r="42" spans="2:14" ht="20.149999999999999" customHeight="1" x14ac:dyDescent="0.45">
      <c r="B42" s="11" t="s">
        <v>24</v>
      </c>
      <c r="C42" s="7"/>
      <c r="D42" s="7"/>
      <c r="E42" s="7"/>
      <c r="F42" s="7"/>
      <c r="G42" s="7"/>
      <c r="H42" s="7"/>
      <c r="I42" s="7"/>
      <c r="J42" s="150" t="s">
        <v>17</v>
      </c>
      <c r="K42" s="151">
        <v>7.0000000000000007E-2</v>
      </c>
      <c r="L42" s="47">
        <f>L41*K42</f>
        <v>7.3500000000000005</v>
      </c>
    </row>
    <row r="43" spans="2:14" ht="20.149999999999999" customHeight="1" thickBot="1" x14ac:dyDescent="0.5">
      <c r="B43" s="11" t="s">
        <v>25</v>
      </c>
      <c r="C43" s="7"/>
      <c r="D43" s="7"/>
      <c r="E43" s="7"/>
      <c r="F43" s="7"/>
      <c r="G43" s="7"/>
      <c r="H43" s="7"/>
      <c r="I43" s="7"/>
      <c r="J43" s="488" t="s">
        <v>23</v>
      </c>
      <c r="K43" s="489"/>
      <c r="L43" s="48">
        <f>L41+L42</f>
        <v>112.35</v>
      </c>
    </row>
    <row r="44" spans="2:14" ht="20.149999999999999" customHeight="1" x14ac:dyDescent="0.45">
      <c r="B44" s="11" t="s">
        <v>26</v>
      </c>
      <c r="C44" s="7"/>
      <c r="D44" s="7"/>
      <c r="E44" s="7"/>
      <c r="F44" s="7"/>
      <c r="G44" s="7"/>
      <c r="H44" s="7"/>
      <c r="I44" s="7"/>
      <c r="L44" s="42"/>
    </row>
    <row r="45" spans="2:14" ht="20.149999999999999" customHeight="1" x14ac:dyDescent="0.45">
      <c r="B45" s="41"/>
      <c r="L45" s="42"/>
    </row>
    <row r="46" spans="2:14" ht="20.149999999999999" customHeight="1" x14ac:dyDescent="0.45">
      <c r="B46" s="41"/>
      <c r="L46" s="42"/>
    </row>
    <row r="47" spans="2:14" ht="20.149999999999999" customHeight="1" x14ac:dyDescent="0.45">
      <c r="B47" s="41"/>
      <c r="L47" s="42"/>
    </row>
    <row r="48" spans="2:14" ht="20.149999999999999" customHeight="1" x14ac:dyDescent="0.45">
      <c r="B48" s="41"/>
      <c r="L48" s="42"/>
    </row>
    <row r="49" spans="2:12" ht="20.149999999999999" customHeight="1" x14ac:dyDescent="0.45">
      <c r="B49" s="49"/>
      <c r="C49" s="50"/>
      <c r="D49" s="50"/>
      <c r="J49" s="50"/>
      <c r="K49" s="50"/>
      <c r="L49" s="51"/>
    </row>
    <row r="50" spans="2:12" ht="20.149999999999999" customHeight="1" x14ac:dyDescent="0.45">
      <c r="B50" s="41" t="s">
        <v>27</v>
      </c>
      <c r="J50" s="24" t="s">
        <v>28</v>
      </c>
      <c r="L50" s="42"/>
    </row>
    <row r="51" spans="2:12" ht="19" thickBot="1" x14ac:dyDescent="0.5">
      <c r="B51" s="52"/>
      <c r="C51" s="53"/>
      <c r="D51" s="53"/>
      <c r="E51" s="53"/>
      <c r="F51" s="53"/>
      <c r="G51" s="53"/>
      <c r="H51" s="53"/>
      <c r="I51" s="53"/>
      <c r="J51" s="53"/>
      <c r="K51" s="53"/>
      <c r="L51" s="54"/>
    </row>
  </sheetData>
  <mergeCells count="51">
    <mergeCell ref="D32:F32"/>
    <mergeCell ref="I32:J32"/>
    <mergeCell ref="D33:F33"/>
    <mergeCell ref="I33:J33"/>
    <mergeCell ref="D28:F28"/>
    <mergeCell ref="I28:J28"/>
    <mergeCell ref="D31:F31"/>
    <mergeCell ref="I31:J31"/>
    <mergeCell ref="J43:K43"/>
    <mergeCell ref="D37:F37"/>
    <mergeCell ref="I37:J37"/>
    <mergeCell ref="J39:K39"/>
    <mergeCell ref="J41:K41"/>
    <mergeCell ref="D34:F34"/>
    <mergeCell ref="I34:J34"/>
    <mergeCell ref="C30:D30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35:F35"/>
    <mergeCell ref="I35:J35"/>
    <mergeCell ref="D17:F17"/>
    <mergeCell ref="I17:J17"/>
    <mergeCell ref="D23:F23"/>
    <mergeCell ref="I23:J23"/>
    <mergeCell ref="D19:F19"/>
    <mergeCell ref="I19:J19"/>
    <mergeCell ref="D18:F18"/>
    <mergeCell ref="I18:J18"/>
    <mergeCell ref="D22:F22"/>
    <mergeCell ref="I22:J22"/>
    <mergeCell ref="D20:F20"/>
    <mergeCell ref="I20:J20"/>
    <mergeCell ref="D21:F21"/>
    <mergeCell ref="I21:J21"/>
    <mergeCell ref="D24:F24"/>
    <mergeCell ref="I24:J24"/>
    <mergeCell ref="D25:F25"/>
    <mergeCell ref="I25:J25"/>
    <mergeCell ref="D26:F26"/>
    <mergeCell ref="I26:J26"/>
  </mergeCells>
  <conditionalFormatting sqref="C33:C34 C36">
    <cfRule type="duplicateValues" dxfId="6" priority="3"/>
  </conditionalFormatting>
  <conditionalFormatting sqref="C30">
    <cfRule type="duplicateValues" dxfId="5" priority="1"/>
  </conditionalFormatting>
  <pageMargins left="0.70866141732283505" right="0.31496062992126" top="0.59055118110236204" bottom="0" header="0.31496062992126" footer="0.31496062992126"/>
  <pageSetup paperSize="9" scale="76" orientation="portrait" horizontalDpi="300" verticalDpi="300" r:id="rId1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DDE70-4119-403F-8952-B02AA4D90E16}">
  <sheetPr codeName="Sheet141">
    <tabColor rgb="FF92D050"/>
    <pageSetUpPr fitToPage="1"/>
  </sheetPr>
  <dimension ref="B1:P50"/>
  <sheetViews>
    <sheetView topLeftCell="C29" workbookViewId="0">
      <selection activeCell="D33" sqref="D33:F33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6.54296875" style="24" customWidth="1"/>
    <col min="7" max="7" width="8.54296875" style="24" customWidth="1"/>
    <col min="8" max="8" width="15.7265625" style="24" customWidth="1"/>
    <col min="9" max="9" width="0.7265625" style="24" customWidth="1"/>
    <col min="10" max="10" width="20.26953125" style="24" customWidth="1"/>
    <col min="11" max="11" width="10.54296875" style="24" customWidth="1"/>
    <col min="12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262</v>
      </c>
      <c r="J10" s="29" t="s">
        <v>29</v>
      </c>
      <c r="K10" s="452">
        <v>202209421</v>
      </c>
      <c r="L10" s="453"/>
    </row>
    <row r="11" spans="2:12" ht="20.149999999999999" customHeight="1" x14ac:dyDescent="0.45">
      <c r="B11" s="454" t="s">
        <v>2037</v>
      </c>
      <c r="C11" s="455"/>
      <c r="D11" s="456"/>
      <c r="E11" s="30"/>
      <c r="F11" s="457" t="str">
        <f>VLOOKUP(H10,'Delivery Location'!A$4:N$416,2,0)</f>
        <v xml:space="preserve"> Punggol OASIS (Gourmet Paradise)                                                          681 Punggol Drive                                                    #04-01 OASIS Terraces                   Singapore 820681</v>
      </c>
      <c r="G11" s="458"/>
      <c r="H11" s="459"/>
      <c r="J11" s="31" t="s">
        <v>11</v>
      </c>
      <c r="K11" s="466">
        <v>44831</v>
      </c>
      <c r="L11" s="467"/>
    </row>
    <row r="12" spans="2:12" ht="20.149999999999999" customHeight="1" x14ac:dyDescent="0.45">
      <c r="B12" s="468" t="s">
        <v>2139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533</v>
      </c>
      <c r="L12" s="472"/>
    </row>
    <row r="13" spans="2:12" ht="20.149999999999999" customHeight="1" x14ac:dyDescent="0.45">
      <c r="B13" s="468" t="s">
        <v>2024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14</v>
      </c>
      <c r="L13" s="472"/>
    </row>
    <row r="14" spans="2:12" ht="20.149999999999999" customHeight="1" x14ac:dyDescent="0.45">
      <c r="B14" s="468" t="s">
        <v>2025</v>
      </c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463" t="s">
        <v>2026</v>
      </c>
      <c r="C15" s="464"/>
      <c r="D15" s="465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16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16" ht="20.149999999999999" customHeight="1" x14ac:dyDescent="0.45">
      <c r="B18" s="34"/>
      <c r="C18" s="22" t="s">
        <v>1441</v>
      </c>
      <c r="D18" s="508" t="str">
        <f>VLOOKUP(C18,'Sales Master'!B$3:D$499,2,)</f>
        <v xml:space="preserve">Fresh Soursop 红毛榴莲 </v>
      </c>
      <c r="E18" s="508"/>
      <c r="F18" s="508"/>
      <c r="G18" s="90">
        <v>1</v>
      </c>
      <c r="H18" s="389" t="str">
        <f>VLOOKUP(C18,'Sales Master'!$B$3:$F$3247,5,0)</f>
        <v>5 KGS/TUB</v>
      </c>
      <c r="I18" s="482" t="str">
        <f>VLOOKUP(C18,'Sales Master'!$B$3:$E$3247,4,0)</f>
        <v>DO!</v>
      </c>
      <c r="J18" s="482"/>
      <c r="K18" s="35">
        <f>VLOOKUP(C18,'Sales Master'!B$3:AT$499,45,0)</f>
        <v>30</v>
      </c>
      <c r="L18" s="77">
        <f>K18*G18</f>
        <v>30</v>
      </c>
      <c r="M18" s="78"/>
      <c r="N18" s="225">
        <f>VLOOKUP(C18,'Sales Master'!$B$3:$DA$3038,104,0)</f>
        <v>20.27</v>
      </c>
      <c r="O18" s="225">
        <f>K18-N18</f>
        <v>9.73</v>
      </c>
      <c r="P18" s="225">
        <f>O18*G18</f>
        <v>9.73</v>
      </c>
    </row>
    <row r="19" spans="2:16" ht="20.149999999999999" customHeight="1" x14ac:dyDescent="0.45">
      <c r="B19" s="34"/>
      <c r="C19" s="22" t="s">
        <v>1457</v>
      </c>
      <c r="D19" s="508" t="str">
        <f>VLOOKUP(C19,'Sales Master'!B$3:D$499,2,)</f>
        <v>Bobo ChaCha Cubes 摩摩喳喳</v>
      </c>
      <c r="E19" s="508"/>
      <c r="F19" s="508"/>
      <c r="G19" s="90">
        <v>4</v>
      </c>
      <c r="H19" s="391" t="str">
        <f>VLOOKUP(C19,'Sales Master'!$B$3:$F$3247,5,0)</f>
        <v>800 GM/BAG</v>
      </c>
      <c r="I19" s="482" t="str">
        <f>VLOOKUP(C19,'Sales Master'!$B$3:$E$3247,4,0)</f>
        <v>DO!</v>
      </c>
      <c r="J19" s="482"/>
      <c r="K19" s="35">
        <f>VLOOKUP(C19,'Sales Master'!B$3:AT$499,45,0)</f>
        <v>6</v>
      </c>
      <c r="L19" s="77">
        <f t="shared" ref="L19" si="0">K19*G19</f>
        <v>24</v>
      </c>
      <c r="M19" s="78"/>
      <c r="N19" s="225">
        <f>VLOOKUP(C19,'Sales Master'!$B$3:$DA$3038,104,0)</f>
        <v>0.71</v>
      </c>
      <c r="O19" s="225">
        <f t="shared" ref="O19" si="1">K19-N19</f>
        <v>5.29</v>
      </c>
      <c r="P19" s="225">
        <f t="shared" ref="P19" si="2">O19*G19</f>
        <v>21.16</v>
      </c>
    </row>
    <row r="20" spans="2:16" ht="20.149999999999999" customHeight="1" x14ac:dyDescent="0.45">
      <c r="B20" s="34"/>
      <c r="C20" s="22" t="s">
        <v>1462</v>
      </c>
      <c r="D20" s="508" t="str">
        <f>VLOOKUP(C20,'Sales Master'!B$3:D$499,2,)</f>
        <v>Pong Thai Hai (Wet) 碰大海</v>
      </c>
      <c r="E20" s="508"/>
      <c r="F20" s="508"/>
      <c r="G20" s="90">
        <v>3</v>
      </c>
      <c r="H20" s="389" t="str">
        <f>VLOOKUP(C20,'Sales Master'!$B$3:$F$3247,5,0)</f>
        <v>1KG</v>
      </c>
      <c r="I20" s="482" t="str">
        <f>VLOOKUP(C20,'Sales Master'!$B$3:$E$3247,4,0)</f>
        <v>DO!</v>
      </c>
      <c r="J20" s="482"/>
      <c r="K20" s="35">
        <f>VLOOKUP(C20,'Sales Master'!B$3:AT$499,45,0)</f>
        <v>7</v>
      </c>
      <c r="L20" s="77">
        <f t="shared" ref="L20:L24" si="3">K20*G20</f>
        <v>21</v>
      </c>
      <c r="M20" s="78"/>
      <c r="N20" s="225">
        <f>VLOOKUP(C20,'Sales Master'!$B$3:$DA$3038,104,0)</f>
        <v>0.85</v>
      </c>
      <c r="O20" s="225">
        <f t="shared" ref="O20:O24" si="4">K20-N20</f>
        <v>6.15</v>
      </c>
      <c r="P20" s="225">
        <f t="shared" ref="P20:P24" si="5">O20*G20</f>
        <v>18.450000000000003</v>
      </c>
    </row>
    <row r="21" spans="2:16" ht="20.149999999999999" customHeight="1" x14ac:dyDescent="0.45">
      <c r="B21" s="34"/>
      <c r="C21" s="22" t="s">
        <v>1572</v>
      </c>
      <c r="D21" s="508" t="str">
        <f>VLOOKUP(C21,'Sales Master'!B$3:D$499,2,)</f>
        <v>Red Bean红豆 (5.5 mm)</v>
      </c>
      <c r="E21" s="508"/>
      <c r="F21" s="508"/>
      <c r="G21" s="90">
        <v>3</v>
      </c>
      <c r="H21" s="389" t="str">
        <f>VLOOKUP(C21,'Sales Master'!$B$3:$F$3247,5,0)</f>
        <v>5 kgs</v>
      </c>
      <c r="I21" s="482" t="str">
        <f>VLOOKUP(C21,'Sales Master'!$B$3:$E$3247,4,0)</f>
        <v>-</v>
      </c>
      <c r="J21" s="482"/>
      <c r="K21" s="35">
        <f>VLOOKUP(C21,'Sales Master'!B$3:AT$499,45,0)</f>
        <v>20.5</v>
      </c>
      <c r="L21" s="77">
        <f t="shared" si="3"/>
        <v>61.5</v>
      </c>
      <c r="M21" s="78"/>
      <c r="N21" s="225">
        <f>VLOOKUP(C21,'Sales Master'!$B$3:$DA$3038,104,0)</f>
        <v>17</v>
      </c>
      <c r="O21" s="225">
        <f t="shared" si="4"/>
        <v>3.5</v>
      </c>
      <c r="P21" s="225">
        <f t="shared" si="5"/>
        <v>10.5</v>
      </c>
    </row>
    <row r="22" spans="2:16" ht="20.149999999999999" customHeight="1" x14ac:dyDescent="0.45">
      <c r="B22" s="34"/>
      <c r="C22" s="22" t="s">
        <v>1585</v>
      </c>
      <c r="D22" s="508" t="str">
        <f>VLOOKUP(C22,'Sales Master'!B$3:D$499,2,)</f>
        <v>Green Bean 绿豆</v>
      </c>
      <c r="E22" s="508"/>
      <c r="F22" s="508"/>
      <c r="G22" s="90">
        <v>1</v>
      </c>
      <c r="H22" s="389" t="str">
        <f>VLOOKUP(C22,'Sales Master'!$B$3:$F$3247,5,0)</f>
        <v>5 kgs</v>
      </c>
      <c r="I22" s="482" t="str">
        <f>VLOOKUP(C22,'Sales Master'!$B$3:$E$3247,4,0)</f>
        <v>-</v>
      </c>
      <c r="J22" s="482"/>
      <c r="K22" s="35">
        <f>VLOOKUP(C22,'Sales Master'!B$3:AT$499,45,0)</f>
        <v>13</v>
      </c>
      <c r="L22" s="77">
        <f t="shared" si="3"/>
        <v>13</v>
      </c>
      <c r="M22" s="78"/>
      <c r="N22" s="225">
        <f>VLOOKUP(C22,'Sales Master'!$B$3:$DA$3038,104,0)</f>
        <v>9.3999999999999986</v>
      </c>
      <c r="O22" s="225">
        <f t="shared" si="4"/>
        <v>3.6000000000000014</v>
      </c>
      <c r="P22" s="225">
        <f t="shared" si="5"/>
        <v>3.6000000000000014</v>
      </c>
    </row>
    <row r="23" spans="2:16" ht="20.149999999999999" customHeight="1" x14ac:dyDescent="0.45">
      <c r="B23" s="34"/>
      <c r="C23" s="22" t="s">
        <v>1599</v>
      </c>
      <c r="D23" s="508" t="str">
        <f>VLOOKUP(C23,'Sales Master'!B$3:D$499,2,)</f>
        <v>Black Glutinous Rice 黑糯米</v>
      </c>
      <c r="E23" s="508"/>
      <c r="F23" s="508"/>
      <c r="G23" s="90">
        <v>1</v>
      </c>
      <c r="H23" s="389" t="str">
        <f>VLOOKUP(C23,'Sales Master'!$B$3:$F$3247,5,0)</f>
        <v>5 kgs</v>
      </c>
      <c r="I23" s="482" t="str">
        <f>VLOOKUP(C23,'Sales Master'!$B$3:$E$3247,4,0)</f>
        <v>-</v>
      </c>
      <c r="J23" s="482"/>
      <c r="K23" s="35">
        <f>VLOOKUP(C23,'Sales Master'!B$3:AT$499,45,0)</f>
        <v>18</v>
      </c>
      <c r="L23" s="77">
        <f t="shared" si="3"/>
        <v>18</v>
      </c>
      <c r="M23" s="78"/>
      <c r="N23" s="225">
        <f>VLOOKUP(C23,'Sales Master'!$B$3:$DA$3038,104,0)</f>
        <v>12</v>
      </c>
      <c r="O23" s="225">
        <f t="shared" si="4"/>
        <v>6</v>
      </c>
      <c r="P23" s="225">
        <f t="shared" si="5"/>
        <v>6</v>
      </c>
    </row>
    <row r="24" spans="2:16" ht="20.149999999999999" customHeight="1" x14ac:dyDescent="0.45">
      <c r="B24" s="34"/>
      <c r="C24" s="22" t="s">
        <v>1608</v>
      </c>
      <c r="D24" s="508" t="str">
        <f>VLOOKUP(C24,'Sales Master'!B$3:D$499,2,)</f>
        <v>Pearl Barley 薏米</v>
      </c>
      <c r="E24" s="508"/>
      <c r="F24" s="508"/>
      <c r="G24" s="90">
        <v>1</v>
      </c>
      <c r="H24" s="389" t="str">
        <f>VLOOKUP(C24,'Sales Master'!$B$3:$F$3247,5,0)</f>
        <v>5 kgs</v>
      </c>
      <c r="I24" s="482" t="str">
        <f>VLOOKUP(C24,'Sales Master'!$B$3:$E$3247,4,0)</f>
        <v>-</v>
      </c>
      <c r="J24" s="482"/>
      <c r="K24" s="35">
        <f>VLOOKUP(C24,'Sales Master'!B$3:AT$499,45,0)</f>
        <v>10</v>
      </c>
      <c r="L24" s="77">
        <f t="shared" si="3"/>
        <v>10</v>
      </c>
      <c r="M24" s="78"/>
      <c r="N24" s="225">
        <f>VLOOKUP(C24,'Sales Master'!$B$3:$DA$3038,104,0)</f>
        <v>6.8000000000000007</v>
      </c>
      <c r="O24" s="225">
        <f t="shared" si="4"/>
        <v>3.1999999999999993</v>
      </c>
      <c r="P24" s="225">
        <f t="shared" si="5"/>
        <v>3.1999999999999993</v>
      </c>
    </row>
    <row r="25" spans="2:16" ht="20.149999999999999" customHeight="1" x14ac:dyDescent="0.45">
      <c r="B25" s="34"/>
      <c r="C25" s="22" t="s">
        <v>1624</v>
      </c>
      <c r="D25" s="508" t="str">
        <f>VLOOKUP(C25,'Sales Master'!B$3:D$499,2,)</f>
        <v>Fungus黄 木耳朵</v>
      </c>
      <c r="E25" s="508"/>
      <c r="F25" s="508"/>
      <c r="G25" s="90">
        <v>1</v>
      </c>
      <c r="H25" s="389" t="str">
        <f>VLOOKUP(C25,'Sales Master'!$B$3:$F$3247,5,0)</f>
        <v>1 kg</v>
      </c>
      <c r="I25" s="482" t="str">
        <f>VLOOKUP(C25,'Sales Master'!$B$3:$E$3247,4,0)</f>
        <v>黄</v>
      </c>
      <c r="J25" s="482"/>
      <c r="K25" s="35">
        <f>VLOOKUP(C25,'Sales Master'!B$3:AT$499,45,0)</f>
        <v>16</v>
      </c>
      <c r="L25" s="77">
        <f t="shared" ref="L25" si="6">K25*G25</f>
        <v>16</v>
      </c>
      <c r="M25" s="78"/>
      <c r="N25" s="225">
        <f>VLOOKUP(C25,'Sales Master'!$B$3:$DA$3038,104,0)</f>
        <v>11</v>
      </c>
      <c r="O25" s="225">
        <f t="shared" ref="O25" si="7">K25-N25</f>
        <v>5</v>
      </c>
      <c r="P25" s="225">
        <f t="shared" ref="P25" si="8">O25*G25</f>
        <v>5</v>
      </c>
    </row>
    <row r="26" spans="2:16" ht="20.149999999999999" customHeight="1" x14ac:dyDescent="0.45">
      <c r="B26" s="34"/>
      <c r="C26" s="22" t="s">
        <v>1695</v>
      </c>
      <c r="D26" s="508" t="str">
        <f>VLOOKUP(C26,'Sales Master'!B$3:D$499,2,)</f>
        <v>Aloe Vera芦荟 10mm</v>
      </c>
      <c r="E26" s="508"/>
      <c r="F26" s="508"/>
      <c r="G26" s="90">
        <v>1</v>
      </c>
      <c r="H26" s="389" t="str">
        <f>VLOOKUP(C26,'Sales Master'!$B$3:$F$3247,5,0)</f>
        <v>1 Can X A10</v>
      </c>
      <c r="I26" s="482" t="str">
        <f>VLOOKUP(C26,'Sales Master'!$B$3:$E$3247,4,0)</f>
        <v>Chefs</v>
      </c>
      <c r="J26" s="482"/>
      <c r="K26" s="35">
        <f>VLOOKUP(C26,'Sales Master'!B$3:AT$499,45,0)</f>
        <v>10</v>
      </c>
      <c r="L26" s="77">
        <f t="shared" ref="L26:L30" si="9">K26*G26</f>
        <v>10</v>
      </c>
      <c r="M26" s="78"/>
      <c r="N26" s="225">
        <f>VLOOKUP(C26,'Sales Master'!$B$3:$DA$3038,104,0)</f>
        <v>7</v>
      </c>
      <c r="O26" s="225">
        <f t="shared" ref="O26:O30" si="10">K26-N26</f>
        <v>3</v>
      </c>
      <c r="P26" s="225">
        <f t="shared" ref="P26:P30" si="11">O26*G26</f>
        <v>3</v>
      </c>
    </row>
    <row r="27" spans="2:16" ht="20.149999999999999" customHeight="1" x14ac:dyDescent="0.45">
      <c r="B27" s="34"/>
      <c r="C27" s="22" t="s">
        <v>1696</v>
      </c>
      <c r="D27" s="508" t="str">
        <f>VLOOKUP(C27,'Sales Master'!B$3:D$499,2,)</f>
        <v>Longan in Syrup龙眼</v>
      </c>
      <c r="E27" s="508"/>
      <c r="F27" s="508"/>
      <c r="G27" s="90">
        <v>1</v>
      </c>
      <c r="H27" s="389" t="str">
        <f>VLOOKUP(C27,'Sales Master'!$B$3:$F$3247,5,0)</f>
        <v>(565gm x 12)/箱</v>
      </c>
      <c r="I27" s="482" t="str">
        <f>VLOOKUP(C27,'Sales Master'!$B$3:$E$3247,4,0)</f>
        <v>YiFong</v>
      </c>
      <c r="J27" s="482"/>
      <c r="K27" s="35">
        <f>VLOOKUP(C27,'Sales Master'!B$3:AT$499,45,0)</f>
        <v>24</v>
      </c>
      <c r="L27" s="77">
        <f t="shared" si="9"/>
        <v>24</v>
      </c>
      <c r="M27" s="78"/>
      <c r="N27" s="225">
        <f>VLOOKUP(C27,'Sales Master'!$B$3:$DA$3038,104,0)</f>
        <v>18.055555555555557</v>
      </c>
      <c r="O27" s="225">
        <f t="shared" si="10"/>
        <v>5.9444444444444429</v>
      </c>
      <c r="P27" s="225">
        <f t="shared" si="11"/>
        <v>5.9444444444444429</v>
      </c>
    </row>
    <row r="28" spans="2:16" ht="20.149999999999999" customHeight="1" x14ac:dyDescent="0.45">
      <c r="B28" s="34"/>
      <c r="C28" s="22" t="s">
        <v>1736</v>
      </c>
      <c r="D28" s="508" t="str">
        <f>VLOOKUP(C28,'Sales Master'!B$3:D$499,2,)</f>
        <v>Coconut Milk 椰浆</v>
      </c>
      <c r="E28" s="508"/>
      <c r="F28" s="508"/>
      <c r="G28" s="90">
        <v>1</v>
      </c>
      <c r="H28" s="389" t="str">
        <f>VLOOKUP(C28,'Sales Master'!$B$3:$F$3247,5,0)</f>
        <v>(1L x 12bag)/箱</v>
      </c>
      <c r="I28" s="482" t="str">
        <f>VLOOKUP(C28,'Sales Master'!$B$3:$E$3247,4,0)</f>
        <v>Kara UHT</v>
      </c>
      <c r="J28" s="482"/>
      <c r="K28" s="35">
        <f>VLOOKUP(C28,'Sales Master'!B$3:AT$499,45,0)</f>
        <v>42</v>
      </c>
      <c r="L28" s="77">
        <f t="shared" si="9"/>
        <v>42</v>
      </c>
      <c r="M28" s="78"/>
      <c r="N28" s="225">
        <f>VLOOKUP(C28,'Sales Master'!$B$3:$DA$3038,104,0)</f>
        <v>35.5</v>
      </c>
      <c r="O28" s="225">
        <f t="shared" si="10"/>
        <v>6.5</v>
      </c>
      <c r="P28" s="225">
        <f t="shared" si="11"/>
        <v>6.5</v>
      </c>
    </row>
    <row r="29" spans="2:16" ht="20.149999999999999" customHeight="1" x14ac:dyDescent="0.45">
      <c r="B29" s="34"/>
      <c r="C29" s="22" t="s">
        <v>2258</v>
      </c>
      <c r="D29" s="508" t="str">
        <f>VLOOKUP(C29,'Sales Master'!B$3:D$499,2,)</f>
        <v>Brown Sugar 黑糖</v>
      </c>
      <c r="E29" s="508"/>
      <c r="F29" s="508"/>
      <c r="G29" s="90">
        <v>2</v>
      </c>
      <c r="H29" s="389" t="str">
        <f>VLOOKUP(C29,'Sales Master'!$B$3:$F$3247,5,0)</f>
        <v>6 kgs</v>
      </c>
      <c r="I29" s="482" t="str">
        <f>VLOOKUP(C29,'Sales Master'!$B$3:$E$3247,4,0)</f>
        <v>Thailand</v>
      </c>
      <c r="J29" s="482"/>
      <c r="K29" s="35">
        <f>VLOOKUP(C29,'Sales Master'!B$3:AT$499,45,0)</f>
        <v>15</v>
      </c>
      <c r="L29" s="77">
        <f t="shared" si="9"/>
        <v>30</v>
      </c>
      <c r="M29" s="78"/>
      <c r="N29" s="225">
        <f>VLOOKUP(C29,'Sales Master'!$B$3:$DA$3038,104,0)</f>
        <v>11.2</v>
      </c>
      <c r="O29" s="225">
        <f t="shared" si="10"/>
        <v>3.8000000000000007</v>
      </c>
      <c r="P29" s="225">
        <f t="shared" si="11"/>
        <v>7.6000000000000014</v>
      </c>
    </row>
    <row r="30" spans="2:16" ht="20.149999999999999" customHeight="1" x14ac:dyDescent="0.45">
      <c r="B30" s="34"/>
      <c r="C30" s="22" t="s">
        <v>1794</v>
      </c>
      <c r="D30" s="508" t="str">
        <f>VLOOKUP(C30,'Sales Master'!B$3:D$499,2,)</f>
        <v>Pandan Leaf 班兰叶</v>
      </c>
      <c r="E30" s="508"/>
      <c r="F30" s="508"/>
      <c r="G30" s="90">
        <v>3</v>
      </c>
      <c r="H30" s="389" t="str">
        <f>VLOOKUP(C30,'Sales Master'!$B$3:$F$3247,5,0)</f>
        <v>1 kg</v>
      </c>
      <c r="I30" s="482" t="str">
        <f>VLOOKUP(C30,'Sales Master'!$B$3:$E$3247,4,0)</f>
        <v>-</v>
      </c>
      <c r="J30" s="482"/>
      <c r="K30" s="35">
        <v>20.5</v>
      </c>
      <c r="L30" s="77">
        <f t="shared" si="9"/>
        <v>61.5</v>
      </c>
      <c r="M30" s="78"/>
      <c r="N30" s="225">
        <f>VLOOKUP(C30,'Sales Master'!$B$3:$DA$3038,104,0)</f>
        <v>1</v>
      </c>
      <c r="O30" s="225">
        <f t="shared" si="10"/>
        <v>19.5</v>
      </c>
      <c r="P30" s="225">
        <f t="shared" si="11"/>
        <v>58.5</v>
      </c>
    </row>
    <row r="31" spans="2:16" ht="20.149999999999999" customHeight="1" x14ac:dyDescent="0.45">
      <c r="B31" s="34"/>
      <c r="C31" s="22" t="s">
        <v>1564</v>
      </c>
      <c r="D31" s="508" t="str">
        <f>VLOOKUP(C31,'Sales Master'!B$3:D$499,2,)</f>
        <v>Atap Seeds in Syrup亚嗒子</v>
      </c>
      <c r="E31" s="508"/>
      <c r="F31" s="508"/>
      <c r="G31" s="90">
        <v>4</v>
      </c>
      <c r="H31" s="391" t="str">
        <f>VLOOKUP(C31,'Sales Master'!$B$3:$F$3247,5,0)</f>
        <v>NW (1.6:0.6) 2.2 kgs</v>
      </c>
      <c r="I31" s="482" t="str">
        <f>VLOOKUP(C31,'Sales Master'!$B$3:$E$3247,4,0)</f>
        <v>DO!</v>
      </c>
      <c r="J31" s="482"/>
      <c r="K31" s="35">
        <v>20.5</v>
      </c>
      <c r="L31" s="77">
        <f t="shared" ref="L31" si="12">K31*G31</f>
        <v>82</v>
      </c>
      <c r="M31" s="78"/>
      <c r="N31" s="225">
        <f>VLOOKUP(C31,'Sales Master'!$B$3:$DA$3038,104,0)</f>
        <v>4.8240000000000007</v>
      </c>
      <c r="O31" s="225">
        <f t="shared" ref="O31" si="13">K31-N31</f>
        <v>15.675999999999998</v>
      </c>
      <c r="P31" s="225">
        <f t="shared" ref="P31" si="14">O31*G31</f>
        <v>62.703999999999994</v>
      </c>
    </row>
    <row r="32" spans="2:16" ht="20.149999999999999" customHeight="1" x14ac:dyDescent="0.45">
      <c r="B32" s="34"/>
      <c r="C32" s="22"/>
      <c r="D32" s="508"/>
      <c r="E32" s="508"/>
      <c r="F32" s="508"/>
      <c r="G32" s="90"/>
      <c r="H32" s="389"/>
      <c r="I32" s="512"/>
      <c r="J32" s="512"/>
      <c r="K32" s="35"/>
      <c r="L32" s="77"/>
      <c r="M32" s="78"/>
      <c r="N32" s="225"/>
      <c r="O32" s="225"/>
      <c r="P32" s="225"/>
    </row>
    <row r="33" spans="2:16" ht="20.149999999999999" customHeight="1" x14ac:dyDescent="0.45">
      <c r="B33" s="34"/>
      <c r="C33" s="22"/>
      <c r="D33" s="508"/>
      <c r="E33" s="508"/>
      <c r="F33" s="508"/>
      <c r="G33" s="90"/>
      <c r="H33" s="389"/>
      <c r="I33" s="512"/>
      <c r="J33" s="512"/>
      <c r="K33" s="35"/>
      <c r="L33" s="77"/>
      <c r="M33" s="78"/>
      <c r="N33" s="225"/>
      <c r="O33" s="225"/>
      <c r="P33" s="225"/>
    </row>
    <row r="34" spans="2:16" ht="20.149999999999999" customHeight="1" x14ac:dyDescent="0.45">
      <c r="B34" s="34"/>
      <c r="C34" s="22"/>
      <c r="D34" s="508"/>
      <c r="E34" s="508"/>
      <c r="F34" s="508"/>
      <c r="G34" s="90"/>
      <c r="H34" s="389"/>
      <c r="I34" s="512"/>
      <c r="J34" s="512"/>
      <c r="K34" s="35"/>
      <c r="L34" s="77"/>
      <c r="M34" s="78"/>
      <c r="N34" s="225"/>
      <c r="O34" s="225"/>
      <c r="P34" s="225"/>
    </row>
    <row r="35" spans="2:16" ht="20.149999999999999" customHeight="1" x14ac:dyDescent="0.45">
      <c r="B35" s="34"/>
      <c r="C35" s="22"/>
      <c r="D35" s="508"/>
      <c r="E35" s="508"/>
      <c r="F35" s="508"/>
      <c r="G35" s="90"/>
      <c r="H35" s="389"/>
      <c r="I35" s="512"/>
      <c r="J35" s="512"/>
      <c r="K35" s="35"/>
      <c r="L35" s="77"/>
      <c r="M35" s="78"/>
      <c r="N35" s="225"/>
      <c r="O35" s="225"/>
      <c r="P35" s="225"/>
    </row>
    <row r="36" spans="2:16" ht="20.149999999999999" customHeight="1" thickBot="1" x14ac:dyDescent="0.5">
      <c r="B36" s="37"/>
      <c r="C36" s="38"/>
      <c r="D36" s="509"/>
      <c r="E36" s="509"/>
      <c r="F36" s="509"/>
      <c r="G36" s="38"/>
      <c r="H36" s="69"/>
      <c r="I36" s="451"/>
      <c r="J36" s="451"/>
      <c r="K36" s="39"/>
      <c r="L36" s="40"/>
    </row>
    <row r="37" spans="2:16" ht="20.149999999999999" customHeight="1" thickBot="1" x14ac:dyDescent="0.5">
      <c r="B37" s="41"/>
      <c r="L37" s="42"/>
    </row>
    <row r="38" spans="2:16" ht="20.149999999999999" customHeight="1" x14ac:dyDescent="0.45">
      <c r="B38" s="11" t="s">
        <v>18</v>
      </c>
      <c r="C38" s="7"/>
      <c r="D38" s="7"/>
      <c r="E38" s="7"/>
      <c r="F38" s="7"/>
      <c r="G38" s="7"/>
      <c r="H38" s="7"/>
      <c r="I38" s="7"/>
      <c r="J38" s="510" t="s">
        <v>15</v>
      </c>
      <c r="K38" s="511"/>
      <c r="L38" s="43">
        <f>SUM(L18:L36)</f>
        <v>443</v>
      </c>
      <c r="M38" s="76">
        <f>SUM(P18:P36)-L38*0.02</f>
        <v>213.0284444444444</v>
      </c>
      <c r="N38" s="201">
        <f>M38/L38</f>
        <v>0.48087684976172551</v>
      </c>
    </row>
    <row r="39" spans="2:16" ht="20.149999999999999" customHeight="1" x14ac:dyDescent="0.45">
      <c r="B39" s="11" t="s">
        <v>19</v>
      </c>
      <c r="C39" s="7"/>
      <c r="D39" s="7"/>
      <c r="E39" s="7"/>
      <c r="F39" s="7"/>
      <c r="G39" s="7"/>
      <c r="H39" s="7"/>
      <c r="I39" s="7"/>
      <c r="J39" s="44" t="s">
        <v>22</v>
      </c>
      <c r="K39" s="45"/>
      <c r="L39" s="46">
        <f>L38*K39</f>
        <v>0</v>
      </c>
    </row>
    <row r="40" spans="2:16" ht="20.149999999999999" customHeight="1" x14ac:dyDescent="0.45">
      <c r="B40" s="11" t="s">
        <v>20</v>
      </c>
      <c r="C40" s="7"/>
      <c r="D40" s="7"/>
      <c r="E40" s="7"/>
      <c r="F40" s="7"/>
      <c r="G40" s="7"/>
      <c r="H40" s="7"/>
      <c r="I40" s="7"/>
      <c r="J40" s="486" t="s">
        <v>21</v>
      </c>
      <c r="K40" s="487"/>
      <c r="L40" s="46">
        <f>L38-L39</f>
        <v>443</v>
      </c>
    </row>
    <row r="41" spans="2:16" ht="20.149999999999999" customHeight="1" x14ac:dyDescent="0.45">
      <c r="B41" s="11" t="s">
        <v>24</v>
      </c>
      <c r="C41" s="7"/>
      <c r="D41" s="7"/>
      <c r="E41" s="7"/>
      <c r="F41" s="7"/>
      <c r="G41" s="7"/>
      <c r="H41" s="7"/>
      <c r="I41" s="7"/>
      <c r="J41" s="150" t="s">
        <v>17</v>
      </c>
      <c r="K41" s="151">
        <v>7.0000000000000007E-2</v>
      </c>
      <c r="L41" s="47">
        <f>L40*K41</f>
        <v>31.01</v>
      </c>
    </row>
    <row r="42" spans="2:16" ht="20.149999999999999" customHeight="1" thickBot="1" x14ac:dyDescent="0.5">
      <c r="B42" s="11" t="s">
        <v>25</v>
      </c>
      <c r="C42" s="7"/>
      <c r="D42" s="7"/>
      <c r="E42" s="7"/>
      <c r="F42" s="7"/>
      <c r="G42" s="7"/>
      <c r="H42" s="7"/>
      <c r="I42" s="7"/>
      <c r="J42" s="488" t="s">
        <v>23</v>
      </c>
      <c r="K42" s="489"/>
      <c r="L42" s="48">
        <f>L40+L41</f>
        <v>474.01</v>
      </c>
    </row>
    <row r="43" spans="2:16" ht="20.149999999999999" customHeight="1" x14ac:dyDescent="0.45">
      <c r="B43" s="11" t="s">
        <v>26</v>
      </c>
      <c r="C43" s="7"/>
      <c r="D43" s="7"/>
      <c r="E43" s="7"/>
      <c r="F43" s="7"/>
      <c r="G43" s="7"/>
      <c r="H43" s="7"/>
      <c r="I43" s="7"/>
      <c r="L43" s="42"/>
    </row>
    <row r="44" spans="2:16" ht="20.149999999999999" customHeight="1" x14ac:dyDescent="0.45">
      <c r="B44" s="41"/>
      <c r="L44" s="42"/>
    </row>
    <row r="45" spans="2:16" x14ac:dyDescent="0.45">
      <c r="B45" s="41"/>
      <c r="L45" s="42"/>
    </row>
    <row r="46" spans="2:16" ht="20.149999999999999" customHeight="1" x14ac:dyDescent="0.45">
      <c r="B46" s="41"/>
      <c r="L46" s="42"/>
    </row>
    <row r="47" spans="2:16" ht="20.149999999999999" customHeight="1" x14ac:dyDescent="0.45">
      <c r="B47" s="41"/>
      <c r="L47" s="42"/>
    </row>
    <row r="48" spans="2:16" x14ac:dyDescent="0.45">
      <c r="B48" s="49"/>
      <c r="C48" s="50"/>
      <c r="D48" s="50"/>
      <c r="J48" s="50"/>
      <c r="K48" s="50"/>
      <c r="L48" s="51"/>
    </row>
    <row r="49" spans="2:12" ht="20.149999999999999" customHeight="1" x14ac:dyDescent="0.45">
      <c r="B49" s="41" t="s">
        <v>27</v>
      </c>
      <c r="J49" s="24" t="s">
        <v>28</v>
      </c>
      <c r="L49" s="42"/>
    </row>
    <row r="50" spans="2:12" ht="19" thickBot="1" x14ac:dyDescent="0.5">
      <c r="B50" s="52"/>
      <c r="C50" s="53"/>
      <c r="D50" s="53"/>
      <c r="E50" s="53"/>
      <c r="F50" s="53"/>
      <c r="G50" s="53"/>
      <c r="H50" s="53"/>
      <c r="I50" s="53"/>
      <c r="J50" s="53"/>
      <c r="K50" s="53"/>
      <c r="L50" s="54"/>
    </row>
  </sheetData>
  <mergeCells count="56">
    <mergeCell ref="D35:F35"/>
    <mergeCell ref="I35:J35"/>
    <mergeCell ref="D33:F33"/>
    <mergeCell ref="D34:F34"/>
    <mergeCell ref="I33:J33"/>
    <mergeCell ref="I34:J34"/>
    <mergeCell ref="D29:F29"/>
    <mergeCell ref="I29:J29"/>
    <mergeCell ref="D31:F31"/>
    <mergeCell ref="I32:J32"/>
    <mergeCell ref="I31:J31"/>
    <mergeCell ref="D30:F30"/>
    <mergeCell ref="I30:J30"/>
    <mergeCell ref="D32:F32"/>
    <mergeCell ref="J42:K42"/>
    <mergeCell ref="D36:F36"/>
    <mergeCell ref="I36:J36"/>
    <mergeCell ref="J40:K40"/>
    <mergeCell ref="J38:K38"/>
    <mergeCell ref="D22:F22"/>
    <mergeCell ref="D23:F23"/>
    <mergeCell ref="I22:J22"/>
    <mergeCell ref="D21:F21"/>
    <mergeCell ref="I21:J21"/>
    <mergeCell ref="D25:F25"/>
    <mergeCell ref="D28:F28"/>
    <mergeCell ref="I25:J25"/>
    <mergeCell ref="I28:J28"/>
    <mergeCell ref="I23:J23"/>
    <mergeCell ref="D26:F26"/>
    <mergeCell ref="I26:J26"/>
    <mergeCell ref="D24:F24"/>
    <mergeCell ref="I24:J24"/>
    <mergeCell ref="D27:F27"/>
    <mergeCell ref="I27:J2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  <mergeCell ref="I18:J18"/>
    <mergeCell ref="I20:J20"/>
    <mergeCell ref="D17:F17"/>
    <mergeCell ref="I17:J17"/>
    <mergeCell ref="D19:F19"/>
    <mergeCell ref="I19:J19"/>
    <mergeCell ref="D18:F18"/>
    <mergeCell ref="D20:F20"/>
  </mergeCells>
  <pageMargins left="0.39370078740157499" right="0.196850393700787" top="0.196850393700787" bottom="0.196850393700787" header="0.31496062992126" footer="0.31496062992126"/>
  <pageSetup paperSize="9" scale="80" orientation="portrait" horizontalDpi="300" verticalDpi="300" r:id="rId1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E9478-1045-4961-959A-1BA9B6D4E03A}">
  <sheetPr codeName="Sheet194">
    <tabColor rgb="FF92D050"/>
    <pageSetUpPr fitToPage="1"/>
  </sheetPr>
  <dimension ref="B1:P49"/>
  <sheetViews>
    <sheetView workbookViewId="0">
      <selection activeCell="B1" sqref="B1:L49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6.54296875" style="24" customWidth="1"/>
    <col min="7" max="7" width="8.54296875" style="24" customWidth="1"/>
    <col min="8" max="8" width="15.7265625" style="24" customWidth="1"/>
    <col min="9" max="9" width="0.7265625" style="24" customWidth="1"/>
    <col min="10" max="10" width="20.26953125" style="24" customWidth="1"/>
    <col min="11" max="11" width="10.54296875" style="24" customWidth="1"/>
    <col min="12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2252</v>
      </c>
      <c r="J10" s="29" t="s">
        <v>29</v>
      </c>
      <c r="K10" s="452">
        <v>202209309</v>
      </c>
      <c r="L10" s="453"/>
    </row>
    <row r="11" spans="2:12" ht="20.149999999999999" customHeight="1" x14ac:dyDescent="0.45">
      <c r="B11" s="454" t="s">
        <v>2037</v>
      </c>
      <c r="C11" s="455"/>
      <c r="D11" s="456"/>
      <c r="E11" s="30"/>
      <c r="F11" s="457" t="str">
        <f>VLOOKUP(H10,'Delivery Location'!A$4:N$416,2,0)</f>
        <v xml:space="preserve"> Punggol OASIS (Gourmet Paradise)                 681 Punggol Drive                                                    #04-01 OASIS Terraces                   Singapore 820681  (Drink Stall)</v>
      </c>
      <c r="G11" s="458"/>
      <c r="H11" s="459"/>
      <c r="J11" s="31" t="s">
        <v>11</v>
      </c>
      <c r="K11" s="466">
        <v>44824</v>
      </c>
      <c r="L11" s="467"/>
    </row>
    <row r="12" spans="2:12" ht="20.149999999999999" customHeight="1" x14ac:dyDescent="0.45">
      <c r="B12" s="468" t="s">
        <v>2023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533</v>
      </c>
      <c r="L12" s="472"/>
    </row>
    <row r="13" spans="2:12" ht="20.149999999999999" customHeight="1" x14ac:dyDescent="0.45">
      <c r="B13" s="468" t="s">
        <v>2024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14</v>
      </c>
      <c r="L13" s="472"/>
    </row>
    <row r="14" spans="2:12" ht="20.149999999999999" customHeight="1" x14ac:dyDescent="0.45">
      <c r="B14" s="468" t="s">
        <v>2025</v>
      </c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463" t="s">
        <v>2026</v>
      </c>
      <c r="C15" s="464"/>
      <c r="D15" s="465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16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16" ht="20.149999999999999" customHeight="1" x14ac:dyDescent="0.45">
      <c r="B18" s="34"/>
      <c r="C18" s="22" t="s">
        <v>1656</v>
      </c>
      <c r="D18" s="508" t="str">
        <f>VLOOKUP(C18,'Sales Master'!B$3:D$499,2,)</f>
        <v>Sour Plum 酸梅（无子）</v>
      </c>
      <c r="E18" s="508"/>
      <c r="F18" s="508"/>
      <c r="G18" s="90">
        <v>2</v>
      </c>
      <c r="H18" s="389" t="str">
        <f>VLOOKUP(C18,'Sales Master'!$B$3:$F$3247,5,0)</f>
        <v>1 kg</v>
      </c>
      <c r="I18" s="482" t="str">
        <f>VLOOKUP(C18,'Sales Master'!$B$3:$E$3247,4,0)</f>
        <v>-</v>
      </c>
      <c r="J18" s="482"/>
      <c r="K18" s="35">
        <f>VLOOKUP(C18,'Sales Master'!B$3:AT$499,45,0)</f>
        <v>18.5</v>
      </c>
      <c r="L18" s="77">
        <f>K18*G18</f>
        <v>37</v>
      </c>
      <c r="M18" s="78"/>
      <c r="N18" s="225">
        <f>VLOOKUP(C18,'Sales Master'!$B$3:$DA$3038,104,0)</f>
        <v>14.533333333333333</v>
      </c>
      <c r="O18" s="225">
        <f>K18-N18</f>
        <v>3.9666666666666668</v>
      </c>
      <c r="P18" s="225">
        <f>O18*G18</f>
        <v>7.9333333333333336</v>
      </c>
    </row>
    <row r="19" spans="2:16" ht="20.149999999999999" customHeight="1" x14ac:dyDescent="0.45">
      <c r="B19" s="34"/>
      <c r="C19" s="22"/>
      <c r="D19" s="508"/>
      <c r="E19" s="508"/>
      <c r="F19" s="508"/>
      <c r="G19" s="90"/>
      <c r="H19" s="68"/>
      <c r="I19" s="481"/>
      <c r="J19" s="481"/>
      <c r="K19" s="35"/>
      <c r="L19" s="77"/>
      <c r="M19" s="78"/>
      <c r="N19" s="225"/>
      <c r="O19" s="225"/>
      <c r="P19" s="225"/>
    </row>
    <row r="20" spans="2:16" ht="20.149999999999999" customHeight="1" x14ac:dyDescent="0.45">
      <c r="B20" s="34"/>
      <c r="C20" s="22"/>
      <c r="D20" s="508"/>
      <c r="E20" s="508"/>
      <c r="F20" s="508"/>
      <c r="G20" s="90"/>
      <c r="H20" s="68"/>
      <c r="I20" s="481"/>
      <c r="J20" s="481"/>
      <c r="K20" s="35"/>
      <c r="L20" s="77"/>
      <c r="M20" s="78"/>
      <c r="N20" s="225"/>
      <c r="O20" s="225"/>
      <c r="P20" s="225"/>
    </row>
    <row r="21" spans="2:16" ht="20.149999999999999" customHeight="1" x14ac:dyDescent="0.45">
      <c r="B21" s="34"/>
      <c r="C21" s="22"/>
      <c r="D21" s="508"/>
      <c r="E21" s="508"/>
      <c r="F21" s="508"/>
      <c r="G21" s="90"/>
      <c r="H21" s="68"/>
      <c r="I21" s="481"/>
      <c r="J21" s="481"/>
      <c r="K21" s="35"/>
      <c r="L21" s="77"/>
      <c r="M21" s="78"/>
      <c r="N21" s="225"/>
      <c r="O21" s="225"/>
      <c r="P21" s="225"/>
    </row>
    <row r="22" spans="2:16" ht="20.149999999999999" customHeight="1" x14ac:dyDescent="0.45">
      <c r="B22" s="34"/>
      <c r="C22" s="22"/>
      <c r="D22" s="508"/>
      <c r="E22" s="508"/>
      <c r="F22" s="508"/>
      <c r="G22" s="90"/>
      <c r="H22" s="68"/>
      <c r="I22" s="481"/>
      <c r="J22" s="481"/>
      <c r="K22" s="35"/>
      <c r="L22" s="77"/>
      <c r="M22" s="78"/>
      <c r="N22" s="225"/>
      <c r="O22" s="225"/>
      <c r="P22" s="225"/>
    </row>
    <row r="23" spans="2:16" ht="20.149999999999999" customHeight="1" x14ac:dyDescent="0.45">
      <c r="B23" s="34"/>
      <c r="C23" s="22"/>
      <c r="D23" s="508"/>
      <c r="E23" s="508"/>
      <c r="F23" s="508"/>
      <c r="G23" s="90"/>
      <c r="H23" s="68"/>
      <c r="I23" s="481"/>
      <c r="J23" s="481"/>
      <c r="K23" s="35"/>
      <c r="L23" s="77"/>
      <c r="M23" s="78"/>
      <c r="N23" s="225"/>
      <c r="O23" s="225"/>
      <c r="P23" s="225"/>
    </row>
    <row r="24" spans="2:16" ht="20.149999999999999" customHeight="1" x14ac:dyDescent="0.45">
      <c r="B24" s="34"/>
      <c r="C24" s="22"/>
      <c r="D24" s="508"/>
      <c r="E24" s="508"/>
      <c r="F24" s="508"/>
      <c r="G24" s="90"/>
      <c r="H24" s="68"/>
      <c r="I24" s="481"/>
      <c r="J24" s="481"/>
      <c r="K24" s="35"/>
      <c r="L24" s="77"/>
      <c r="M24" s="78"/>
      <c r="N24" s="225"/>
      <c r="O24" s="225"/>
      <c r="P24" s="225"/>
    </row>
    <row r="25" spans="2:16" ht="20.149999999999999" customHeight="1" x14ac:dyDescent="0.45">
      <c r="B25" s="34"/>
      <c r="C25" s="22"/>
      <c r="D25" s="508"/>
      <c r="E25" s="508"/>
      <c r="F25" s="508"/>
      <c r="G25" s="90"/>
      <c r="H25" s="68"/>
      <c r="I25" s="481"/>
      <c r="J25" s="481"/>
      <c r="K25" s="35"/>
      <c r="L25" s="77"/>
      <c r="M25" s="78"/>
      <c r="N25" s="225"/>
      <c r="O25" s="225"/>
      <c r="P25" s="225"/>
    </row>
    <row r="26" spans="2:16" ht="20.149999999999999" customHeight="1" x14ac:dyDescent="0.45">
      <c r="B26" s="34"/>
      <c r="C26" s="22"/>
      <c r="D26" s="508"/>
      <c r="E26" s="508"/>
      <c r="F26" s="508"/>
      <c r="G26" s="90"/>
      <c r="H26" s="68"/>
      <c r="I26" s="481"/>
      <c r="J26" s="481"/>
      <c r="K26" s="35"/>
      <c r="L26" s="77"/>
      <c r="M26" s="78"/>
      <c r="N26" s="225"/>
      <c r="O26" s="225"/>
      <c r="P26" s="225"/>
    </row>
    <row r="27" spans="2:16" ht="20.149999999999999" customHeight="1" x14ac:dyDescent="0.45">
      <c r="B27" s="34"/>
      <c r="C27" s="22"/>
      <c r="D27" s="508"/>
      <c r="E27" s="508"/>
      <c r="F27" s="508"/>
      <c r="G27" s="90"/>
      <c r="H27" s="68"/>
      <c r="I27" s="481"/>
      <c r="J27" s="481"/>
      <c r="K27" s="35"/>
      <c r="L27" s="77"/>
      <c r="M27" s="78"/>
      <c r="N27" s="225"/>
      <c r="O27" s="225"/>
      <c r="P27" s="225"/>
    </row>
    <row r="28" spans="2:16" ht="20.149999999999999" customHeight="1" x14ac:dyDescent="0.45">
      <c r="B28" s="34"/>
      <c r="C28" s="22"/>
      <c r="D28" s="508"/>
      <c r="E28" s="508"/>
      <c r="F28" s="508"/>
      <c r="G28" s="90"/>
      <c r="H28" s="68"/>
      <c r="I28" s="481"/>
      <c r="J28" s="481"/>
      <c r="K28" s="35"/>
      <c r="L28" s="77"/>
      <c r="M28" s="78"/>
      <c r="N28" s="225"/>
      <c r="O28" s="225"/>
      <c r="P28" s="225"/>
    </row>
    <row r="29" spans="2:16" ht="20.149999999999999" customHeight="1" x14ac:dyDescent="0.45">
      <c r="B29" s="34"/>
      <c r="C29" s="22"/>
      <c r="D29" s="508"/>
      <c r="E29" s="508"/>
      <c r="F29" s="508"/>
      <c r="G29" s="90"/>
      <c r="H29" s="68"/>
      <c r="I29" s="481"/>
      <c r="J29" s="481"/>
      <c r="K29" s="35"/>
      <c r="L29" s="77"/>
      <c r="M29" s="78"/>
      <c r="N29" s="225"/>
      <c r="O29" s="225"/>
      <c r="P29" s="225"/>
    </row>
    <row r="30" spans="2:16" ht="20.149999999999999" customHeight="1" x14ac:dyDescent="0.45">
      <c r="B30" s="34"/>
      <c r="C30" s="22"/>
      <c r="D30" s="508"/>
      <c r="E30" s="508"/>
      <c r="F30" s="508"/>
      <c r="G30" s="90"/>
      <c r="H30" s="68"/>
      <c r="I30" s="481"/>
      <c r="J30" s="481"/>
      <c r="K30" s="35"/>
      <c r="L30" s="77"/>
      <c r="M30" s="78"/>
      <c r="N30" s="225"/>
      <c r="O30" s="225"/>
      <c r="P30" s="225"/>
    </row>
    <row r="31" spans="2:16" ht="20.149999999999999" customHeight="1" x14ac:dyDescent="0.45">
      <c r="B31" s="34"/>
      <c r="C31" s="22"/>
      <c r="D31" s="508"/>
      <c r="E31" s="508"/>
      <c r="F31" s="508"/>
      <c r="G31" s="90"/>
      <c r="H31" s="389"/>
      <c r="I31" s="512"/>
      <c r="J31" s="512"/>
      <c r="K31" s="35"/>
      <c r="L31" s="77"/>
      <c r="M31" s="78"/>
      <c r="N31" s="225"/>
      <c r="O31" s="225"/>
      <c r="P31" s="225"/>
    </row>
    <row r="32" spans="2:16" ht="20.149999999999999" customHeight="1" x14ac:dyDescent="0.45">
      <c r="B32" s="34"/>
      <c r="C32" s="22"/>
      <c r="D32" s="508"/>
      <c r="E32" s="508"/>
      <c r="F32" s="508"/>
      <c r="G32" s="90"/>
      <c r="H32" s="389"/>
      <c r="I32" s="512"/>
      <c r="J32" s="512"/>
      <c r="K32" s="35"/>
      <c r="L32" s="77"/>
      <c r="M32" s="78"/>
      <c r="N32" s="225"/>
      <c r="O32" s="225"/>
      <c r="P32" s="225"/>
    </row>
    <row r="33" spans="2:16" ht="20.149999999999999" customHeight="1" x14ac:dyDescent="0.45">
      <c r="B33" s="34"/>
      <c r="C33" s="22"/>
      <c r="D33" s="508"/>
      <c r="E33" s="508"/>
      <c r="F33" s="508"/>
      <c r="G33" s="90"/>
      <c r="H33" s="346"/>
      <c r="I33" s="481"/>
      <c r="J33" s="481"/>
      <c r="K33" s="35"/>
      <c r="L33" s="77"/>
      <c r="M33" s="78"/>
      <c r="N33" s="225"/>
      <c r="O33" s="225"/>
      <c r="P33" s="225"/>
    </row>
    <row r="34" spans="2:16" ht="20.149999999999999" customHeight="1" x14ac:dyDescent="0.45">
      <c r="B34" s="34"/>
      <c r="C34" s="22"/>
      <c r="G34" s="90"/>
      <c r="H34" s="346"/>
      <c r="I34" s="68"/>
      <c r="J34" s="68"/>
      <c r="K34" s="35"/>
      <c r="L34" s="77"/>
      <c r="M34" s="78"/>
      <c r="N34" s="225"/>
      <c r="O34" s="225"/>
      <c r="P34" s="225"/>
    </row>
    <row r="35" spans="2:16" ht="20.149999999999999" customHeight="1" thickBot="1" x14ac:dyDescent="0.5">
      <c r="B35" s="37"/>
      <c r="C35" s="38"/>
      <c r="D35" s="509"/>
      <c r="E35" s="509"/>
      <c r="F35" s="509"/>
      <c r="G35" s="38"/>
      <c r="H35" s="69"/>
      <c r="I35" s="451"/>
      <c r="J35" s="451"/>
      <c r="K35" s="39"/>
      <c r="L35" s="40"/>
    </row>
    <row r="36" spans="2:16" ht="20.149999999999999" customHeight="1" thickBot="1" x14ac:dyDescent="0.5">
      <c r="B36" s="41"/>
      <c r="L36" s="42"/>
    </row>
    <row r="37" spans="2:16" ht="20.149999999999999" customHeight="1" x14ac:dyDescent="0.45">
      <c r="B37" s="11" t="s">
        <v>18</v>
      </c>
      <c r="C37" s="7"/>
      <c r="D37" s="7"/>
      <c r="E37" s="7"/>
      <c r="F37" s="7"/>
      <c r="G37" s="7"/>
      <c r="H37" s="7"/>
      <c r="I37" s="7"/>
      <c r="J37" s="510" t="s">
        <v>15</v>
      </c>
      <c r="K37" s="511"/>
      <c r="L37" s="43">
        <f>SUM(L14:L33)</f>
        <v>37</v>
      </c>
      <c r="M37" s="76">
        <f>SUM(P18:P33)-L37*0.02</f>
        <v>7.1933333333333334</v>
      </c>
      <c r="N37" s="201">
        <f>M37/L37</f>
        <v>0.19441441441441443</v>
      </c>
    </row>
    <row r="38" spans="2:16" ht="20.149999999999999" customHeight="1" x14ac:dyDescent="0.45">
      <c r="B38" s="11" t="s">
        <v>19</v>
      </c>
      <c r="C38" s="7"/>
      <c r="D38" s="7"/>
      <c r="E38" s="7"/>
      <c r="F38" s="7"/>
      <c r="G38" s="7"/>
      <c r="H38" s="7"/>
      <c r="I38" s="7"/>
      <c r="J38" s="44" t="s">
        <v>22</v>
      </c>
      <c r="K38" s="45"/>
      <c r="L38" s="46">
        <f>L37*K38</f>
        <v>0</v>
      </c>
    </row>
    <row r="39" spans="2:16" ht="20.149999999999999" customHeight="1" x14ac:dyDescent="0.45">
      <c r="B39" s="11" t="s">
        <v>20</v>
      </c>
      <c r="C39" s="7"/>
      <c r="D39" s="7"/>
      <c r="E39" s="7"/>
      <c r="F39" s="7"/>
      <c r="G39" s="7"/>
      <c r="H39" s="7"/>
      <c r="I39" s="7"/>
      <c r="J39" s="486" t="s">
        <v>21</v>
      </c>
      <c r="K39" s="487"/>
      <c r="L39" s="46">
        <f>L37-L38</f>
        <v>37</v>
      </c>
    </row>
    <row r="40" spans="2:16" ht="20.149999999999999" customHeight="1" x14ac:dyDescent="0.45">
      <c r="B40" s="11" t="s">
        <v>24</v>
      </c>
      <c r="C40" s="7"/>
      <c r="D40" s="7"/>
      <c r="E40" s="7"/>
      <c r="F40" s="7"/>
      <c r="G40" s="7"/>
      <c r="H40" s="7"/>
      <c r="I40" s="7"/>
      <c r="J40" s="150" t="s">
        <v>17</v>
      </c>
      <c r="K40" s="151">
        <v>7.0000000000000007E-2</v>
      </c>
      <c r="L40" s="47">
        <f>L39*K40</f>
        <v>2.5900000000000003</v>
      </c>
    </row>
    <row r="41" spans="2:16" ht="20.149999999999999" customHeight="1" thickBot="1" x14ac:dyDescent="0.5">
      <c r="B41" s="11" t="s">
        <v>25</v>
      </c>
      <c r="C41" s="7"/>
      <c r="D41" s="7"/>
      <c r="E41" s="7"/>
      <c r="F41" s="7"/>
      <c r="G41" s="7"/>
      <c r="H41" s="7"/>
      <c r="I41" s="7"/>
      <c r="J41" s="488" t="s">
        <v>23</v>
      </c>
      <c r="K41" s="489"/>
      <c r="L41" s="48">
        <f>L39+L40</f>
        <v>39.590000000000003</v>
      </c>
    </row>
    <row r="42" spans="2:16" ht="20.149999999999999" customHeight="1" x14ac:dyDescent="0.45">
      <c r="B42" s="11" t="s">
        <v>26</v>
      </c>
      <c r="C42" s="7"/>
      <c r="D42" s="7"/>
      <c r="E42" s="7"/>
      <c r="F42" s="7"/>
      <c r="G42" s="7"/>
      <c r="H42" s="7"/>
      <c r="I42" s="7"/>
      <c r="L42" s="42"/>
    </row>
    <row r="43" spans="2:16" ht="20.149999999999999" customHeight="1" x14ac:dyDescent="0.45">
      <c r="B43" s="41"/>
      <c r="L43" s="42"/>
    </row>
    <row r="44" spans="2:16" x14ac:dyDescent="0.45">
      <c r="B44" s="41"/>
      <c r="L44" s="42"/>
    </row>
    <row r="45" spans="2:16" ht="20.149999999999999" customHeight="1" x14ac:dyDescent="0.45">
      <c r="B45" s="41"/>
      <c r="L45" s="42"/>
    </row>
    <row r="46" spans="2:16" ht="20.149999999999999" customHeight="1" x14ac:dyDescent="0.45">
      <c r="B46" s="41"/>
      <c r="L46" s="42"/>
    </row>
    <row r="47" spans="2:16" x14ac:dyDescent="0.45">
      <c r="B47" s="49"/>
      <c r="C47" s="50"/>
      <c r="D47" s="50"/>
      <c r="J47" s="50"/>
      <c r="K47" s="50"/>
      <c r="L47" s="51"/>
    </row>
    <row r="48" spans="2:16" ht="20.149999999999999" customHeight="1" x14ac:dyDescent="0.45">
      <c r="B48" s="41" t="s">
        <v>27</v>
      </c>
      <c r="J48" s="24" t="s">
        <v>28</v>
      </c>
      <c r="L48" s="42"/>
    </row>
    <row r="49" spans="2:12" ht="19" thickBot="1" x14ac:dyDescent="0.5">
      <c r="B49" s="52"/>
      <c r="C49" s="53"/>
      <c r="D49" s="53"/>
      <c r="E49" s="53"/>
      <c r="F49" s="53"/>
      <c r="G49" s="53"/>
      <c r="H49" s="53"/>
      <c r="I49" s="53"/>
      <c r="J49" s="53"/>
      <c r="K49" s="53"/>
      <c r="L49" s="54"/>
    </row>
  </sheetData>
  <mergeCells count="52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D28:F28"/>
    <mergeCell ref="I28:J28"/>
    <mergeCell ref="D29:F29"/>
    <mergeCell ref="I29:J29"/>
    <mergeCell ref="D30:F30"/>
    <mergeCell ref="I30:J30"/>
    <mergeCell ref="D31:F31"/>
    <mergeCell ref="I31:J31"/>
    <mergeCell ref="D32:F32"/>
    <mergeCell ref="I32:J32"/>
    <mergeCell ref="J39:K39"/>
    <mergeCell ref="J41:K41"/>
    <mergeCell ref="D33:F33"/>
    <mergeCell ref="I33:J33"/>
    <mergeCell ref="D35:F35"/>
    <mergeCell ref="I35:J35"/>
    <mergeCell ref="J37:K37"/>
  </mergeCells>
  <pageMargins left="0.70866141732283472" right="0.31496062992125984" top="0.59055118110236227" bottom="0" header="0.31496062992125984" footer="0.31496062992125984"/>
  <pageSetup paperSize="9" scale="74" orientation="portrait" horizontalDpi="300" verticalDpi="300" r:id="rId1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700DE-FC1E-4DFC-8E4A-5DE56EC2BC82}">
  <sheetPr codeName="Sheet118">
    <tabColor rgb="FF92D050"/>
    <pageSetUpPr fitToPage="1"/>
  </sheetPr>
  <dimension ref="A1:V43"/>
  <sheetViews>
    <sheetView workbookViewId="0">
      <selection activeCell="B1" sqref="B1:L42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6.54296875" style="24" customWidth="1"/>
    <col min="7" max="7" width="8.54296875" style="24" customWidth="1"/>
    <col min="8" max="8" width="12.54296875" style="24" customWidth="1"/>
    <col min="9" max="9" width="2.54296875" style="24" customWidth="1"/>
    <col min="10" max="10" width="15.54296875" style="24" customWidth="1"/>
    <col min="11" max="12" width="12.54296875" style="24" customWidth="1"/>
    <col min="13" max="16384" width="12.54296875" style="24"/>
  </cols>
  <sheetData>
    <row r="1" spans="2:13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3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3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3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3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3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3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  <c r="M7" s="24" t="s">
        <v>720</v>
      </c>
    </row>
    <row r="8" spans="2:13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3" ht="19" thickBot="1" x14ac:dyDescent="0.5">
      <c r="B9" s="23"/>
    </row>
    <row r="10" spans="2:13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229</v>
      </c>
      <c r="J10" s="29" t="s">
        <v>29</v>
      </c>
      <c r="K10" s="452">
        <v>202209074</v>
      </c>
      <c r="L10" s="453"/>
    </row>
    <row r="11" spans="2:13" ht="20.149999999999999" customHeight="1" x14ac:dyDescent="0.45">
      <c r="B11" s="454" t="s">
        <v>513</v>
      </c>
      <c r="C11" s="455"/>
      <c r="D11" s="456"/>
      <c r="E11" s="30"/>
      <c r="F11" s="457" t="str">
        <f>VLOOKUP(H10,'Delivery Location'!A$4:N$416,2,0)</f>
        <v>Dessert Station                                        52 Hougang St 11.                         CENTRAL VIEW TOWER 2               #13-07. Singapore 538750</v>
      </c>
      <c r="G11" s="458"/>
      <c r="H11" s="459"/>
      <c r="J11" s="31" t="s">
        <v>11</v>
      </c>
      <c r="K11" s="466">
        <v>44809</v>
      </c>
      <c r="L11" s="467"/>
    </row>
    <row r="12" spans="2:13" ht="20.149999999999999" customHeight="1" x14ac:dyDescent="0.45">
      <c r="B12" s="468" t="s">
        <v>1243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533</v>
      </c>
      <c r="L12" s="472"/>
    </row>
    <row r="13" spans="2:13" ht="20.149999999999999" customHeight="1" x14ac:dyDescent="0.45">
      <c r="B13" s="468" t="s">
        <v>1244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14</v>
      </c>
      <c r="L13" s="472"/>
    </row>
    <row r="14" spans="2:13" ht="20.149999999999999" customHeight="1" x14ac:dyDescent="0.45">
      <c r="B14" s="468" t="s">
        <v>645</v>
      </c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3" ht="18" customHeight="1" thickBot="1" x14ac:dyDescent="0.5">
      <c r="B15" s="55"/>
      <c r="C15" s="56"/>
      <c r="D15" s="57"/>
      <c r="E15" s="26"/>
      <c r="F15" s="463"/>
      <c r="G15" s="464"/>
      <c r="H15" s="465"/>
      <c r="J15" s="32" t="s">
        <v>13</v>
      </c>
      <c r="K15" s="476"/>
      <c r="L15" s="477"/>
    </row>
    <row r="16" spans="2:13" ht="19" thickBot="1" x14ac:dyDescent="0.5">
      <c r="J16" s="22"/>
    </row>
    <row r="17" spans="1:22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8" t="s">
        <v>60</v>
      </c>
      <c r="I17" s="478" t="s">
        <v>621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1:22" ht="20.149999999999999" customHeight="1" x14ac:dyDescent="0.45">
      <c r="A18" s="24" t="s">
        <v>720</v>
      </c>
      <c r="B18" s="34"/>
      <c r="C18" s="22" t="s">
        <v>1593</v>
      </c>
      <c r="D18" s="508" t="str">
        <f>VLOOKUP(C18,'Sales Master'!B$3:D$499,2,)</f>
        <v>Split Green Mung Bean豆畔</v>
      </c>
      <c r="E18" s="508"/>
      <c r="F18" s="508"/>
      <c r="G18" s="22">
        <v>6</v>
      </c>
      <c r="H18" s="389" t="str">
        <f>VLOOKUP(C18,'Sales Master'!$B$3:$E$590,4,0)</f>
        <v>-</v>
      </c>
      <c r="I18" s="512" t="str">
        <f>VLOOKUP(C18,'Sales Master'!$B$3:F$590,5,0)</f>
        <v>5 KG</v>
      </c>
      <c r="J18" s="512"/>
      <c r="K18" s="98">
        <v>16.5</v>
      </c>
      <c r="L18" s="77">
        <f>K18*G18</f>
        <v>99</v>
      </c>
      <c r="M18" s="78"/>
      <c r="N18" s="225">
        <f>VLOOKUP(C18,'Sales Master'!$B$3:$DA$3038,104,0)</f>
        <v>12.166666666666666</v>
      </c>
      <c r="O18" s="225">
        <f>K18-N18</f>
        <v>4.3333333333333339</v>
      </c>
      <c r="P18" s="225">
        <f>O18*G18</f>
        <v>26.000000000000004</v>
      </c>
      <c r="R18" s="24">
        <v>1</v>
      </c>
      <c r="S18" s="24" t="s">
        <v>735</v>
      </c>
      <c r="T18" s="24" t="s">
        <v>136</v>
      </c>
      <c r="V18" s="24">
        <v>80</v>
      </c>
    </row>
    <row r="19" spans="1:22" ht="20.149999999999999" customHeight="1" x14ac:dyDescent="0.45">
      <c r="B19" s="34"/>
      <c r="C19" s="22" t="s">
        <v>1622</v>
      </c>
      <c r="D19" s="508" t="str">
        <f>VLOOKUP(C19,'Sales Master'!B$3:D$499,2,)</f>
        <v>Fungus 黄木耳</v>
      </c>
      <c r="E19" s="508"/>
      <c r="F19" s="508"/>
      <c r="G19" s="22">
        <v>6</v>
      </c>
      <c r="H19" s="389" t="str">
        <f>VLOOKUP(C19,'Sales Master'!$B$3:$E$590,4,0)</f>
        <v>黄</v>
      </c>
      <c r="I19" s="512" t="str">
        <f>VLOOKUP(C19,'Sales Master'!$B$3:F$590,5,0)</f>
        <v>1 kg</v>
      </c>
      <c r="J19" s="512"/>
      <c r="K19" s="98">
        <f>VLOOKUP(C19,'Sales Master'!B$3:M$499,12,0)</f>
        <v>16</v>
      </c>
      <c r="L19" s="77">
        <f>K19*G19</f>
        <v>96</v>
      </c>
      <c r="M19" s="78"/>
      <c r="N19" s="225">
        <f>VLOOKUP(C19,'Sales Master'!$B$3:$DA$3038,104,0)</f>
        <v>11.5</v>
      </c>
      <c r="O19" s="225">
        <f>K19-N19</f>
        <v>4.5</v>
      </c>
      <c r="P19" s="225">
        <f>O19*G19</f>
        <v>27</v>
      </c>
      <c r="R19" s="24">
        <v>1</v>
      </c>
      <c r="S19" s="24">
        <v>0</v>
      </c>
      <c r="T19" s="24" t="s">
        <v>737</v>
      </c>
      <c r="V19" s="24">
        <v>80</v>
      </c>
    </row>
    <row r="20" spans="1:22" ht="20.149999999999999" customHeight="1" x14ac:dyDescent="0.45">
      <c r="B20" s="34"/>
      <c r="C20" s="22" t="s">
        <v>1644</v>
      </c>
      <c r="D20" s="508" t="str">
        <f>VLOOKUP(C20,'Sales Master'!B$3:D$499,2,)</f>
        <v>Peanut 花生</v>
      </c>
      <c r="E20" s="508"/>
      <c r="F20" s="508"/>
      <c r="G20" s="22">
        <v>1</v>
      </c>
      <c r="H20" s="389">
        <f>VLOOKUP(C20,'Sales Master'!$B$3:$E$590,4,0)</f>
        <v>0</v>
      </c>
      <c r="I20" s="512" t="str">
        <f>VLOOKUP(C20,'Sales Master'!$B$3:F$590,5,0)</f>
        <v>12.5KG/PKT X 2</v>
      </c>
      <c r="J20" s="512"/>
      <c r="K20" s="98">
        <f>VLOOKUP(C20,'Sales Master'!B$3:M$499,12,0)</f>
        <v>90</v>
      </c>
      <c r="L20" s="77">
        <f>K20*G20</f>
        <v>90</v>
      </c>
      <c r="M20" s="78"/>
      <c r="N20" s="225">
        <f>VLOOKUP(C20,'Sales Master'!$B$3:$DA$3038,104,0)</f>
        <v>72.5</v>
      </c>
      <c r="O20" s="225">
        <f>K20-N20</f>
        <v>17.5</v>
      </c>
      <c r="P20" s="225">
        <f>O20*G20</f>
        <v>17.5</v>
      </c>
      <c r="R20" s="24">
        <v>1</v>
      </c>
      <c r="S20" s="24">
        <v>0</v>
      </c>
      <c r="T20" s="24" t="s">
        <v>737</v>
      </c>
      <c r="V20" s="24">
        <v>80</v>
      </c>
    </row>
    <row r="21" spans="1:22" ht="20.149999999999999" customHeight="1" x14ac:dyDescent="0.45">
      <c r="B21" s="34"/>
      <c r="C21" s="22"/>
      <c r="G21" s="22"/>
      <c r="H21" s="68"/>
      <c r="I21" s="68"/>
      <c r="J21" s="68"/>
      <c r="K21" s="98"/>
      <c r="L21" s="77"/>
      <c r="M21" s="78"/>
      <c r="N21" s="125"/>
    </row>
    <row r="22" spans="1:22" ht="20.149999999999999" customHeight="1" x14ac:dyDescent="0.45">
      <c r="B22" s="34"/>
      <c r="C22" s="90"/>
      <c r="D22" s="402"/>
      <c r="E22" s="402"/>
      <c r="F22" s="402"/>
      <c r="G22" s="90"/>
      <c r="H22" s="68"/>
      <c r="I22" s="68"/>
      <c r="J22" s="68"/>
      <c r="K22" s="286"/>
      <c r="L22" s="77"/>
      <c r="M22" s="78"/>
    </row>
    <row r="23" spans="1:22" ht="20.149999999999999" customHeight="1" x14ac:dyDescent="0.45">
      <c r="B23" s="34"/>
      <c r="C23" s="299"/>
      <c r="G23" s="90"/>
      <c r="H23" s="68"/>
      <c r="I23" s="68"/>
      <c r="J23" s="68"/>
      <c r="K23" s="286"/>
      <c r="L23" s="77"/>
      <c r="M23" s="78"/>
    </row>
    <row r="24" spans="1:22" ht="20.149999999999999" customHeight="1" x14ac:dyDescent="0.45">
      <c r="B24" s="34"/>
      <c r="C24" s="22"/>
      <c r="D24" s="505"/>
      <c r="E24" s="505"/>
      <c r="F24" s="505"/>
      <c r="G24" s="90"/>
      <c r="H24" s="97"/>
      <c r="I24" s="506"/>
      <c r="J24" s="506"/>
      <c r="K24" s="286"/>
      <c r="L24" s="77"/>
      <c r="M24" s="78"/>
    </row>
    <row r="25" spans="1:22" ht="20.149999999999999" customHeight="1" x14ac:dyDescent="0.45">
      <c r="B25" s="34"/>
      <c r="C25" s="22"/>
      <c r="D25" s="230"/>
      <c r="E25" s="230"/>
      <c r="F25" s="230"/>
      <c r="G25" s="90"/>
      <c r="H25" s="68"/>
      <c r="I25" s="68"/>
      <c r="J25" s="68"/>
      <c r="K25" s="286"/>
      <c r="L25" s="77"/>
      <c r="M25" s="78"/>
    </row>
    <row r="26" spans="1:22" ht="20.149999999999999" customHeight="1" x14ac:dyDescent="0.45">
      <c r="B26" s="34"/>
      <c r="C26" s="299"/>
      <c r="G26" s="90"/>
      <c r="H26" s="68"/>
      <c r="I26" s="68"/>
      <c r="J26" s="68"/>
      <c r="K26" s="286"/>
      <c r="L26" s="77"/>
      <c r="M26" s="78"/>
    </row>
    <row r="27" spans="1:22" ht="20.149999999999999" customHeight="1" x14ac:dyDescent="0.45">
      <c r="B27" s="34"/>
      <c r="C27" s="22"/>
      <c r="D27" s="505"/>
      <c r="E27" s="505"/>
      <c r="F27" s="505"/>
      <c r="G27" s="90"/>
      <c r="H27" s="97"/>
      <c r="I27" s="506"/>
      <c r="J27" s="506"/>
      <c r="K27" s="286"/>
      <c r="L27" s="77"/>
      <c r="M27" s="78"/>
    </row>
    <row r="28" spans="1:22" ht="20.149999999999999" customHeight="1" thickBot="1" x14ac:dyDescent="0.5">
      <c r="B28" s="37"/>
      <c r="C28" s="38"/>
      <c r="D28" s="509"/>
      <c r="E28" s="509"/>
      <c r="F28" s="509"/>
      <c r="G28" s="38"/>
      <c r="H28" s="69"/>
      <c r="I28" s="451"/>
      <c r="J28" s="451"/>
      <c r="K28" s="39"/>
      <c r="L28" s="40"/>
    </row>
    <row r="29" spans="1:22" ht="20.149999999999999" customHeight="1" thickBot="1" x14ac:dyDescent="0.5">
      <c r="B29" s="41"/>
      <c r="L29" s="42"/>
    </row>
    <row r="30" spans="1:22" ht="20.149999999999999" customHeight="1" x14ac:dyDescent="0.45">
      <c r="B30" s="11" t="s">
        <v>18</v>
      </c>
      <c r="C30" s="7"/>
      <c r="D30" s="7"/>
      <c r="E30" s="7"/>
      <c r="F30" s="7"/>
      <c r="G30" s="7"/>
      <c r="H30" s="7"/>
      <c r="I30" s="7"/>
      <c r="J30" s="510" t="s">
        <v>15</v>
      </c>
      <c r="K30" s="511"/>
      <c r="L30" s="43">
        <f>SUM(L17:L27)</f>
        <v>285</v>
      </c>
      <c r="M30" s="76">
        <f>SUM(P18:P27)</f>
        <v>70.5</v>
      </c>
      <c r="N30" s="201">
        <f>M30/L30</f>
        <v>0.24736842105263157</v>
      </c>
    </row>
    <row r="31" spans="1:22" ht="20.149999999999999" customHeight="1" x14ac:dyDescent="0.45">
      <c r="B31" s="11" t="s">
        <v>19</v>
      </c>
      <c r="C31" s="7"/>
      <c r="D31" s="7"/>
      <c r="E31" s="7"/>
      <c r="F31" s="7"/>
      <c r="G31" s="7"/>
      <c r="H31" s="7"/>
      <c r="I31" s="7"/>
      <c r="J31" s="44" t="s">
        <v>22</v>
      </c>
      <c r="K31" s="45"/>
      <c r="L31" s="46">
        <f>L30*K31</f>
        <v>0</v>
      </c>
    </row>
    <row r="32" spans="1:22" ht="20.149999999999999" customHeight="1" x14ac:dyDescent="0.45">
      <c r="B32" s="11" t="s">
        <v>20</v>
      </c>
      <c r="C32" s="7"/>
      <c r="D32" s="7"/>
      <c r="E32" s="7"/>
      <c r="F32" s="7"/>
      <c r="G32" s="7"/>
      <c r="H32" s="7"/>
      <c r="I32" s="7"/>
      <c r="J32" s="486" t="s">
        <v>21</v>
      </c>
      <c r="K32" s="487"/>
      <c r="L32" s="46">
        <f>L30-L31</f>
        <v>285</v>
      </c>
    </row>
    <row r="33" spans="2:12" ht="20.149999999999999" customHeight="1" x14ac:dyDescent="0.45">
      <c r="B33" s="11" t="s">
        <v>24</v>
      </c>
      <c r="C33" s="7"/>
      <c r="D33" s="7"/>
      <c r="E33" s="7"/>
      <c r="F33" s="7"/>
      <c r="G33" s="7"/>
      <c r="H33" s="7"/>
      <c r="I33" s="7"/>
      <c r="J33" s="150" t="s">
        <v>17</v>
      </c>
      <c r="K33" s="151">
        <v>7.0000000000000007E-2</v>
      </c>
      <c r="L33" s="47">
        <f>L32*K33</f>
        <v>19.950000000000003</v>
      </c>
    </row>
    <row r="34" spans="2:12" ht="20.149999999999999" customHeight="1" thickBot="1" x14ac:dyDescent="0.5">
      <c r="B34" s="11" t="s">
        <v>25</v>
      </c>
      <c r="C34" s="7"/>
      <c r="D34" s="7"/>
      <c r="E34" s="7"/>
      <c r="F34" s="7"/>
      <c r="G34" s="7"/>
      <c r="H34" s="7"/>
      <c r="I34" s="7"/>
      <c r="J34" s="488" t="s">
        <v>23</v>
      </c>
      <c r="K34" s="489"/>
      <c r="L34" s="48">
        <f>L32+L33</f>
        <v>304.95</v>
      </c>
    </row>
    <row r="35" spans="2:12" ht="20.149999999999999" customHeight="1" x14ac:dyDescent="0.45">
      <c r="B35" s="11" t="s">
        <v>26</v>
      </c>
      <c r="C35" s="7"/>
      <c r="D35" s="7"/>
      <c r="E35" s="7"/>
      <c r="F35" s="7"/>
      <c r="G35" s="7"/>
      <c r="H35" s="7"/>
      <c r="I35" s="7"/>
      <c r="L35" s="42"/>
    </row>
    <row r="36" spans="2:12" ht="20.149999999999999" customHeight="1" x14ac:dyDescent="0.45">
      <c r="B36" s="41"/>
      <c r="L36" s="42"/>
    </row>
    <row r="37" spans="2:12" ht="20.149999999999999" customHeight="1" x14ac:dyDescent="0.45">
      <c r="B37" s="41"/>
      <c r="L37" s="42"/>
    </row>
    <row r="38" spans="2:12" ht="20.149999999999999" customHeight="1" x14ac:dyDescent="0.45">
      <c r="B38" s="41"/>
      <c r="L38" s="42"/>
    </row>
    <row r="39" spans="2:12" ht="20.149999999999999" customHeight="1" x14ac:dyDescent="0.45">
      <c r="B39" s="41"/>
      <c r="L39" s="42"/>
    </row>
    <row r="40" spans="2:12" ht="20.149999999999999" customHeight="1" x14ac:dyDescent="0.45">
      <c r="B40" s="49"/>
      <c r="C40" s="50"/>
      <c r="D40" s="50"/>
      <c r="J40" s="50"/>
      <c r="K40" s="50"/>
      <c r="L40" s="51" t="s">
        <v>720</v>
      </c>
    </row>
    <row r="41" spans="2:12" ht="20.149999999999999" customHeight="1" x14ac:dyDescent="0.45">
      <c r="B41" s="41" t="s">
        <v>27</v>
      </c>
      <c r="J41" s="24" t="s">
        <v>28</v>
      </c>
      <c r="L41" s="42"/>
    </row>
    <row r="42" spans="2:12" ht="19" thickBot="1" x14ac:dyDescent="0.5">
      <c r="B42" s="52"/>
      <c r="C42" s="53"/>
      <c r="D42" s="53"/>
      <c r="E42" s="53"/>
      <c r="F42" s="53"/>
      <c r="G42" s="53"/>
      <c r="H42" s="53"/>
      <c r="I42" s="53"/>
      <c r="J42" s="53"/>
      <c r="K42" s="53"/>
      <c r="L42" s="54"/>
    </row>
    <row r="43" spans="2:12" ht="20.5" x14ac:dyDescent="0.45">
      <c r="F43" s="426"/>
    </row>
  </sheetData>
  <mergeCells count="29">
    <mergeCell ref="B14:D14"/>
    <mergeCell ref="K14:L14"/>
    <mergeCell ref="K15:L15"/>
    <mergeCell ref="K11:L11"/>
    <mergeCell ref="B12:D12"/>
    <mergeCell ref="K12:L12"/>
    <mergeCell ref="B13:D13"/>
    <mergeCell ref="K13:L13"/>
    <mergeCell ref="J34:K34"/>
    <mergeCell ref="D27:F27"/>
    <mergeCell ref="I27:J27"/>
    <mergeCell ref="D28:F28"/>
    <mergeCell ref="I28:J28"/>
    <mergeCell ref="B1:L8"/>
    <mergeCell ref="J30:K30"/>
    <mergeCell ref="J32:K32"/>
    <mergeCell ref="D24:F24"/>
    <mergeCell ref="I24:J24"/>
    <mergeCell ref="D20:F20"/>
    <mergeCell ref="I20:J20"/>
    <mergeCell ref="D19:F19"/>
    <mergeCell ref="I19:J19"/>
    <mergeCell ref="D17:F17"/>
    <mergeCell ref="I17:J17"/>
    <mergeCell ref="D18:F18"/>
    <mergeCell ref="K10:L10"/>
    <mergeCell ref="B11:D11"/>
    <mergeCell ref="I18:J18"/>
    <mergeCell ref="F11:H15"/>
  </mergeCells>
  <conditionalFormatting sqref="C24:C25">
    <cfRule type="duplicateValues" dxfId="4" priority="1"/>
  </conditionalFormatting>
  <conditionalFormatting sqref="C23:C26">
    <cfRule type="duplicateValues" dxfId="3" priority="2"/>
  </conditionalFormatting>
  <pageMargins left="0.70866141732283505" right="0.31496062992126" top="0.59055118110236204" bottom="0" header="0.31496062992126" footer="0.31496062992126"/>
  <pageSetup paperSize="9" scale="78" orientation="portrait" horizontalDpi="300" verticalDpi="300" r:id="rId1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2DC78A-B117-49F9-964D-EC1200DEF849}">
  <sheetPr codeName="Sheet124">
    <tabColor rgb="FF92D050"/>
    <pageSetUpPr fitToPage="1"/>
  </sheetPr>
  <dimension ref="B1:P1048576"/>
  <sheetViews>
    <sheetView topLeftCell="B34" workbookViewId="0">
      <selection activeCell="B1" sqref="B1:L42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7.1796875" style="24" customWidth="1"/>
    <col min="7" max="7" width="8.54296875" style="24" customWidth="1"/>
    <col min="8" max="8" width="17.81640625" style="24" customWidth="1"/>
    <col min="9" max="9" width="1.7265625" style="24" customWidth="1"/>
    <col min="10" max="10" width="13.453125" style="24" customWidth="1"/>
    <col min="11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163</v>
      </c>
      <c r="J10" s="29" t="s">
        <v>29</v>
      </c>
      <c r="K10" s="452">
        <v>202209473</v>
      </c>
      <c r="L10" s="453"/>
    </row>
    <row r="11" spans="2:12" ht="20.149999999999999" customHeight="1" x14ac:dyDescent="0.45">
      <c r="B11" s="454" t="s">
        <v>2037</v>
      </c>
      <c r="C11" s="455"/>
      <c r="D11" s="456"/>
      <c r="E11" s="30"/>
      <c r="F11" s="457" t="str">
        <f>VLOOKUP(H10,'Delivery Location'!A$4:N$416,2,0)</f>
        <v xml:space="preserve">Koufu - Dim Sum                                                     Block 500, Toa Payoh Centre. Lorong 6     #02-30  Singapore 310500                                                                </v>
      </c>
      <c r="G11" s="458"/>
      <c r="H11" s="459"/>
      <c r="J11" s="31" t="s">
        <v>11</v>
      </c>
      <c r="K11" s="466">
        <v>44834</v>
      </c>
      <c r="L11" s="467"/>
    </row>
    <row r="12" spans="2:12" ht="20.149999999999999" customHeight="1" x14ac:dyDescent="0.45">
      <c r="B12" s="468" t="s">
        <v>2139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533</v>
      </c>
      <c r="L12" s="472"/>
    </row>
    <row r="13" spans="2:12" ht="20.149999999999999" customHeight="1" x14ac:dyDescent="0.45">
      <c r="B13" s="468" t="s">
        <v>2024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14</v>
      </c>
      <c r="L13" s="472"/>
    </row>
    <row r="14" spans="2:12" ht="20.149999999999999" customHeight="1" x14ac:dyDescent="0.45">
      <c r="B14" s="468" t="s">
        <v>2025</v>
      </c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463" t="s">
        <v>2026</v>
      </c>
      <c r="C15" s="464"/>
      <c r="D15" s="465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16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16" ht="20.149999999999999" customHeight="1" x14ac:dyDescent="0.45">
      <c r="B18" s="34"/>
      <c r="C18" s="22" t="s">
        <v>1530</v>
      </c>
      <c r="D18" s="508" t="str">
        <f>VLOOKUP(C18,'Sales Master'!B$3:D$499,2,)</f>
        <v>Sweet Potato Powder番薯粉</v>
      </c>
      <c r="E18" s="508"/>
      <c r="F18" s="508"/>
      <c r="G18" s="22">
        <v>2</v>
      </c>
      <c r="H18" s="389" t="str">
        <f>VLOOKUP(C18,'Sales Master'!$B$3:$F$3247,5,0)</f>
        <v>3 kgs</v>
      </c>
      <c r="I18" s="482" t="str">
        <f>VLOOKUP(C18,'Sales Master'!$B$3:$E$3247,4,0)</f>
        <v>RE-PACK</v>
      </c>
      <c r="J18" s="482"/>
      <c r="K18" s="35">
        <f>VLOOKUP(C18,'Sales Master'!B$3:J$499,9,0)</f>
        <v>9.5</v>
      </c>
      <c r="L18" s="77">
        <f>K18*G18</f>
        <v>19</v>
      </c>
      <c r="M18" s="78"/>
      <c r="N18" s="225">
        <f>VLOOKUP(C18,'Sales Master'!$B$3:$DA$3038,104,0)</f>
        <v>7.4399999999999995</v>
      </c>
      <c r="O18" s="225">
        <f>K18-N18</f>
        <v>2.0600000000000005</v>
      </c>
      <c r="P18" s="225">
        <f>O18*G18</f>
        <v>4.120000000000001</v>
      </c>
    </row>
    <row r="19" spans="2:16" ht="20.149999999999999" customHeight="1" x14ac:dyDescent="0.45">
      <c r="B19" s="34"/>
      <c r="C19" s="22" t="s">
        <v>1736</v>
      </c>
      <c r="D19" s="508" t="str">
        <f>VLOOKUP(C19,'Sales Master'!B$3:D$499,2,)</f>
        <v>Coconut Milk 椰浆</v>
      </c>
      <c r="E19" s="508"/>
      <c r="F19" s="508"/>
      <c r="G19" s="22">
        <v>5</v>
      </c>
      <c r="H19" s="389" t="str">
        <f>VLOOKUP(C19,'Sales Master'!$B$3:$F$3247,5,0)</f>
        <v>(1L x 12bag)/箱</v>
      </c>
      <c r="I19" s="482" t="str">
        <f>VLOOKUP(C19,'Sales Master'!$B$3:$E$3247,4,0)</f>
        <v>Kara UHT</v>
      </c>
      <c r="J19" s="482"/>
      <c r="K19" s="35">
        <f>VLOOKUP(C19,'Sales Master'!B$3:J$499,9,0)</f>
        <v>42</v>
      </c>
      <c r="L19" s="77">
        <f>K19*G19</f>
        <v>210</v>
      </c>
      <c r="M19" s="78"/>
      <c r="N19" s="225">
        <f>VLOOKUP(C19,'Sales Master'!$B$3:$DA$3038,104,0)</f>
        <v>35.5</v>
      </c>
      <c r="O19" s="225">
        <f>K19-N19</f>
        <v>6.5</v>
      </c>
      <c r="P19" s="225">
        <f>O19*G19</f>
        <v>32.5</v>
      </c>
    </row>
    <row r="20" spans="2:16" ht="20.149999999999999" customHeight="1" x14ac:dyDescent="0.45">
      <c r="B20" s="34"/>
      <c r="C20" s="22"/>
      <c r="D20" s="508"/>
      <c r="E20" s="508"/>
      <c r="F20" s="508"/>
      <c r="G20" s="22"/>
      <c r="H20" s="389"/>
      <c r="I20" s="482"/>
      <c r="J20" s="482"/>
      <c r="K20" s="35"/>
      <c r="L20" s="77"/>
      <c r="M20" s="78"/>
      <c r="N20" s="225"/>
      <c r="O20" s="225"/>
      <c r="P20" s="225"/>
    </row>
    <row r="21" spans="2:16" ht="20.149999999999999" customHeight="1" x14ac:dyDescent="0.45">
      <c r="B21" s="34"/>
      <c r="C21" s="22"/>
      <c r="D21" s="508"/>
      <c r="E21" s="508"/>
      <c r="F21" s="508"/>
      <c r="G21" s="22"/>
      <c r="H21" s="389"/>
      <c r="I21" s="482"/>
      <c r="J21" s="482"/>
      <c r="K21" s="35"/>
      <c r="L21" s="77"/>
      <c r="M21" s="78"/>
      <c r="N21" s="225"/>
      <c r="O21" s="225"/>
      <c r="P21" s="225"/>
    </row>
    <row r="22" spans="2:16" ht="20.149999999999999" customHeight="1" x14ac:dyDescent="0.45">
      <c r="B22" s="34"/>
      <c r="C22" s="22"/>
      <c r="G22" s="22"/>
      <c r="H22" s="68"/>
      <c r="I22" s="481"/>
      <c r="J22" s="481"/>
      <c r="K22" s="35"/>
      <c r="L22" s="77"/>
      <c r="M22" s="78"/>
    </row>
    <row r="23" spans="2:16" ht="20.149999999999999" customHeight="1" x14ac:dyDescent="0.45">
      <c r="B23" s="34"/>
      <c r="C23" s="22"/>
      <c r="D23" s="508"/>
      <c r="E23" s="508"/>
      <c r="F23" s="508"/>
      <c r="G23" s="22"/>
      <c r="H23" s="68"/>
      <c r="I23" s="481"/>
      <c r="J23" s="481"/>
      <c r="K23" s="35"/>
      <c r="L23" s="77"/>
      <c r="M23" s="78"/>
    </row>
    <row r="24" spans="2:16" ht="20.149999999999999" customHeight="1" x14ac:dyDescent="0.45">
      <c r="B24" s="34"/>
      <c r="C24" s="22"/>
      <c r="D24" s="508"/>
      <c r="E24" s="508"/>
      <c r="F24" s="508"/>
      <c r="G24" s="22"/>
      <c r="H24" s="68"/>
      <c r="I24" s="450"/>
      <c r="J24" s="450"/>
      <c r="K24" s="35"/>
      <c r="L24" s="77"/>
      <c r="M24" s="78"/>
    </row>
    <row r="25" spans="2:16" ht="20.149999999999999" customHeight="1" x14ac:dyDescent="0.45">
      <c r="B25" s="34"/>
      <c r="C25" s="22"/>
      <c r="D25" s="508"/>
      <c r="E25" s="508"/>
      <c r="F25" s="508"/>
      <c r="G25" s="22"/>
      <c r="H25" s="68"/>
      <c r="I25" s="450"/>
      <c r="J25" s="450"/>
      <c r="K25" s="35"/>
      <c r="L25" s="77"/>
      <c r="M25" s="78"/>
    </row>
    <row r="26" spans="2:16" ht="20.149999999999999" customHeight="1" x14ac:dyDescent="0.45">
      <c r="B26" s="34"/>
      <c r="C26" s="22"/>
      <c r="D26" s="508"/>
      <c r="E26" s="508"/>
      <c r="F26" s="508"/>
      <c r="G26" s="22"/>
      <c r="H26" s="68"/>
      <c r="I26" s="450"/>
      <c r="J26" s="450"/>
      <c r="K26" s="35"/>
      <c r="L26" s="77"/>
      <c r="M26" s="78"/>
    </row>
    <row r="27" spans="2:16" ht="20.149999999999999" customHeight="1" x14ac:dyDescent="0.45">
      <c r="B27" s="34"/>
      <c r="C27" s="22"/>
      <c r="D27" s="508"/>
      <c r="E27" s="508"/>
      <c r="F27" s="508"/>
      <c r="G27" s="22"/>
      <c r="H27" s="68"/>
      <c r="I27" s="450"/>
      <c r="J27" s="450"/>
      <c r="K27" s="35"/>
      <c r="L27" s="36"/>
    </row>
    <row r="28" spans="2:16" ht="20.149999999999999" customHeight="1" thickBot="1" x14ac:dyDescent="0.5">
      <c r="B28" s="37"/>
      <c r="C28" s="38"/>
      <c r="D28" s="509"/>
      <c r="E28" s="509"/>
      <c r="F28" s="509"/>
      <c r="G28" s="38"/>
      <c r="H28" s="69"/>
      <c r="I28" s="451"/>
      <c r="J28" s="451"/>
      <c r="K28" s="39"/>
      <c r="L28" s="40"/>
    </row>
    <row r="29" spans="2:16" ht="20.149999999999999" customHeight="1" thickBot="1" x14ac:dyDescent="0.5">
      <c r="B29" s="41"/>
      <c r="L29" s="42"/>
    </row>
    <row r="30" spans="2:16" ht="20.149999999999999" customHeight="1" x14ac:dyDescent="0.45">
      <c r="B30" s="11" t="s">
        <v>18</v>
      </c>
      <c r="C30" s="7"/>
      <c r="D30" s="7"/>
      <c r="E30" s="7"/>
      <c r="F30" s="7"/>
      <c r="G30" s="7"/>
      <c r="H30" s="7"/>
      <c r="I30" s="7"/>
      <c r="J30" s="510" t="s">
        <v>15</v>
      </c>
      <c r="K30" s="511"/>
      <c r="L30" s="43">
        <f>SUM(L17:L27)</f>
        <v>229</v>
      </c>
      <c r="M30" s="76">
        <f>SUM(P18:P28)</f>
        <v>36.620000000000005</v>
      </c>
      <c r="N30" s="201">
        <f>M30/L30</f>
        <v>0.15991266375545854</v>
      </c>
    </row>
    <row r="31" spans="2:16" ht="20.149999999999999" customHeight="1" x14ac:dyDescent="0.45">
      <c r="B31" s="11" t="s">
        <v>19</v>
      </c>
      <c r="C31" s="7"/>
      <c r="D31" s="7"/>
      <c r="E31" s="7"/>
      <c r="F31" s="7"/>
      <c r="G31" s="7"/>
      <c r="H31" s="7"/>
      <c r="I31" s="7"/>
      <c r="J31" s="44" t="s">
        <v>22</v>
      </c>
      <c r="K31" s="45"/>
      <c r="L31" s="46">
        <f>L30*K31</f>
        <v>0</v>
      </c>
    </row>
    <row r="32" spans="2:16" ht="20.149999999999999" customHeight="1" x14ac:dyDescent="0.45">
      <c r="B32" s="11" t="s">
        <v>20</v>
      </c>
      <c r="C32" s="7"/>
      <c r="D32" s="7"/>
      <c r="E32" s="7"/>
      <c r="F32" s="7"/>
      <c r="G32" s="7"/>
      <c r="H32" s="7"/>
      <c r="I32" s="7"/>
      <c r="J32" s="486" t="s">
        <v>21</v>
      </c>
      <c r="K32" s="487"/>
      <c r="L32" s="46">
        <f>L30-L31</f>
        <v>229</v>
      </c>
    </row>
    <row r="33" spans="2:12" ht="20.149999999999999" customHeight="1" x14ac:dyDescent="0.45">
      <c r="B33" s="11" t="s">
        <v>24</v>
      </c>
      <c r="C33" s="7"/>
      <c r="D33" s="7"/>
      <c r="E33" s="7"/>
      <c r="F33" s="7"/>
      <c r="G33" s="7"/>
      <c r="H33" s="7"/>
      <c r="I33" s="7"/>
      <c r="J33" s="150" t="s">
        <v>17</v>
      </c>
      <c r="K33" s="151">
        <v>7.0000000000000007E-2</v>
      </c>
      <c r="L33" s="47">
        <f>L32*K33</f>
        <v>16.03</v>
      </c>
    </row>
    <row r="34" spans="2:12" ht="20.149999999999999" customHeight="1" thickBot="1" x14ac:dyDescent="0.5">
      <c r="B34" s="11" t="s">
        <v>25</v>
      </c>
      <c r="C34" s="7"/>
      <c r="D34" s="7"/>
      <c r="E34" s="7"/>
      <c r="F34" s="7"/>
      <c r="G34" s="7"/>
      <c r="H34" s="7"/>
      <c r="I34" s="7"/>
      <c r="J34" s="488" t="s">
        <v>23</v>
      </c>
      <c r="K34" s="489"/>
      <c r="L34" s="48">
        <f>L32+L33</f>
        <v>245.03</v>
      </c>
    </row>
    <row r="35" spans="2:12" ht="20.149999999999999" customHeight="1" x14ac:dyDescent="0.45">
      <c r="B35" s="11" t="s">
        <v>26</v>
      </c>
      <c r="C35" s="7"/>
      <c r="D35" s="7"/>
      <c r="E35" s="7"/>
      <c r="F35" s="7"/>
      <c r="G35" s="7"/>
      <c r="H35" s="7"/>
      <c r="I35" s="7"/>
      <c r="L35" s="42"/>
    </row>
    <row r="36" spans="2:12" ht="20.149999999999999" customHeight="1" x14ac:dyDescent="0.45">
      <c r="B36" s="41"/>
      <c r="L36" s="42"/>
    </row>
    <row r="37" spans="2:12" ht="20.149999999999999" customHeight="1" x14ac:dyDescent="0.45">
      <c r="B37" s="41"/>
      <c r="L37" s="42"/>
    </row>
    <row r="38" spans="2:12" ht="20.149999999999999" customHeight="1" x14ac:dyDescent="0.45">
      <c r="B38" s="41"/>
      <c r="L38" s="42"/>
    </row>
    <row r="39" spans="2:12" ht="20.149999999999999" customHeight="1" x14ac:dyDescent="0.45">
      <c r="B39" s="41"/>
      <c r="L39" s="42"/>
    </row>
    <row r="40" spans="2:12" ht="20.149999999999999" customHeight="1" x14ac:dyDescent="0.45">
      <c r="B40" s="49"/>
      <c r="C40" s="50"/>
      <c r="D40" s="50"/>
      <c r="J40" s="50"/>
      <c r="K40" s="50"/>
      <c r="L40" s="51"/>
    </row>
    <row r="41" spans="2:12" ht="20.149999999999999" customHeight="1" x14ac:dyDescent="0.45">
      <c r="B41" s="41" t="s">
        <v>27</v>
      </c>
      <c r="J41" s="24" t="s">
        <v>28</v>
      </c>
      <c r="L41" s="42"/>
    </row>
    <row r="42" spans="2:12" ht="19" thickBot="1" x14ac:dyDescent="0.5">
      <c r="B42" s="52"/>
      <c r="C42" s="53"/>
      <c r="D42" s="53"/>
      <c r="E42" s="53"/>
      <c r="F42" s="53"/>
      <c r="G42" s="53"/>
      <c r="H42" s="53"/>
      <c r="I42" s="53"/>
      <c r="J42" s="53"/>
      <c r="K42" s="53"/>
      <c r="L42" s="54"/>
    </row>
    <row r="1048576" spans="8:16" x14ac:dyDescent="0.45">
      <c r="H1048576" s="389" t="e">
        <f>VLOOKUP(C1048576,'Sales Master'!$B$3:$F$3247,5,0)</f>
        <v>#N/A</v>
      </c>
      <c r="I1048576" s="512" t="e">
        <f>VLOOKUP(C1048576,'Sales Master'!$B$3:$E$3247,4,0)</f>
        <v>#N/A</v>
      </c>
      <c r="J1048576" s="512"/>
      <c r="K1048576" s="35" t="e">
        <f>VLOOKUP(C1048576,'Sales Master'!B$3:J$499,9,0)</f>
        <v>#N/A</v>
      </c>
      <c r="L1048576" s="77" t="e">
        <f>K1048576*G1048576</f>
        <v>#N/A</v>
      </c>
      <c r="M1048576" s="78"/>
      <c r="N1048576" s="225" t="e">
        <f>VLOOKUP(C1048576,'Sales Master'!$B$3:$DA$3038,104,0)</f>
        <v>#N/A</v>
      </c>
      <c r="O1048576" s="225" t="e">
        <f>K1048576-N1048576</f>
        <v>#N/A</v>
      </c>
      <c r="P1048576" s="225" t="e">
        <f>O1048576*G1048576</f>
        <v>#N/A</v>
      </c>
    </row>
  </sheetData>
  <mergeCells count="40"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  <mergeCell ref="D17:F17"/>
    <mergeCell ref="I17:J17"/>
    <mergeCell ref="D18:F18"/>
    <mergeCell ref="I18:J18"/>
    <mergeCell ref="I22:J22"/>
    <mergeCell ref="I21:J21"/>
    <mergeCell ref="D23:F23"/>
    <mergeCell ref="I23:J23"/>
    <mergeCell ref="D19:F19"/>
    <mergeCell ref="I19:J19"/>
    <mergeCell ref="D20:F20"/>
    <mergeCell ref="I20:J20"/>
    <mergeCell ref="I1048576:J1048576"/>
    <mergeCell ref="B1:L8"/>
    <mergeCell ref="J30:K30"/>
    <mergeCell ref="J32:K32"/>
    <mergeCell ref="J34:K34"/>
    <mergeCell ref="D26:F26"/>
    <mergeCell ref="I26:J26"/>
    <mergeCell ref="D27:F27"/>
    <mergeCell ref="I27:J27"/>
    <mergeCell ref="D28:F28"/>
    <mergeCell ref="I28:J28"/>
    <mergeCell ref="D24:F24"/>
    <mergeCell ref="I24:J24"/>
    <mergeCell ref="D25:F25"/>
    <mergeCell ref="I25:J25"/>
    <mergeCell ref="D21:F21"/>
  </mergeCells>
  <pageMargins left="0.70866141732283472" right="0.31496062992125984" top="0.59055118110236227" bottom="0" header="0.31496062992125984" footer="0.31496062992125984"/>
  <pageSetup paperSize="9" scale="76" orientation="portrait" horizontalDpi="300" verticalDpi="300" r:id="rId1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625AB0-374A-4C71-A571-466E4426A235}">
  <sheetPr codeName="Sheet125">
    <tabColor rgb="FF92D050"/>
    <pageSetUpPr fitToPage="1"/>
  </sheetPr>
  <dimension ref="B1:V44"/>
  <sheetViews>
    <sheetView topLeftCell="B1" workbookViewId="0">
      <selection activeCell="B1" sqref="B1:L43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8" style="24" customWidth="1"/>
    <col min="7" max="7" width="8.54296875" style="24" customWidth="1"/>
    <col min="8" max="8" width="15.54296875" style="24" customWidth="1"/>
    <col min="9" max="9" width="4.54296875" style="24" customWidth="1"/>
    <col min="10" max="10" width="15.54296875" style="24" customWidth="1"/>
    <col min="11" max="11" width="10.54296875" style="24" customWidth="1"/>
    <col min="12" max="12" width="12.54296875" style="24" customWidth="1"/>
    <col min="13" max="16384" width="12.54296875" style="24"/>
  </cols>
  <sheetData>
    <row r="1" spans="2:14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4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4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4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4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4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4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4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4" ht="19" thickBot="1" x14ac:dyDescent="0.5">
      <c r="B9" s="23"/>
    </row>
    <row r="10" spans="2:14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164</v>
      </c>
      <c r="J10" s="29" t="s">
        <v>29</v>
      </c>
      <c r="K10" s="452">
        <v>202209472</v>
      </c>
      <c r="L10" s="453"/>
    </row>
    <row r="11" spans="2:14" ht="20.149999999999999" customHeight="1" x14ac:dyDescent="0.45">
      <c r="B11" s="454" t="s">
        <v>2037</v>
      </c>
      <c r="C11" s="455"/>
      <c r="D11" s="456"/>
      <c r="E11" s="30"/>
      <c r="F11" s="457" t="str">
        <f>VLOOKUP(H10,'Delivery Location'!A$4:N$416,2,0)</f>
        <v xml:space="preserve">Koufu- Dessert                                                         Block 500, Toa Payoh Centre. Lorong 6     #02-30   Singapore 310500                                         </v>
      </c>
      <c r="G11" s="458"/>
      <c r="H11" s="459"/>
      <c r="J11" s="31" t="s">
        <v>11</v>
      </c>
      <c r="K11" s="466">
        <v>44834</v>
      </c>
      <c r="L11" s="467"/>
    </row>
    <row r="12" spans="2:14" ht="20.149999999999999" customHeight="1" x14ac:dyDescent="0.45">
      <c r="B12" s="468" t="s">
        <v>2139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533</v>
      </c>
      <c r="L12" s="472"/>
      <c r="M12" s="125"/>
      <c r="N12" s="125"/>
    </row>
    <row r="13" spans="2:14" ht="20.149999999999999" customHeight="1" x14ac:dyDescent="0.45">
      <c r="B13" s="468" t="s">
        <v>2024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14</v>
      </c>
      <c r="L13" s="472"/>
    </row>
    <row r="14" spans="2:14" ht="20.149999999999999" customHeight="1" x14ac:dyDescent="0.45">
      <c r="B14" s="468" t="s">
        <v>2025</v>
      </c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4" ht="18" customHeight="1" thickBot="1" x14ac:dyDescent="0.5">
      <c r="B15" s="463" t="s">
        <v>2026</v>
      </c>
      <c r="C15" s="464"/>
      <c r="D15" s="465"/>
      <c r="E15" s="26"/>
      <c r="F15" s="463"/>
      <c r="G15" s="464"/>
      <c r="H15" s="465"/>
      <c r="J15" s="32" t="s">
        <v>13</v>
      </c>
      <c r="K15" s="476"/>
      <c r="L15" s="477"/>
    </row>
    <row r="16" spans="2:14" ht="19" thickBot="1" x14ac:dyDescent="0.5">
      <c r="J16" s="22"/>
    </row>
    <row r="17" spans="2:22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22" ht="20.149999999999999" customHeight="1" x14ac:dyDescent="0.45">
      <c r="B18" s="34"/>
      <c r="C18" s="22" t="s">
        <v>1457</v>
      </c>
      <c r="D18" s="508" t="str">
        <f>VLOOKUP(C18,'Sales Master'!B$3:D$499,2,)</f>
        <v>Bobo ChaCha Cubes 摩摩喳喳</v>
      </c>
      <c r="E18" s="508"/>
      <c r="F18" s="508"/>
      <c r="G18" s="90">
        <v>1</v>
      </c>
      <c r="H18" s="389" t="str">
        <f>VLOOKUP(C18,'Sales Master'!$B$3:$F$3247,5,0)</f>
        <v>800 GM/BAG</v>
      </c>
      <c r="I18" s="482" t="str">
        <f>VLOOKUP(C18,'Sales Master'!$B$3:$E$3247,4,0)</f>
        <v>DO!</v>
      </c>
      <c r="J18" s="482"/>
      <c r="K18" s="35">
        <f>VLOOKUP(C18,'Sales Master'!B$3:J$499,9,0)</f>
        <v>6</v>
      </c>
      <c r="L18" s="77">
        <f t="shared" ref="L18:L19" si="0">K18*G18</f>
        <v>6</v>
      </c>
      <c r="M18" s="78"/>
      <c r="N18" s="225">
        <f>VLOOKUP(C18,'Sales Master'!$B$3:$DA$3038,104,0)</f>
        <v>0.71</v>
      </c>
      <c r="O18" s="225">
        <f t="shared" ref="O18:O19" si="1">K18-N18</f>
        <v>5.29</v>
      </c>
      <c r="P18" s="225">
        <f t="shared" ref="P18:P19" si="2">O18*G18</f>
        <v>5.29</v>
      </c>
      <c r="R18" s="24">
        <v>6</v>
      </c>
      <c r="S18" s="24" t="s">
        <v>61</v>
      </c>
      <c r="T18" s="24" t="s">
        <v>658</v>
      </c>
      <c r="V18" s="24">
        <v>6</v>
      </c>
    </row>
    <row r="19" spans="2:22" ht="20.149999999999999" customHeight="1" x14ac:dyDescent="0.45">
      <c r="B19" s="34"/>
      <c r="C19" s="22" t="s">
        <v>1608</v>
      </c>
      <c r="D19" s="508" t="str">
        <f>VLOOKUP(C19,'Sales Master'!B$3:D$499,2,)</f>
        <v>Pearl Barley 薏米</v>
      </c>
      <c r="E19" s="508"/>
      <c r="F19" s="508"/>
      <c r="G19" s="90">
        <v>1</v>
      </c>
      <c r="H19" s="389" t="str">
        <f>VLOOKUP(C19,'Sales Master'!$B$3:$F$3247,5,0)</f>
        <v>5 kgs</v>
      </c>
      <c r="I19" s="482" t="str">
        <f>VLOOKUP(C19,'Sales Master'!$B$3:$E$3247,4,0)</f>
        <v>-</v>
      </c>
      <c r="J19" s="482"/>
      <c r="K19" s="139">
        <f>VLOOKUP(C19,'Sales Master'!B$3:J$499,9,0)</f>
        <v>10</v>
      </c>
      <c r="L19" s="77">
        <f t="shared" si="0"/>
        <v>10</v>
      </c>
      <c r="M19" s="78"/>
      <c r="N19" s="225">
        <f>VLOOKUP(C19,'Sales Master'!$B$3:$DA$3038,104,0)</f>
        <v>6.8000000000000007</v>
      </c>
      <c r="O19" s="225">
        <f t="shared" si="1"/>
        <v>3.1999999999999993</v>
      </c>
      <c r="P19" s="225">
        <f t="shared" si="2"/>
        <v>3.1999999999999993</v>
      </c>
    </row>
    <row r="20" spans="2:22" ht="20.149999999999999" customHeight="1" x14ac:dyDescent="0.45">
      <c r="B20" s="34"/>
      <c r="C20" s="22" t="s">
        <v>1625</v>
      </c>
      <c r="D20" s="508" t="str">
        <f>VLOOKUP(C20,'Sales Master'!B$3:D$499,2,)</f>
        <v>Lotus Seed 莲子(无）</v>
      </c>
      <c r="E20" s="508"/>
      <c r="F20" s="508"/>
      <c r="G20" s="90">
        <v>6</v>
      </c>
      <c r="H20" s="389" t="str">
        <f>VLOOKUP(C20,'Sales Master'!$B$3:$F$3247,5,0)</f>
        <v>1 kg</v>
      </c>
      <c r="I20" s="482" t="str">
        <f>VLOOKUP(C20,'Sales Master'!$B$3:$E$3247,4,0)</f>
        <v>中</v>
      </c>
      <c r="J20" s="482"/>
      <c r="K20" s="139">
        <f>VLOOKUP(C20,'Sales Master'!B$3:J$499,9,0)</f>
        <v>22</v>
      </c>
      <c r="L20" s="77">
        <f t="shared" ref="L20" si="3">K20*G20</f>
        <v>132</v>
      </c>
      <c r="M20" s="78"/>
      <c r="N20" s="225">
        <f>VLOOKUP(C20,'Sales Master'!$B$3:$DA$3038,104,0)</f>
        <v>18.5</v>
      </c>
      <c r="O20" s="225">
        <f t="shared" ref="O20" si="4">K20-N20</f>
        <v>3.5</v>
      </c>
      <c r="P20" s="225">
        <f t="shared" ref="P20" si="5">O20*G20</f>
        <v>21</v>
      </c>
    </row>
    <row r="21" spans="2:22" ht="20.149999999999999" customHeight="1" x14ac:dyDescent="0.45">
      <c r="B21" s="34"/>
      <c r="C21" s="22" t="s">
        <v>1763</v>
      </c>
      <c r="D21" s="508" t="str">
        <f>VLOOKUP(C21,'Sales Master'!B$3:D$499,2,)</f>
        <v>Rock Sugar冰糖</v>
      </c>
      <c r="E21" s="508"/>
      <c r="F21" s="508"/>
      <c r="G21" s="90">
        <v>1</v>
      </c>
      <c r="H21" s="389" t="str">
        <f>VLOOKUP(C21,'Sales Master'!$B$3:$F$3247,5,0)</f>
        <v>3 KGS/PKT</v>
      </c>
      <c r="I21" s="482" t="str">
        <f>VLOOKUP(C21,'Sales Master'!$B$3:$E$3247,4,0)</f>
        <v>-</v>
      </c>
      <c r="J21" s="482"/>
      <c r="K21" s="139">
        <f>VLOOKUP(C21,'Sales Master'!B$3:J$499,9,0)</f>
        <v>6.5</v>
      </c>
      <c r="L21" s="77">
        <f t="shared" ref="L21:L22" si="6">K21*G21</f>
        <v>6.5</v>
      </c>
      <c r="M21" s="78"/>
      <c r="N21" s="225">
        <f>VLOOKUP(C21,'Sales Master'!$B$3:$DA$3038,104,0)</f>
        <v>4.666666666666667</v>
      </c>
      <c r="O21" s="225">
        <f t="shared" ref="O21:O22" si="7">K21-N21</f>
        <v>1.833333333333333</v>
      </c>
      <c r="P21" s="225">
        <f t="shared" ref="P21:P22" si="8">O21*G21</f>
        <v>1.833333333333333</v>
      </c>
    </row>
    <row r="22" spans="2:22" ht="20.149999999999999" customHeight="1" x14ac:dyDescent="0.45">
      <c r="B22" s="34"/>
      <c r="C22" s="22" t="s">
        <v>2258</v>
      </c>
      <c r="D22" s="508" t="str">
        <f>VLOOKUP(C22,'Sales Master'!B$3:D$499,2,)</f>
        <v>Brown Sugar 黑糖</v>
      </c>
      <c r="E22" s="508"/>
      <c r="F22" s="508"/>
      <c r="G22" s="90">
        <v>2</v>
      </c>
      <c r="H22" s="389" t="str">
        <f>VLOOKUP(C22,'Sales Master'!$B$3:$F$3247,5,0)</f>
        <v>6 kgs</v>
      </c>
      <c r="I22" s="482" t="str">
        <f>VLOOKUP(C22,'Sales Master'!$B$3:$E$3247,4,0)</f>
        <v>Thailand</v>
      </c>
      <c r="J22" s="482"/>
      <c r="K22" s="139">
        <f>VLOOKUP(C22,'Sales Master'!B$3:J$499,9,0)</f>
        <v>15</v>
      </c>
      <c r="L22" s="77">
        <f t="shared" si="6"/>
        <v>30</v>
      </c>
      <c r="M22" s="78"/>
      <c r="N22" s="225">
        <f>VLOOKUP(C22,'Sales Master'!$B$3:$DA$3038,104,0)</f>
        <v>11.2</v>
      </c>
      <c r="O22" s="225">
        <f t="shared" si="7"/>
        <v>3.8000000000000007</v>
      </c>
      <c r="P22" s="225">
        <f t="shared" si="8"/>
        <v>7.6000000000000014</v>
      </c>
    </row>
    <row r="23" spans="2:22" ht="20.149999999999999" customHeight="1" x14ac:dyDescent="0.45">
      <c r="B23" s="34"/>
      <c r="C23" s="22"/>
      <c r="D23" s="508"/>
      <c r="E23" s="508"/>
      <c r="F23" s="508"/>
      <c r="G23" s="90"/>
      <c r="H23" s="68"/>
      <c r="I23" s="481"/>
      <c r="J23" s="481"/>
      <c r="K23" s="35"/>
      <c r="L23" s="77"/>
      <c r="M23" s="78"/>
      <c r="N23" s="225"/>
      <c r="O23" s="225"/>
      <c r="P23" s="225"/>
    </row>
    <row r="24" spans="2:22" ht="20.149999999999999" customHeight="1" x14ac:dyDescent="0.45">
      <c r="B24" s="34"/>
      <c r="C24" s="22"/>
      <c r="D24" s="508"/>
      <c r="E24" s="508"/>
      <c r="F24" s="508"/>
      <c r="G24" s="90"/>
      <c r="H24" s="68"/>
      <c r="I24" s="481"/>
      <c r="J24" s="481"/>
      <c r="K24" s="35"/>
      <c r="L24" s="77"/>
      <c r="M24" s="78"/>
      <c r="N24" s="225"/>
      <c r="O24" s="225"/>
      <c r="P24" s="225"/>
    </row>
    <row r="25" spans="2:22" ht="20.149999999999999" customHeight="1" x14ac:dyDescent="0.45">
      <c r="B25" s="34"/>
      <c r="C25" s="22"/>
      <c r="D25" s="508"/>
      <c r="E25" s="508"/>
      <c r="F25" s="508"/>
      <c r="G25" s="90"/>
      <c r="H25" s="68"/>
      <c r="I25" s="481"/>
      <c r="J25" s="481"/>
      <c r="K25" s="35"/>
      <c r="L25" s="77"/>
      <c r="M25" s="78"/>
      <c r="N25" s="225"/>
      <c r="O25" s="225"/>
      <c r="P25" s="225"/>
    </row>
    <row r="26" spans="2:22" ht="20.149999999999999" customHeight="1" x14ac:dyDescent="0.45">
      <c r="B26" s="34"/>
      <c r="C26" s="22"/>
      <c r="D26" s="508"/>
      <c r="E26" s="508"/>
      <c r="F26" s="508"/>
      <c r="G26" s="90"/>
      <c r="H26" s="68"/>
      <c r="I26" s="481"/>
      <c r="J26" s="481"/>
      <c r="K26" s="35"/>
      <c r="L26" s="77"/>
      <c r="M26" s="78"/>
      <c r="N26" s="225"/>
      <c r="O26" s="225"/>
      <c r="P26" s="225"/>
    </row>
    <row r="27" spans="2:22" ht="20.149999999999999" customHeight="1" x14ac:dyDescent="0.45">
      <c r="B27" s="34"/>
      <c r="C27" s="230"/>
      <c r="G27" s="22"/>
      <c r="H27" s="68"/>
      <c r="I27" s="102"/>
      <c r="J27" s="102"/>
      <c r="K27" s="35"/>
      <c r="L27" s="77"/>
      <c r="M27" s="78"/>
      <c r="N27" s="225"/>
      <c r="O27" s="225"/>
      <c r="P27" s="225"/>
      <c r="R27" s="24">
        <v>1</v>
      </c>
      <c r="S27" s="24" t="s">
        <v>536</v>
      </c>
      <c r="T27" s="24" t="s">
        <v>54</v>
      </c>
      <c r="V27" s="24">
        <v>7</v>
      </c>
    </row>
    <row r="28" spans="2:22" ht="20.149999999999999" customHeight="1" x14ac:dyDescent="0.45">
      <c r="B28" s="34"/>
      <c r="C28" s="22"/>
      <c r="D28" s="508"/>
      <c r="E28" s="508"/>
      <c r="F28" s="508"/>
      <c r="G28" s="22"/>
      <c r="H28" s="68"/>
      <c r="I28" s="481"/>
      <c r="J28" s="481"/>
      <c r="K28" s="35"/>
      <c r="L28" s="77"/>
      <c r="M28" s="78"/>
      <c r="N28" s="225"/>
      <c r="O28" s="225"/>
      <c r="P28" s="225"/>
    </row>
    <row r="29" spans="2:22" ht="20.149999999999999" customHeight="1" thickBot="1" x14ac:dyDescent="0.5">
      <c r="B29" s="37"/>
      <c r="C29" s="38"/>
      <c r="D29" s="509"/>
      <c r="E29" s="509"/>
      <c r="F29" s="509"/>
      <c r="G29" s="38"/>
      <c r="H29" s="69"/>
      <c r="I29" s="451"/>
      <c r="J29" s="451"/>
      <c r="K29" s="39"/>
      <c r="L29" s="40"/>
    </row>
    <row r="30" spans="2:22" ht="20.149999999999999" customHeight="1" thickBot="1" x14ac:dyDescent="0.5">
      <c r="B30" s="41"/>
      <c r="L30" s="42"/>
    </row>
    <row r="31" spans="2:22" ht="20.149999999999999" customHeight="1" x14ac:dyDescent="0.45">
      <c r="B31" s="11" t="s">
        <v>18</v>
      </c>
      <c r="C31" s="7"/>
      <c r="D31" s="7"/>
      <c r="E31" s="7"/>
      <c r="F31" s="7"/>
      <c r="G31" s="7"/>
      <c r="H31" s="7"/>
      <c r="I31" s="7"/>
      <c r="J31" s="510" t="s">
        <v>15</v>
      </c>
      <c r="K31" s="511"/>
      <c r="L31" s="43">
        <f>SUM(L17:L28)</f>
        <v>184.5</v>
      </c>
      <c r="M31" s="76">
        <f>SUM(P18:P29)</f>
        <v>38.923333333333332</v>
      </c>
      <c r="N31" s="201">
        <f>M31/L31</f>
        <v>0.21096657633242999</v>
      </c>
    </row>
    <row r="32" spans="2:22" ht="20.149999999999999" customHeight="1" x14ac:dyDescent="0.45">
      <c r="B32" s="11" t="s">
        <v>19</v>
      </c>
      <c r="C32" s="7"/>
      <c r="D32" s="7"/>
      <c r="E32" s="7"/>
      <c r="F32" s="7"/>
      <c r="G32" s="7"/>
      <c r="H32" s="7"/>
      <c r="I32" s="7"/>
      <c r="J32" s="44" t="s">
        <v>22</v>
      </c>
      <c r="K32" s="45"/>
      <c r="L32" s="46">
        <f>L31*K32</f>
        <v>0</v>
      </c>
    </row>
    <row r="33" spans="2:12" ht="20.149999999999999" customHeight="1" x14ac:dyDescent="0.45">
      <c r="B33" s="11" t="s">
        <v>20</v>
      </c>
      <c r="C33" s="7"/>
      <c r="D33" s="7"/>
      <c r="E33" s="7"/>
      <c r="F33" s="7"/>
      <c r="G33" s="7"/>
      <c r="H33" s="7"/>
      <c r="I33" s="7"/>
      <c r="J33" s="486" t="s">
        <v>21</v>
      </c>
      <c r="K33" s="487"/>
      <c r="L33" s="46">
        <f>L31-L32</f>
        <v>184.5</v>
      </c>
    </row>
    <row r="34" spans="2:12" ht="20.149999999999999" customHeight="1" x14ac:dyDescent="0.45">
      <c r="B34" s="11" t="s">
        <v>24</v>
      </c>
      <c r="C34" s="7"/>
      <c r="D34" s="7"/>
      <c r="E34" s="7"/>
      <c r="F34" s="7"/>
      <c r="G34" s="7"/>
      <c r="H34" s="7"/>
      <c r="I34" s="7"/>
      <c r="J34" s="150" t="s">
        <v>17</v>
      </c>
      <c r="K34" s="151">
        <v>7.0000000000000007E-2</v>
      </c>
      <c r="L34" s="47">
        <f>L33*K34</f>
        <v>12.915000000000001</v>
      </c>
    </row>
    <row r="35" spans="2:12" ht="20.149999999999999" customHeight="1" thickBot="1" x14ac:dyDescent="0.5">
      <c r="B35" s="11" t="s">
        <v>25</v>
      </c>
      <c r="C35" s="7"/>
      <c r="D35" s="7"/>
      <c r="E35" s="7"/>
      <c r="F35" s="7"/>
      <c r="G35" s="7"/>
      <c r="H35" s="7"/>
      <c r="I35" s="7"/>
      <c r="J35" s="488" t="s">
        <v>23</v>
      </c>
      <c r="K35" s="489"/>
      <c r="L35" s="48">
        <f>L33+L34</f>
        <v>197.41499999999999</v>
      </c>
    </row>
    <row r="36" spans="2:12" ht="20.149999999999999" customHeight="1" x14ac:dyDescent="0.45">
      <c r="B36" s="11" t="s">
        <v>26</v>
      </c>
      <c r="C36" s="7"/>
      <c r="D36" s="7"/>
      <c r="E36" s="7"/>
      <c r="F36" s="7"/>
      <c r="G36" s="7"/>
      <c r="H36" s="7"/>
      <c r="I36" s="7"/>
      <c r="L36" s="42"/>
    </row>
    <row r="37" spans="2:12" ht="20.149999999999999" customHeight="1" x14ac:dyDescent="0.45">
      <c r="B37" s="41"/>
      <c r="L37" s="42"/>
    </row>
    <row r="38" spans="2:12" ht="20.149999999999999" customHeight="1" x14ac:dyDescent="0.45">
      <c r="B38" s="41"/>
      <c r="L38" s="42"/>
    </row>
    <row r="39" spans="2:12" ht="20.149999999999999" customHeight="1" x14ac:dyDescent="0.45">
      <c r="B39" s="41"/>
      <c r="L39" s="42"/>
    </row>
    <row r="40" spans="2:12" ht="20.149999999999999" customHeight="1" x14ac:dyDescent="0.45">
      <c r="B40" s="41"/>
      <c r="L40" s="42"/>
    </row>
    <row r="41" spans="2:12" ht="20.149999999999999" customHeight="1" x14ac:dyDescent="0.45">
      <c r="B41" s="49"/>
      <c r="C41" s="50"/>
      <c r="D41" s="50"/>
      <c r="J41" s="50"/>
      <c r="K41" s="50"/>
      <c r="L41" s="51"/>
    </row>
    <row r="42" spans="2:12" ht="20.149999999999999" customHeight="1" x14ac:dyDescent="0.45">
      <c r="B42" s="41" t="s">
        <v>27</v>
      </c>
      <c r="J42" s="24" t="s">
        <v>28</v>
      </c>
      <c r="L42" s="42"/>
    </row>
    <row r="43" spans="2:12" ht="19" thickBot="1" x14ac:dyDescent="0.5">
      <c r="B43" s="52"/>
      <c r="C43" s="53"/>
      <c r="D43" s="53"/>
      <c r="E43" s="53"/>
      <c r="F43" s="53"/>
      <c r="G43" s="53"/>
      <c r="H43" s="53"/>
      <c r="I43" s="53"/>
      <c r="J43" s="53"/>
      <c r="K43" s="53"/>
      <c r="L43" s="54"/>
    </row>
    <row r="44" spans="2:12" ht="20.5" x14ac:dyDescent="0.45">
      <c r="F44" s="426"/>
    </row>
  </sheetData>
  <mergeCells count="40">
    <mergeCell ref="B15:D15"/>
    <mergeCell ref="D24:F24"/>
    <mergeCell ref="I24:J24"/>
    <mergeCell ref="D19:F19"/>
    <mergeCell ref="I19:J19"/>
    <mergeCell ref="D20:F20"/>
    <mergeCell ref="D21:F21"/>
    <mergeCell ref="I20:J20"/>
    <mergeCell ref="I21:J21"/>
    <mergeCell ref="D23:F23"/>
    <mergeCell ref="I22:J22"/>
    <mergeCell ref="I23:J23"/>
    <mergeCell ref="D22:F22"/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18:J18"/>
    <mergeCell ref="J35:K35"/>
    <mergeCell ref="D28:F28"/>
    <mergeCell ref="I28:J28"/>
    <mergeCell ref="D29:F29"/>
    <mergeCell ref="I29:J29"/>
    <mergeCell ref="J31:K31"/>
    <mergeCell ref="D25:F25"/>
    <mergeCell ref="I25:J25"/>
    <mergeCell ref="D26:F26"/>
    <mergeCell ref="I26:J26"/>
    <mergeCell ref="J33:K33"/>
  </mergeCells>
  <pageMargins left="0.70866141732283472" right="0.31496062992125984" top="0.59055118110236227" bottom="0" header="0.31496062992125984" footer="0.31496062992125984"/>
  <pageSetup paperSize="9" scale="75" orientation="portrait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DC19E5-E921-49DF-8B3E-36EFE4FEDF22}">
  <sheetPr>
    <tabColor theme="9" tint="0.39997558519241921"/>
    <pageSetUpPr fitToPage="1"/>
  </sheetPr>
  <dimension ref="B1:P49"/>
  <sheetViews>
    <sheetView topLeftCell="A12" workbookViewId="0"/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8.36328125" style="24" customWidth="1"/>
    <col min="7" max="7" width="8.54296875" style="24" customWidth="1"/>
    <col min="8" max="8" width="15.7265625" style="24" customWidth="1"/>
    <col min="9" max="9" width="0.7265625" style="24" customWidth="1"/>
    <col min="10" max="10" width="20.26953125" style="24" customWidth="1"/>
    <col min="11" max="11" width="10.54296875" style="24" customWidth="1"/>
    <col min="12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2330</v>
      </c>
      <c r="J10" s="29" t="s">
        <v>29</v>
      </c>
      <c r="K10" s="452">
        <v>202209458</v>
      </c>
      <c r="L10" s="453"/>
    </row>
    <row r="11" spans="2:12" ht="20.149999999999999" customHeight="1" x14ac:dyDescent="0.45">
      <c r="B11" s="454" t="s">
        <v>2302</v>
      </c>
      <c r="C11" s="455"/>
      <c r="D11" s="456"/>
      <c r="E11" s="30"/>
      <c r="F11" s="457" t="str">
        <f>VLOOKUP(H10,'Delivery Location'!A$4:N$416,2,0)</f>
        <v xml:space="preserve">R&amp;B Tea Singapore                                                         2 Bayfront Ave #B2-50 (Canal Level) in Rasapura Masters Singapore 018972             </v>
      </c>
      <c r="G11" s="458"/>
      <c r="H11" s="459"/>
      <c r="J11" s="31" t="s">
        <v>11</v>
      </c>
      <c r="K11" s="466">
        <v>44833</v>
      </c>
      <c r="L11" s="467"/>
    </row>
    <row r="12" spans="2:12" ht="20.149999999999999" customHeight="1" x14ac:dyDescent="0.45">
      <c r="B12" s="468" t="s">
        <v>2303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533</v>
      </c>
      <c r="L12" s="472"/>
    </row>
    <row r="13" spans="2:12" ht="20.149999999999999" customHeight="1" x14ac:dyDescent="0.45">
      <c r="B13" s="468" t="s">
        <v>2024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14</v>
      </c>
      <c r="L13" s="472"/>
    </row>
    <row r="14" spans="2:12" ht="20.149999999999999" customHeight="1" x14ac:dyDescent="0.45">
      <c r="B14" s="468" t="s">
        <v>2025</v>
      </c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463" t="s">
        <v>2026</v>
      </c>
      <c r="C15" s="464"/>
      <c r="D15" s="465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16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16" ht="20.149999999999999" customHeight="1" x14ac:dyDescent="0.45">
      <c r="B18" s="34"/>
      <c r="C18" s="22" t="s">
        <v>1759</v>
      </c>
      <c r="D18" s="508" t="str">
        <f>VLOOKUP(C18,'Sales Master'!B$3:D$499,2,)</f>
        <v>Honey Longan syrup</v>
      </c>
      <c r="E18" s="508"/>
      <c r="F18" s="508"/>
      <c r="G18" s="90">
        <v>8</v>
      </c>
      <c r="H18" s="389" t="str">
        <f>VLOOKUP(C18,'Sales Master'!$B$3:$F$3247,5,0)</f>
        <v>3 kgs</v>
      </c>
      <c r="I18" s="482">
        <f>VLOOKUP(C18,'Sales Master'!$B$3:$E$3247,4,0)</f>
        <v>0</v>
      </c>
      <c r="J18" s="482"/>
      <c r="K18" s="35">
        <f>VLOOKUP(C18,'Sales Master'!B$3:AD$498,29,0)</f>
        <v>14.8</v>
      </c>
      <c r="L18" s="77">
        <f>K18*G18</f>
        <v>118.4</v>
      </c>
      <c r="M18" s="78"/>
      <c r="N18" s="225">
        <f>VLOOKUP(C18,'Sales Master'!$B$3:$DA$3038,104,0)</f>
        <v>12</v>
      </c>
      <c r="O18" s="225">
        <f>K18-N18</f>
        <v>2.8000000000000007</v>
      </c>
      <c r="P18" s="225">
        <f>O18*G18</f>
        <v>22.400000000000006</v>
      </c>
    </row>
    <row r="19" spans="2:16" ht="20.149999999999999" customHeight="1" x14ac:dyDescent="0.45">
      <c r="B19" s="34"/>
      <c r="C19" s="22"/>
      <c r="D19" s="508"/>
      <c r="E19" s="508"/>
      <c r="F19" s="508"/>
      <c r="G19" s="90"/>
      <c r="H19" s="389"/>
      <c r="I19" s="482"/>
      <c r="J19" s="482"/>
      <c r="K19" s="35"/>
      <c r="L19" s="77"/>
      <c r="M19" s="78"/>
      <c r="N19" s="225"/>
      <c r="O19" s="225"/>
      <c r="P19" s="225"/>
    </row>
    <row r="20" spans="2:16" ht="20.149999999999999" customHeight="1" x14ac:dyDescent="0.45">
      <c r="B20" s="34"/>
      <c r="C20" s="22"/>
      <c r="D20" s="508"/>
      <c r="E20" s="508"/>
      <c r="F20" s="508"/>
      <c r="G20" s="90"/>
      <c r="H20" s="68"/>
      <c r="I20" s="481"/>
      <c r="J20" s="481"/>
      <c r="K20" s="35"/>
      <c r="L20" s="77"/>
      <c r="M20" s="78"/>
      <c r="N20" s="225"/>
      <c r="O20" s="225"/>
      <c r="P20" s="225"/>
    </row>
    <row r="21" spans="2:16" ht="20.149999999999999" customHeight="1" x14ac:dyDescent="0.45">
      <c r="B21" s="34"/>
      <c r="C21" s="22"/>
      <c r="D21" s="508"/>
      <c r="E21" s="508"/>
      <c r="F21" s="508"/>
      <c r="G21" s="90"/>
      <c r="H21" s="68"/>
      <c r="I21" s="481"/>
      <c r="J21" s="481"/>
      <c r="K21" s="35"/>
      <c r="L21" s="77"/>
      <c r="M21" s="78"/>
      <c r="N21" s="225"/>
      <c r="O21" s="225"/>
      <c r="P21" s="225"/>
    </row>
    <row r="22" spans="2:16" ht="20.149999999999999" customHeight="1" x14ac:dyDescent="0.45">
      <c r="B22" s="34"/>
      <c r="C22" s="22"/>
      <c r="D22" s="508"/>
      <c r="E22" s="508"/>
      <c r="F22" s="508"/>
      <c r="G22" s="90"/>
      <c r="H22" s="68"/>
      <c r="I22" s="481"/>
      <c r="J22" s="481"/>
      <c r="K22" s="35"/>
      <c r="L22" s="77"/>
      <c r="M22" s="78"/>
      <c r="N22" s="225"/>
      <c r="O22" s="225"/>
      <c r="P22" s="225"/>
    </row>
    <row r="23" spans="2:16" ht="20.149999999999999" customHeight="1" x14ac:dyDescent="0.45">
      <c r="B23" s="34"/>
      <c r="C23" s="22"/>
      <c r="D23" s="508"/>
      <c r="E23" s="508"/>
      <c r="F23" s="508"/>
      <c r="G23" s="90"/>
      <c r="H23" s="68"/>
      <c r="I23" s="481"/>
      <c r="J23" s="481"/>
      <c r="K23" s="35"/>
      <c r="L23" s="77"/>
      <c r="M23" s="78"/>
      <c r="N23" s="225"/>
      <c r="O23" s="225"/>
      <c r="P23" s="225"/>
    </row>
    <row r="24" spans="2:16" ht="20.149999999999999" customHeight="1" x14ac:dyDescent="0.45">
      <c r="B24" s="34"/>
      <c r="C24" s="22"/>
      <c r="D24" s="508"/>
      <c r="E24" s="508"/>
      <c r="F24" s="508"/>
      <c r="G24" s="90"/>
      <c r="H24" s="68"/>
      <c r="I24" s="481"/>
      <c r="J24" s="481"/>
      <c r="K24" s="35"/>
      <c r="L24" s="77"/>
      <c r="M24" s="78"/>
      <c r="N24" s="225"/>
      <c r="O24" s="225"/>
      <c r="P24" s="225"/>
    </row>
    <row r="25" spans="2:16" ht="20.149999999999999" customHeight="1" x14ac:dyDescent="0.45">
      <c r="B25" s="34"/>
      <c r="C25" s="22"/>
      <c r="D25" s="508"/>
      <c r="E25" s="508"/>
      <c r="F25" s="508"/>
      <c r="G25" s="90"/>
      <c r="H25" s="68"/>
      <c r="I25" s="481"/>
      <c r="J25" s="481"/>
      <c r="K25" s="35"/>
      <c r="L25" s="77"/>
      <c r="M25" s="78"/>
      <c r="N25" s="225"/>
      <c r="O25" s="225"/>
      <c r="P25" s="225"/>
    </row>
    <row r="26" spans="2:16" ht="20.149999999999999" customHeight="1" x14ac:dyDescent="0.45">
      <c r="B26" s="34"/>
      <c r="C26" s="22"/>
      <c r="D26" s="508"/>
      <c r="E26" s="508"/>
      <c r="F26" s="508"/>
      <c r="G26" s="90"/>
      <c r="H26" s="68"/>
      <c r="I26" s="481"/>
      <c r="J26" s="481"/>
      <c r="K26" s="35"/>
      <c r="L26" s="77"/>
      <c r="M26" s="78"/>
      <c r="N26" s="225"/>
      <c r="O26" s="225"/>
      <c r="P26" s="225"/>
    </row>
    <row r="27" spans="2:16" ht="20.149999999999999" customHeight="1" x14ac:dyDescent="0.45">
      <c r="B27" s="34"/>
      <c r="C27" s="22"/>
      <c r="D27" s="508"/>
      <c r="E27" s="508"/>
      <c r="F27" s="508"/>
      <c r="G27" s="90"/>
      <c r="H27" s="68"/>
      <c r="I27" s="481"/>
      <c r="J27" s="481"/>
      <c r="K27" s="35"/>
      <c r="L27" s="77"/>
      <c r="M27" s="78"/>
      <c r="N27" s="225"/>
      <c r="O27" s="225"/>
      <c r="P27" s="225"/>
    </row>
    <row r="28" spans="2:16" ht="20.149999999999999" customHeight="1" x14ac:dyDescent="0.45">
      <c r="B28" s="34"/>
      <c r="C28" s="22"/>
      <c r="D28" s="508"/>
      <c r="E28" s="508"/>
      <c r="F28" s="508"/>
      <c r="G28" s="90"/>
      <c r="H28" s="68"/>
      <c r="I28" s="481"/>
      <c r="J28" s="481"/>
      <c r="K28" s="35"/>
      <c r="L28" s="77"/>
      <c r="M28" s="78"/>
      <c r="N28" s="225"/>
      <c r="O28" s="225"/>
      <c r="P28" s="225"/>
    </row>
    <row r="29" spans="2:16" ht="20.149999999999999" customHeight="1" x14ac:dyDescent="0.45">
      <c r="B29" s="34"/>
      <c r="C29" s="22"/>
      <c r="D29" s="508"/>
      <c r="E29" s="508"/>
      <c r="F29" s="508"/>
      <c r="G29" s="90"/>
      <c r="H29" s="68"/>
      <c r="I29" s="481"/>
      <c r="J29" s="481"/>
      <c r="K29" s="35"/>
      <c r="L29" s="77"/>
      <c r="M29" s="78"/>
      <c r="N29" s="225"/>
      <c r="O29" s="225"/>
      <c r="P29" s="225"/>
    </row>
    <row r="30" spans="2:16" ht="20.149999999999999" customHeight="1" x14ac:dyDescent="0.45">
      <c r="B30" s="34"/>
      <c r="C30" s="22"/>
      <c r="D30" s="508"/>
      <c r="E30" s="508"/>
      <c r="F30" s="508"/>
      <c r="G30" s="90"/>
      <c r="H30" s="68"/>
      <c r="I30" s="481"/>
      <c r="J30" s="481"/>
      <c r="K30" s="35"/>
      <c r="L30" s="77"/>
      <c r="M30" s="78"/>
      <c r="N30" s="225"/>
      <c r="O30" s="225"/>
      <c r="P30" s="225"/>
    </row>
    <row r="31" spans="2:16" ht="20.149999999999999" customHeight="1" x14ac:dyDescent="0.45">
      <c r="B31" s="34"/>
      <c r="C31" s="22"/>
      <c r="D31" s="508"/>
      <c r="E31" s="508"/>
      <c r="F31" s="508"/>
      <c r="G31" s="90"/>
      <c r="H31" s="389"/>
      <c r="I31" s="512"/>
      <c r="J31" s="512"/>
      <c r="K31" s="35"/>
      <c r="L31" s="77"/>
      <c r="M31" s="78"/>
      <c r="N31" s="225"/>
      <c r="O31" s="225"/>
      <c r="P31" s="225"/>
    </row>
    <row r="32" spans="2:16" ht="20.149999999999999" customHeight="1" x14ac:dyDescent="0.45">
      <c r="B32" s="34"/>
      <c r="C32" s="22"/>
      <c r="D32" s="508"/>
      <c r="E32" s="508"/>
      <c r="F32" s="508"/>
      <c r="G32" s="90"/>
      <c r="H32" s="389"/>
      <c r="I32" s="512"/>
      <c r="J32" s="512"/>
      <c r="K32" s="35"/>
      <c r="L32" s="77"/>
      <c r="M32" s="78"/>
      <c r="N32" s="225"/>
      <c r="O32" s="225"/>
      <c r="P32" s="225"/>
    </row>
    <row r="33" spans="2:16" ht="20.149999999999999" customHeight="1" x14ac:dyDescent="0.45">
      <c r="B33" s="34"/>
      <c r="C33" s="22"/>
      <c r="D33" s="508"/>
      <c r="E33" s="508"/>
      <c r="F33" s="508"/>
      <c r="G33" s="90"/>
      <c r="H33" s="346"/>
      <c r="I33" s="481"/>
      <c r="J33" s="481"/>
      <c r="K33" s="35"/>
      <c r="L33" s="77"/>
      <c r="M33" s="78"/>
      <c r="N33" s="225"/>
      <c r="O33" s="225"/>
      <c r="P33" s="225"/>
    </row>
    <row r="34" spans="2:16" ht="20.149999999999999" customHeight="1" x14ac:dyDescent="0.45">
      <c r="B34" s="34"/>
      <c r="C34" s="22"/>
      <c r="G34" s="90"/>
      <c r="H34" s="346"/>
      <c r="I34" s="68"/>
      <c r="J34" s="68"/>
      <c r="K34" s="35"/>
      <c r="L34" s="77"/>
      <c r="M34" s="78"/>
      <c r="N34" s="225"/>
      <c r="O34" s="225"/>
      <c r="P34" s="225"/>
    </row>
    <row r="35" spans="2:16" ht="20.149999999999999" customHeight="1" thickBot="1" x14ac:dyDescent="0.5">
      <c r="B35" s="37"/>
      <c r="C35" s="38"/>
      <c r="D35" s="509"/>
      <c r="E35" s="509"/>
      <c r="F35" s="509"/>
      <c r="G35" s="38"/>
      <c r="H35" s="69"/>
      <c r="I35" s="451"/>
      <c r="J35" s="451"/>
      <c r="K35" s="39"/>
      <c r="L35" s="40"/>
    </row>
    <row r="36" spans="2:16" ht="20.149999999999999" customHeight="1" thickBot="1" x14ac:dyDescent="0.5">
      <c r="B36" s="41"/>
      <c r="L36" s="42"/>
    </row>
    <row r="37" spans="2:16" ht="20.149999999999999" customHeight="1" x14ac:dyDescent="0.45">
      <c r="B37" s="11" t="s">
        <v>18</v>
      </c>
      <c r="C37" s="7"/>
      <c r="D37" s="7"/>
      <c r="E37" s="7"/>
      <c r="F37" s="7"/>
      <c r="G37" s="7"/>
      <c r="H37" s="7"/>
      <c r="I37" s="7"/>
      <c r="J37" s="510" t="s">
        <v>15</v>
      </c>
      <c r="K37" s="511"/>
      <c r="L37" s="43">
        <f>SUM(L14:L33)</f>
        <v>118.4</v>
      </c>
      <c r="M37" s="76">
        <f>SUM(P18:P33)</f>
        <v>22.400000000000006</v>
      </c>
      <c r="N37" s="201">
        <f>M37/L37</f>
        <v>0.18918918918918923</v>
      </c>
    </row>
    <row r="38" spans="2:16" ht="20.149999999999999" customHeight="1" x14ac:dyDescent="0.45">
      <c r="B38" s="11" t="s">
        <v>19</v>
      </c>
      <c r="C38" s="7"/>
      <c r="D38" s="7"/>
      <c r="E38" s="7"/>
      <c r="F38" s="7"/>
      <c r="G38" s="7"/>
      <c r="H38" s="7"/>
      <c r="I38" s="7"/>
      <c r="J38" s="44" t="s">
        <v>22</v>
      </c>
      <c r="K38" s="45"/>
      <c r="L38" s="46">
        <f>L37*K38</f>
        <v>0</v>
      </c>
    </row>
    <row r="39" spans="2:16" ht="20.149999999999999" customHeight="1" x14ac:dyDescent="0.45">
      <c r="B39" s="11" t="s">
        <v>20</v>
      </c>
      <c r="C39" s="7"/>
      <c r="D39" s="7"/>
      <c r="E39" s="7"/>
      <c r="F39" s="7"/>
      <c r="G39" s="7"/>
      <c r="H39" s="7"/>
      <c r="I39" s="7"/>
      <c r="J39" s="486" t="s">
        <v>21</v>
      </c>
      <c r="K39" s="487"/>
      <c r="L39" s="46">
        <f>L37-L38</f>
        <v>118.4</v>
      </c>
    </row>
    <row r="40" spans="2:16" ht="20.149999999999999" customHeight="1" x14ac:dyDescent="0.45">
      <c r="B40" s="11" t="s">
        <v>24</v>
      </c>
      <c r="C40" s="7"/>
      <c r="D40" s="7"/>
      <c r="E40" s="7"/>
      <c r="F40" s="7"/>
      <c r="G40" s="7"/>
      <c r="H40" s="7"/>
      <c r="I40" s="7"/>
      <c r="J40" s="150" t="s">
        <v>17</v>
      </c>
      <c r="K40" s="151">
        <v>7.0000000000000007E-2</v>
      </c>
      <c r="L40" s="47">
        <f>L39*K40</f>
        <v>8.288000000000002</v>
      </c>
    </row>
    <row r="41" spans="2:16" ht="20.149999999999999" customHeight="1" thickBot="1" x14ac:dyDescent="0.5">
      <c r="B41" s="11" t="s">
        <v>25</v>
      </c>
      <c r="C41" s="7"/>
      <c r="D41" s="7"/>
      <c r="E41" s="7"/>
      <c r="F41" s="7"/>
      <c r="G41" s="7"/>
      <c r="H41" s="7"/>
      <c r="I41" s="7"/>
      <c r="J41" s="488" t="s">
        <v>23</v>
      </c>
      <c r="K41" s="489"/>
      <c r="L41" s="48">
        <f>L39+L40</f>
        <v>126.688</v>
      </c>
    </row>
    <row r="42" spans="2:16" ht="20.149999999999999" customHeight="1" x14ac:dyDescent="0.45">
      <c r="B42" s="11" t="s">
        <v>26</v>
      </c>
      <c r="C42" s="7"/>
      <c r="D42" s="7"/>
      <c r="E42" s="7"/>
      <c r="F42" s="7"/>
      <c r="G42" s="7"/>
      <c r="H42" s="7"/>
      <c r="I42" s="7"/>
      <c r="L42" s="42"/>
    </row>
    <row r="43" spans="2:16" ht="20.149999999999999" customHeight="1" x14ac:dyDescent="0.45">
      <c r="B43" s="41"/>
      <c r="L43" s="42"/>
    </row>
    <row r="44" spans="2:16" x14ac:dyDescent="0.45">
      <c r="B44" s="41"/>
      <c r="L44" s="42"/>
    </row>
    <row r="45" spans="2:16" ht="20.149999999999999" customHeight="1" x14ac:dyDescent="0.45">
      <c r="B45" s="41"/>
      <c r="L45" s="42"/>
    </row>
    <row r="46" spans="2:16" ht="20.149999999999999" customHeight="1" x14ac:dyDescent="0.45">
      <c r="B46" s="41"/>
      <c r="L46" s="42"/>
    </row>
    <row r="47" spans="2:16" x14ac:dyDescent="0.45">
      <c r="B47" s="49"/>
      <c r="C47" s="50"/>
      <c r="D47" s="50"/>
      <c r="J47" s="50"/>
      <c r="K47" s="50"/>
      <c r="L47" s="51"/>
    </row>
    <row r="48" spans="2:16" ht="20.149999999999999" customHeight="1" x14ac:dyDescent="0.45">
      <c r="B48" s="41" t="s">
        <v>27</v>
      </c>
      <c r="J48" s="24" t="s">
        <v>28</v>
      </c>
      <c r="L48" s="42"/>
    </row>
    <row r="49" spans="2:12" ht="19" thickBot="1" x14ac:dyDescent="0.5">
      <c r="B49" s="52"/>
      <c r="C49" s="53"/>
      <c r="D49" s="53"/>
      <c r="E49" s="53"/>
      <c r="F49" s="53"/>
      <c r="G49" s="53"/>
      <c r="H49" s="53"/>
      <c r="I49" s="53"/>
      <c r="J49" s="53"/>
      <c r="K49" s="53"/>
      <c r="L49" s="54"/>
    </row>
  </sheetData>
  <mergeCells count="52">
    <mergeCell ref="J39:K39"/>
    <mergeCell ref="J41:K41"/>
    <mergeCell ref="D33:F33"/>
    <mergeCell ref="I33:J33"/>
    <mergeCell ref="D35:F35"/>
    <mergeCell ref="I35:J35"/>
    <mergeCell ref="J37:K37"/>
    <mergeCell ref="D30:F30"/>
    <mergeCell ref="I30:J30"/>
    <mergeCell ref="D31:F31"/>
    <mergeCell ref="I31:J31"/>
    <mergeCell ref="D32:F32"/>
    <mergeCell ref="I32:J32"/>
    <mergeCell ref="D27:F27"/>
    <mergeCell ref="I27:J27"/>
    <mergeCell ref="D28:F28"/>
    <mergeCell ref="I28:J28"/>
    <mergeCell ref="D29:F29"/>
    <mergeCell ref="I29:J29"/>
    <mergeCell ref="D24:F24"/>
    <mergeCell ref="I24:J24"/>
    <mergeCell ref="D25:F25"/>
    <mergeCell ref="I25:J25"/>
    <mergeCell ref="D26:F26"/>
    <mergeCell ref="I26:J26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505" right="0.31496062992126" top="0.59055118110236204" bottom="0" header="0.31496062992126" footer="0.31496062992126"/>
  <pageSetup paperSize="9" scale="74" orientation="portrait" horizontalDpi="300" verticalDpi="300" r:id="rId1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BA479B-F88B-4D9B-9FAA-71BE9B07831D}">
  <sheetPr codeName="Sheet151">
    <tabColor rgb="FF92D050"/>
    <pageSetUpPr fitToPage="1"/>
  </sheetPr>
  <dimension ref="B1:P39"/>
  <sheetViews>
    <sheetView topLeftCell="A23" zoomScaleNormal="100" workbookViewId="0">
      <selection activeCell="B1" sqref="B1:L39"/>
    </sheetView>
  </sheetViews>
  <sheetFormatPr defaultColWidth="12.54296875" defaultRowHeight="18.5" x14ac:dyDescent="0.45"/>
  <cols>
    <col min="1" max="1" width="12.54296875" style="24"/>
    <col min="2" max="3" width="12.54296875" style="24" customWidth="1"/>
    <col min="4" max="4" width="14.54296875" style="24" customWidth="1"/>
    <col min="5" max="5" width="1.54296875" style="24" customWidth="1"/>
    <col min="6" max="6" width="14.54296875" style="24" customWidth="1"/>
    <col min="7" max="7" width="8.54296875" style="24" customWidth="1"/>
    <col min="8" max="8" width="12.54296875" style="24" customWidth="1"/>
    <col min="9" max="9" width="4.54296875" style="81" customWidth="1"/>
    <col min="10" max="10" width="15.54296875" style="81" customWidth="1"/>
    <col min="11" max="11" width="12.54296875" style="24" customWidth="1"/>
    <col min="12" max="12" width="14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797</v>
      </c>
      <c r="J10" s="82" t="s">
        <v>29</v>
      </c>
      <c r="K10" s="452">
        <v>202209476</v>
      </c>
      <c r="L10" s="453"/>
    </row>
    <row r="11" spans="2:12" ht="20.149999999999999" customHeight="1" x14ac:dyDescent="0.45">
      <c r="B11" s="454" t="s">
        <v>800</v>
      </c>
      <c r="C11" s="455"/>
      <c r="D11" s="456"/>
      <c r="E11" s="30"/>
      <c r="F11" s="457" t="str">
        <f>VLOOKUP(H10,'Delivery Location'!A$4:N$416,2,0)</f>
        <v>Asia Dessert Marketing                                       Blk 3020, Ubi Avenue 2 #02-125 Singapore 408896</v>
      </c>
      <c r="G11" s="458"/>
      <c r="H11" s="459"/>
      <c r="J11" s="83" t="s">
        <v>11</v>
      </c>
      <c r="K11" s="466">
        <v>44834</v>
      </c>
      <c r="L11" s="467"/>
    </row>
    <row r="12" spans="2:12" ht="20.149999999999999" customHeight="1" x14ac:dyDescent="0.45">
      <c r="B12" s="468" t="s">
        <v>801</v>
      </c>
      <c r="C12" s="469"/>
      <c r="D12" s="470"/>
      <c r="E12" s="30"/>
      <c r="F12" s="460"/>
      <c r="G12" s="461"/>
      <c r="H12" s="462"/>
      <c r="J12" s="83" t="s">
        <v>171</v>
      </c>
      <c r="K12" s="471" t="s">
        <v>533</v>
      </c>
      <c r="L12" s="472"/>
    </row>
    <row r="13" spans="2:12" ht="20.149999999999999" customHeight="1" x14ac:dyDescent="0.45">
      <c r="B13" s="468"/>
      <c r="C13" s="469"/>
      <c r="D13" s="470"/>
      <c r="E13" s="30"/>
      <c r="F13" s="460"/>
      <c r="G13" s="461"/>
      <c r="H13" s="462"/>
      <c r="J13" s="83" t="s">
        <v>12</v>
      </c>
      <c r="K13" s="471" t="s">
        <v>14</v>
      </c>
      <c r="L13" s="472"/>
    </row>
    <row r="14" spans="2:12" ht="20.149999999999999" customHeight="1" x14ac:dyDescent="0.45">
      <c r="B14" s="468"/>
      <c r="C14" s="469"/>
      <c r="D14" s="470"/>
      <c r="E14" s="30"/>
      <c r="F14" s="460"/>
      <c r="G14" s="461"/>
      <c r="H14" s="462"/>
      <c r="J14" s="83" t="s">
        <v>30</v>
      </c>
      <c r="K14" s="471" t="s">
        <v>16</v>
      </c>
      <c r="L14" s="472"/>
    </row>
    <row r="15" spans="2:12" ht="18" customHeight="1" thickBot="1" x14ac:dyDescent="0.5">
      <c r="B15" s="55"/>
      <c r="C15" s="56"/>
      <c r="D15" s="57"/>
      <c r="E15" s="26"/>
      <c r="F15" s="463"/>
      <c r="G15" s="464"/>
      <c r="H15" s="465"/>
      <c r="J15" s="84" t="s">
        <v>13</v>
      </c>
      <c r="K15" s="476"/>
      <c r="L15" s="477"/>
    </row>
    <row r="16" spans="2:12" ht="19" thickBot="1" x14ac:dyDescent="0.5">
      <c r="J16" s="85"/>
    </row>
    <row r="17" spans="2:16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8" t="s">
        <v>622</v>
      </c>
      <c r="I17" s="605" t="s">
        <v>621</v>
      </c>
      <c r="J17" s="606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16" ht="20.149999999999999" customHeight="1" x14ac:dyDescent="0.45">
      <c r="B18" s="34"/>
      <c r="C18" s="22" t="s">
        <v>1457</v>
      </c>
      <c r="D18" s="555" t="str">
        <f>VLOOKUP(C18,'Sales Master'!B$3:D$499,2,)</f>
        <v>Bobo ChaCha Cubes 摩摩喳喳</v>
      </c>
      <c r="E18" s="555"/>
      <c r="F18" s="555"/>
      <c r="G18" s="90">
        <v>50</v>
      </c>
      <c r="H18" s="68" t="str">
        <f>VLOOKUP(C18,'Sales Master'!$B$3:$E$590,4,0)</f>
        <v>DO!</v>
      </c>
      <c r="I18" s="604" t="str">
        <f>VLOOKUP(C18,'Sales Master'!$B$3:F$590,5,0)</f>
        <v>800 GM/BAG</v>
      </c>
      <c r="J18" s="604"/>
      <c r="K18" s="35">
        <f>VLOOKUP(C18,'Sales Master'!B$3:AN$499,39,0)</f>
        <v>5</v>
      </c>
      <c r="L18" s="77">
        <f>K18*G18</f>
        <v>250</v>
      </c>
      <c r="M18" s="78"/>
      <c r="N18" s="225">
        <f>VLOOKUP(C18,'Sales Master'!$B$3:$DA$3038,104,0)</f>
        <v>0.71</v>
      </c>
      <c r="O18" s="225">
        <f>K18-N18</f>
        <v>4.29</v>
      </c>
      <c r="P18" s="225">
        <f>O18*G18</f>
        <v>214.5</v>
      </c>
    </row>
    <row r="19" spans="2:16" ht="20.149999999999999" customHeight="1" x14ac:dyDescent="0.45">
      <c r="B19" s="34"/>
      <c r="C19" s="22" t="s">
        <v>1457</v>
      </c>
      <c r="D19" s="555" t="str">
        <f>VLOOKUP(C19,'Sales Master'!B$3:D$499,2,)</f>
        <v>Bobo ChaCha Cubes 摩摩喳喳</v>
      </c>
      <c r="E19" s="555"/>
      <c r="F19" s="555"/>
      <c r="G19" s="90">
        <v>5</v>
      </c>
      <c r="H19" s="68" t="str">
        <f>VLOOKUP(C19,'Sales Master'!$B$3:$E$590,4,0)</f>
        <v>DO!</v>
      </c>
      <c r="I19" s="604" t="str">
        <f>VLOOKUP(C19,'Sales Master'!$B$3:F$590,5,0)</f>
        <v>800 GM/BAG</v>
      </c>
      <c r="J19" s="604"/>
      <c r="K19" s="35" t="s">
        <v>1339</v>
      </c>
      <c r="L19" s="77"/>
      <c r="M19" s="78"/>
      <c r="N19" s="225">
        <f>VLOOKUP(C19,'Sales Master'!$B$3:$DA$3038,104,0)</f>
        <v>0.71</v>
      </c>
      <c r="O19" s="225">
        <v>0</v>
      </c>
      <c r="P19" s="225">
        <v>-7.1</v>
      </c>
    </row>
    <row r="20" spans="2:16" ht="20.149999999999999" customHeight="1" x14ac:dyDescent="0.45">
      <c r="B20" s="34"/>
      <c r="C20" s="22"/>
      <c r="D20" s="508"/>
      <c r="E20" s="508"/>
      <c r="F20" s="508"/>
      <c r="G20" s="90" t="s">
        <v>720</v>
      </c>
      <c r="H20" s="68"/>
      <c r="I20" s="604"/>
      <c r="J20" s="604"/>
      <c r="K20" s="35"/>
      <c r="L20" s="77"/>
      <c r="M20" s="78"/>
    </row>
    <row r="21" spans="2:16" ht="20.149999999999999" customHeight="1" x14ac:dyDescent="0.45">
      <c r="B21" s="34"/>
      <c r="C21" s="22"/>
      <c r="D21" s="508"/>
      <c r="E21" s="508"/>
      <c r="F21" s="508"/>
      <c r="G21" s="90"/>
      <c r="H21" s="68"/>
      <c r="I21" s="604"/>
      <c r="J21" s="604"/>
      <c r="K21" s="35"/>
      <c r="L21" s="77"/>
      <c r="M21" s="78"/>
    </row>
    <row r="22" spans="2:16" ht="20.149999999999999" customHeight="1" x14ac:dyDescent="0.45">
      <c r="B22" s="80"/>
      <c r="C22" s="22"/>
      <c r="D22" s="508"/>
      <c r="E22" s="508"/>
      <c r="F22" s="508"/>
      <c r="G22" s="90"/>
      <c r="H22" s="68"/>
      <c r="I22" s="604"/>
      <c r="J22" s="604"/>
      <c r="K22" s="35"/>
      <c r="L22" s="77"/>
      <c r="M22" s="78"/>
    </row>
    <row r="23" spans="2:16" ht="20.149999999999999" customHeight="1" x14ac:dyDescent="0.45">
      <c r="B23" s="34"/>
      <c r="C23" s="22"/>
      <c r="D23" s="508"/>
      <c r="E23" s="508"/>
      <c r="F23" s="508"/>
      <c r="G23" s="90"/>
      <c r="H23" s="68"/>
      <c r="I23" s="604"/>
      <c r="J23" s="604"/>
      <c r="K23" s="35"/>
      <c r="L23" s="77"/>
      <c r="M23" s="78"/>
    </row>
    <row r="24" spans="2:16" ht="20.149999999999999" customHeight="1" x14ac:dyDescent="0.45">
      <c r="B24" s="34"/>
      <c r="C24" s="22"/>
      <c r="D24" s="508"/>
      <c r="E24" s="508"/>
      <c r="F24" s="508"/>
      <c r="G24" s="91"/>
      <c r="H24" s="68"/>
      <c r="I24" s="604"/>
      <c r="J24" s="604"/>
      <c r="K24" s="35"/>
      <c r="L24" s="77"/>
      <c r="M24" s="78"/>
    </row>
    <row r="25" spans="2:16" ht="20.149999999999999" customHeight="1" thickBot="1" x14ac:dyDescent="0.5">
      <c r="B25" s="37"/>
      <c r="C25" s="38"/>
      <c r="D25" s="509"/>
      <c r="E25" s="509"/>
      <c r="F25" s="509"/>
      <c r="G25" s="38"/>
      <c r="H25" s="69"/>
      <c r="I25" s="588"/>
      <c r="J25" s="588"/>
      <c r="K25" s="39"/>
      <c r="L25" s="40"/>
    </row>
    <row r="26" spans="2:16" ht="20.149999999999999" customHeight="1" thickBot="1" x14ac:dyDescent="0.5">
      <c r="B26" s="41"/>
      <c r="L26" s="42"/>
    </row>
    <row r="27" spans="2:16" ht="20.149999999999999" customHeight="1" x14ac:dyDescent="0.45">
      <c r="B27" s="11" t="s">
        <v>18</v>
      </c>
      <c r="C27" s="7"/>
      <c r="D27" s="7"/>
      <c r="E27" s="7"/>
      <c r="F27" s="7"/>
      <c r="G27" s="7"/>
      <c r="H27" s="7" t="s">
        <v>720</v>
      </c>
      <c r="I27" s="86"/>
      <c r="J27" s="510" t="s">
        <v>15</v>
      </c>
      <c r="K27" s="511"/>
      <c r="L27" s="43">
        <f>SUM(L17:L25)</f>
        <v>250</v>
      </c>
      <c r="M27" s="76">
        <f>SUM(P18:P19)</f>
        <v>207.4</v>
      </c>
      <c r="N27" s="201">
        <f>M27/L27</f>
        <v>0.8296</v>
      </c>
    </row>
    <row r="28" spans="2:16" ht="20.149999999999999" customHeight="1" x14ac:dyDescent="0.45">
      <c r="B28" s="11" t="s">
        <v>19</v>
      </c>
      <c r="C28" s="7"/>
      <c r="D28" s="7"/>
      <c r="E28" s="7"/>
      <c r="F28" s="7"/>
      <c r="G28" s="7"/>
      <c r="H28" s="7"/>
      <c r="I28" s="86"/>
      <c r="J28" s="44" t="s">
        <v>22</v>
      </c>
      <c r="K28" s="45"/>
      <c r="L28" s="46">
        <f>L27*K28</f>
        <v>0</v>
      </c>
    </row>
    <row r="29" spans="2:16" ht="20.149999999999999" customHeight="1" x14ac:dyDescent="0.45">
      <c r="B29" s="11" t="s">
        <v>20</v>
      </c>
      <c r="C29" s="7"/>
      <c r="D29" s="7"/>
      <c r="E29" s="7"/>
      <c r="F29" s="7"/>
      <c r="G29" s="7"/>
      <c r="H29" s="7"/>
      <c r="I29" s="86"/>
      <c r="J29" s="486" t="s">
        <v>21</v>
      </c>
      <c r="K29" s="487"/>
      <c r="L29" s="46">
        <f>L27-L28</f>
        <v>250</v>
      </c>
    </row>
    <row r="30" spans="2:16" ht="20.149999999999999" customHeight="1" x14ac:dyDescent="0.45">
      <c r="B30" s="11" t="s">
        <v>24</v>
      </c>
      <c r="C30" s="7"/>
      <c r="D30" s="7"/>
      <c r="E30" s="7"/>
      <c r="F30" s="7"/>
      <c r="G30" s="7"/>
      <c r="H30" s="7"/>
      <c r="I30" s="86"/>
      <c r="J30" s="150" t="s">
        <v>17</v>
      </c>
      <c r="K30" s="151">
        <v>7.0000000000000007E-2</v>
      </c>
      <c r="L30" s="47">
        <f>L29*K30</f>
        <v>17.5</v>
      </c>
    </row>
    <row r="31" spans="2:16" ht="20.149999999999999" customHeight="1" thickBot="1" x14ac:dyDescent="0.5">
      <c r="B31" s="11" t="s">
        <v>25</v>
      </c>
      <c r="C31" s="7"/>
      <c r="D31" s="7"/>
      <c r="E31" s="7"/>
      <c r="F31" s="7"/>
      <c r="G31" s="7"/>
      <c r="H31" s="7"/>
      <c r="I31" s="86"/>
      <c r="J31" s="488" t="s">
        <v>23</v>
      </c>
      <c r="K31" s="489"/>
      <c r="L31" s="48">
        <f>L29+L30</f>
        <v>267.5</v>
      </c>
    </row>
    <row r="32" spans="2:16" ht="20.149999999999999" customHeight="1" x14ac:dyDescent="0.45">
      <c r="B32" s="11" t="s">
        <v>26</v>
      </c>
      <c r="C32" s="7"/>
      <c r="D32" s="7"/>
      <c r="E32" s="7"/>
      <c r="F32" s="7"/>
      <c r="G32" s="7"/>
      <c r="H32" s="7"/>
      <c r="I32" s="86"/>
      <c r="L32" s="42"/>
    </row>
    <row r="33" spans="2:12" ht="20.149999999999999" customHeight="1" x14ac:dyDescent="0.45">
      <c r="B33" s="41"/>
      <c r="L33" s="42"/>
    </row>
    <row r="34" spans="2:12" ht="20.149999999999999" customHeight="1" x14ac:dyDescent="0.45">
      <c r="B34" s="41"/>
      <c r="L34" s="42"/>
    </row>
    <row r="35" spans="2:12" ht="20.149999999999999" customHeight="1" x14ac:dyDescent="0.45">
      <c r="B35" s="41"/>
      <c r="L35" s="42"/>
    </row>
    <row r="36" spans="2:12" ht="20.149999999999999" customHeight="1" x14ac:dyDescent="0.45">
      <c r="B36" s="41"/>
      <c r="G36" s="24" t="s">
        <v>720</v>
      </c>
      <c r="L36" s="42"/>
    </row>
    <row r="37" spans="2:12" ht="20.149999999999999" customHeight="1" x14ac:dyDescent="0.45">
      <c r="B37" s="49"/>
      <c r="C37" s="50"/>
      <c r="D37" s="50"/>
      <c r="J37" s="87"/>
      <c r="K37" s="50"/>
      <c r="L37" s="51"/>
    </row>
    <row r="38" spans="2:12" ht="20.149999999999999" customHeight="1" x14ac:dyDescent="0.45">
      <c r="B38" s="41" t="s">
        <v>27</v>
      </c>
      <c r="J38" s="81" t="s">
        <v>28</v>
      </c>
      <c r="L38" s="42"/>
    </row>
    <row r="39" spans="2:12" ht="19" thickBot="1" x14ac:dyDescent="0.5">
      <c r="B39" s="52"/>
      <c r="C39" s="53"/>
      <c r="D39" s="53"/>
      <c r="E39" s="53"/>
      <c r="F39" s="53"/>
      <c r="G39" s="53"/>
      <c r="H39" s="53"/>
      <c r="I39" s="88"/>
      <c r="J39" s="88"/>
      <c r="K39" s="53"/>
      <c r="L39" s="54"/>
    </row>
  </sheetData>
  <mergeCells count="33"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18:J18"/>
    <mergeCell ref="D20:F20"/>
    <mergeCell ref="I20:J20"/>
    <mergeCell ref="D21:F21"/>
    <mergeCell ref="I21:J21"/>
    <mergeCell ref="D19:F19"/>
    <mergeCell ref="I19:J19"/>
    <mergeCell ref="D24:F24"/>
    <mergeCell ref="I24:J24"/>
    <mergeCell ref="D22:F22"/>
    <mergeCell ref="I22:J22"/>
    <mergeCell ref="D23:F23"/>
    <mergeCell ref="I23:J23"/>
    <mergeCell ref="J29:K29"/>
    <mergeCell ref="J31:K31"/>
    <mergeCell ref="D25:F25"/>
    <mergeCell ref="I25:J25"/>
    <mergeCell ref="J27:K27"/>
  </mergeCells>
  <pageMargins left="0.70866141732283472" right="0.31496062992125984" top="0.59055118110236227" bottom="0" header="0.31496062992125984" footer="0.31496062992125984"/>
  <pageSetup paperSize="9" scale="76" orientation="portrait" horizontalDpi="300" verticalDpi="300" r:id="rId1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39D1E-21A3-4C83-BA4B-9A429F65EFB1}">
  <sheetPr codeName="Sheet147">
    <tabColor rgb="FF92D050"/>
    <pageSetUpPr fitToPage="1"/>
  </sheetPr>
  <dimension ref="B1:V46"/>
  <sheetViews>
    <sheetView workbookViewId="0">
      <selection activeCell="B1" sqref="B1:L46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6.54296875" style="24" customWidth="1"/>
    <col min="7" max="7" width="8.54296875" style="24" customWidth="1"/>
    <col min="8" max="8" width="16.453125" style="24" customWidth="1"/>
    <col min="9" max="9" width="2.54296875" style="24" customWidth="1"/>
    <col min="10" max="10" width="15.54296875" style="24" customWidth="1"/>
    <col min="11" max="11" width="10.54296875" style="24" customWidth="1"/>
    <col min="12" max="12" width="12.54296875" style="24" customWidth="1"/>
    <col min="13" max="16384" width="12.54296875" style="24"/>
  </cols>
  <sheetData>
    <row r="1" spans="2:2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2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2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2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2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2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2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2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22" ht="19" thickBot="1" x14ac:dyDescent="0.5">
      <c r="B9" s="23"/>
    </row>
    <row r="10" spans="2:2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230</v>
      </c>
      <c r="J10" s="29" t="s">
        <v>29</v>
      </c>
      <c r="K10" s="452">
        <v>202208123</v>
      </c>
      <c r="L10" s="453"/>
    </row>
    <row r="11" spans="2:22" ht="20.149999999999999" customHeight="1" x14ac:dyDescent="0.45">
      <c r="B11" s="454" t="s">
        <v>247</v>
      </c>
      <c r="C11" s="455"/>
      <c r="D11" s="456"/>
      <c r="E11" s="30"/>
      <c r="F11" s="457" t="str">
        <f>VLOOKUP(H10,'Delivery Location'!A$4:N$416,2,0)</f>
        <v>梅林                                                             Changi Village Hawker Centre.                                         #01- 57  Singapore 500002</v>
      </c>
      <c r="G11" s="458"/>
      <c r="H11" s="459"/>
      <c r="J11" s="31" t="s">
        <v>11</v>
      </c>
      <c r="K11" s="466">
        <v>44779</v>
      </c>
      <c r="L11" s="467"/>
    </row>
    <row r="12" spans="2:22" ht="20.149999999999999" customHeight="1" x14ac:dyDescent="0.45">
      <c r="B12" s="468" t="s">
        <v>566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533</v>
      </c>
      <c r="L12" s="472"/>
    </row>
    <row r="13" spans="2:22" ht="20.149999999999999" customHeight="1" x14ac:dyDescent="0.45">
      <c r="B13" s="468" t="s">
        <v>754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14</v>
      </c>
      <c r="L13" s="472"/>
      <c r="N13" s="285" t="s">
        <v>1889</v>
      </c>
    </row>
    <row r="14" spans="2:22" ht="20.149999999999999" customHeight="1" x14ac:dyDescent="0.45">
      <c r="B14" s="468" t="s">
        <v>567</v>
      </c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22" ht="18" customHeight="1" thickBot="1" x14ac:dyDescent="0.5">
      <c r="B15" s="552"/>
      <c r="C15" s="474"/>
      <c r="D15" s="475"/>
      <c r="E15" s="26"/>
      <c r="F15" s="463"/>
      <c r="G15" s="464"/>
      <c r="H15" s="465"/>
      <c r="J15" s="32" t="s">
        <v>13</v>
      </c>
      <c r="K15" s="210" t="s">
        <v>1215</v>
      </c>
      <c r="L15" s="181"/>
      <c r="N15" s="24" t="s">
        <v>1756</v>
      </c>
      <c r="O15" s="24" t="s">
        <v>1100</v>
      </c>
      <c r="R15" s="24">
        <v>1</v>
      </c>
      <c r="S15" s="24" t="s">
        <v>880</v>
      </c>
      <c r="T15" s="24" t="s">
        <v>36</v>
      </c>
      <c r="V15" s="24">
        <v>22</v>
      </c>
    </row>
    <row r="16" spans="2:22" ht="19" thickBot="1" x14ac:dyDescent="0.5">
      <c r="J16" s="22"/>
    </row>
    <row r="17" spans="2:16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16" ht="20.149999999999999" customHeight="1" x14ac:dyDescent="0.45">
      <c r="B18" s="34"/>
      <c r="C18" s="22" t="s">
        <v>1458</v>
      </c>
      <c r="D18" s="508" t="str">
        <f>VLOOKUP(C18,'Sales Master'!B$3:D$699,2,)</f>
        <v>Chendol浆咯</v>
      </c>
      <c r="E18" s="508"/>
      <c r="F18" s="508"/>
      <c r="G18" s="90">
        <v>2</v>
      </c>
      <c r="H18" s="393" t="str">
        <f>VLOOKUP(C18,'Sales Master'!$B$3:$F$3247,5,0)</f>
        <v>NW(2.2:0.8) 3 KG/BAG</v>
      </c>
      <c r="I18" s="481" t="str">
        <f>VLOOKUP(C18,'Sales Master'!$B$3:$E$3247,4,0)</f>
        <v>DO!</v>
      </c>
      <c r="J18" s="481"/>
      <c r="K18" s="94">
        <f>VLOOKUP(C18,'Sales Master'!B$3:AB$699,27,0)</f>
        <v>7.5</v>
      </c>
      <c r="L18" s="77">
        <f t="shared" ref="L18:L20" si="0">K18*G18</f>
        <v>15</v>
      </c>
      <c r="M18" s="96"/>
      <c r="N18" s="225">
        <f>VLOOKUP(C18,'Sales Master'!$B$3:$DA$3038,104,0)</f>
        <v>1.85</v>
      </c>
      <c r="O18" s="225">
        <f t="shared" ref="O18:O20" si="1">K18-N18</f>
        <v>5.65</v>
      </c>
      <c r="P18" s="225">
        <f t="shared" ref="P18:P20" si="2">O18*G18</f>
        <v>11.3</v>
      </c>
    </row>
    <row r="19" spans="2:16" ht="20.149999999999999" customHeight="1" x14ac:dyDescent="0.45">
      <c r="B19" s="34"/>
      <c r="C19" s="22" t="s">
        <v>1618</v>
      </c>
      <c r="D19" s="508" t="str">
        <f>VLOOKUP(C19,'Sales Master'!B$3:D$699,2,)</f>
        <v>Dried Longan 龙眼干</v>
      </c>
      <c r="E19" s="508"/>
      <c r="F19" s="508"/>
      <c r="G19" s="90">
        <v>1</v>
      </c>
      <c r="H19" s="68" t="str">
        <f>VLOOKUP(C19,'Sales Master'!$B$3:$F$3247,5,0)</f>
        <v>1 kg</v>
      </c>
      <c r="I19" s="481" t="str">
        <f>VLOOKUP(C19,'Sales Master'!$B$3:$E$3247,4,0)</f>
        <v>TL</v>
      </c>
      <c r="J19" s="481"/>
      <c r="K19" s="94">
        <f>VLOOKUP(C19,'Sales Master'!B$3:AB$699,27,0)</f>
        <v>12</v>
      </c>
      <c r="L19" s="77">
        <f t="shared" si="0"/>
        <v>12</v>
      </c>
      <c r="M19" s="78"/>
      <c r="N19" s="225">
        <f>VLOOKUP(C19,'Sales Master'!$B$3:$DA$3038,104,0)</f>
        <v>8.5</v>
      </c>
      <c r="O19" s="225">
        <f t="shared" si="1"/>
        <v>3.5</v>
      </c>
      <c r="P19" s="225">
        <f t="shared" si="2"/>
        <v>3.5</v>
      </c>
    </row>
    <row r="20" spans="2:16" ht="20.149999999999999" customHeight="1" x14ac:dyDescent="0.45">
      <c r="B20" s="34"/>
      <c r="C20" s="22" t="s">
        <v>1689</v>
      </c>
      <c r="D20" s="508" t="str">
        <f>VLOOKUP(C20,'Sales Master'!B$3:D$699,2,)</f>
        <v>Sea Coconut海底椰</v>
      </c>
      <c r="E20" s="508"/>
      <c r="F20" s="508"/>
      <c r="G20" s="90">
        <v>4</v>
      </c>
      <c r="H20" s="68" t="str">
        <f>VLOOKUP(C20,'Sales Master'!$B$3:$F$3247,5,0)</f>
        <v>1 Can X A10</v>
      </c>
      <c r="I20" s="481" t="str">
        <f>VLOOKUP(C20,'Sales Master'!$B$3:$E$3247,4,0)</f>
        <v>Chefs</v>
      </c>
      <c r="J20" s="481"/>
      <c r="K20" s="94">
        <f>VLOOKUP(C20,'Sales Master'!B$3:AB$699,27,0)</f>
        <v>18</v>
      </c>
      <c r="L20" s="77">
        <f t="shared" si="0"/>
        <v>72</v>
      </c>
      <c r="M20" s="78"/>
      <c r="N20" s="225">
        <f>VLOOKUP(C20,'Sales Master'!$B$3:$DA$3038,104,0)</f>
        <v>14.333333333333334</v>
      </c>
      <c r="O20" s="225">
        <f t="shared" si="1"/>
        <v>3.6666666666666661</v>
      </c>
      <c r="P20" s="225">
        <f t="shared" si="2"/>
        <v>14.666666666666664</v>
      </c>
    </row>
    <row r="21" spans="2:16" ht="20.149999999999999" customHeight="1" x14ac:dyDescent="0.45">
      <c r="B21" s="34"/>
      <c r="C21" s="22" t="s">
        <v>1691</v>
      </c>
      <c r="D21" s="508" t="str">
        <f>VLOOKUP(C21,'Sales Master'!B$3:D$699,2,)</f>
        <v>Nata De Coco椰果芊 15mm</v>
      </c>
      <c r="E21" s="508"/>
      <c r="F21" s="508"/>
      <c r="G21" s="90">
        <v>2</v>
      </c>
      <c r="H21" s="68" t="str">
        <f>VLOOKUP(C21,'Sales Master'!$B$3:$F$3247,5,0)</f>
        <v>1 Can X A10</v>
      </c>
      <c r="I21" s="481" t="str">
        <f>VLOOKUP(C21,'Sales Master'!$B$3:$E$3247,4,0)</f>
        <v>Chefs</v>
      </c>
      <c r="J21" s="481"/>
      <c r="K21" s="94">
        <f>VLOOKUP(C21,'Sales Master'!B$3:AB$699,27,0)</f>
        <v>9.5</v>
      </c>
      <c r="L21" s="77">
        <f t="shared" ref="L21" si="3">K21*G21</f>
        <v>19</v>
      </c>
      <c r="M21" s="78"/>
      <c r="N21" s="225">
        <f>VLOOKUP(C21,'Sales Master'!$B$3:$DA$3038,104,0)</f>
        <v>6.916666666666667</v>
      </c>
      <c r="O21" s="225">
        <f t="shared" ref="O21" si="4">K21-N21</f>
        <v>2.583333333333333</v>
      </c>
      <c r="P21" s="225">
        <f t="shared" ref="P21" si="5">O21*G21</f>
        <v>5.1666666666666661</v>
      </c>
    </row>
    <row r="22" spans="2:16" ht="20.149999999999999" customHeight="1" x14ac:dyDescent="0.45">
      <c r="B22" s="34"/>
      <c r="C22" s="22" t="s">
        <v>1705</v>
      </c>
      <c r="D22" s="508" t="str">
        <f>VLOOKUP(C22,'Sales Master'!B$3:D$699,2,)</f>
        <v>Fruit Cocktail杂果</v>
      </c>
      <c r="E22" s="508"/>
      <c r="F22" s="508"/>
      <c r="G22" s="90">
        <v>1</v>
      </c>
      <c r="H22" s="68" t="str">
        <f>VLOOKUP(C22,'Sales Master'!$B$3:$F$3247,5,0)</f>
        <v>(820gm x 12)/箱</v>
      </c>
      <c r="I22" s="481" t="str">
        <f>VLOOKUP(C22,'Sales Master'!$B$3:$E$3247,4,0)</f>
        <v>Statue</v>
      </c>
      <c r="J22" s="481"/>
      <c r="K22" s="94">
        <f>VLOOKUP(C22,'Sales Master'!B$3:AB$699,27,0)</f>
        <v>33</v>
      </c>
      <c r="L22" s="77">
        <f t="shared" ref="L22" si="6">K22*G22</f>
        <v>33</v>
      </c>
      <c r="M22" s="78"/>
      <c r="N22" s="225">
        <f>VLOOKUP(C22,'Sales Master'!$B$3:$DA$3038,104,0)</f>
        <v>27</v>
      </c>
      <c r="O22" s="225">
        <f t="shared" ref="O22" si="7">K22-N22</f>
        <v>6</v>
      </c>
      <c r="P22" s="225">
        <f t="shared" ref="P22" si="8">O22*G22</f>
        <v>6</v>
      </c>
    </row>
    <row r="23" spans="2:16" ht="20.149999999999999" customHeight="1" x14ac:dyDescent="0.45">
      <c r="B23" s="34"/>
      <c r="C23" s="22"/>
      <c r="D23" s="508"/>
      <c r="E23" s="508"/>
      <c r="F23" s="508"/>
      <c r="G23" s="90"/>
      <c r="H23" s="68"/>
      <c r="I23" s="481"/>
      <c r="J23" s="481"/>
      <c r="K23" s="94"/>
      <c r="L23" s="77"/>
      <c r="M23" s="78"/>
      <c r="N23" s="225"/>
      <c r="O23" s="225"/>
      <c r="P23" s="225"/>
    </row>
    <row r="24" spans="2:16" ht="20.149999999999999" customHeight="1" x14ac:dyDescent="0.45">
      <c r="B24" s="34"/>
      <c r="C24" s="22"/>
      <c r="D24" s="508"/>
      <c r="E24" s="508"/>
      <c r="F24" s="508"/>
      <c r="G24" s="90"/>
      <c r="H24" s="68"/>
      <c r="I24" s="481"/>
      <c r="J24" s="481"/>
      <c r="K24" s="94"/>
      <c r="L24" s="77"/>
      <c r="M24" s="78"/>
      <c r="N24" s="225"/>
      <c r="O24" s="225"/>
      <c r="P24" s="225"/>
    </row>
    <row r="25" spans="2:16" ht="20.149999999999999" customHeight="1" x14ac:dyDescent="0.45">
      <c r="B25" s="34"/>
      <c r="G25" s="90"/>
      <c r="H25" s="68"/>
      <c r="I25" s="68"/>
      <c r="J25" s="68"/>
      <c r="K25" s="94"/>
      <c r="L25" s="77"/>
      <c r="M25" s="78"/>
      <c r="N25" s="225"/>
      <c r="O25" s="225"/>
      <c r="P25" s="225"/>
    </row>
    <row r="26" spans="2:16" ht="20.149999999999999" customHeight="1" x14ac:dyDescent="0.45">
      <c r="B26" s="34"/>
      <c r="D26" s="23"/>
      <c r="E26" s="23"/>
      <c r="F26" s="23"/>
      <c r="G26" s="23"/>
      <c r="H26" s="68"/>
      <c r="I26" s="102"/>
      <c r="J26" s="102"/>
      <c r="K26" s="94"/>
      <c r="L26" s="77"/>
      <c r="M26" s="78"/>
    </row>
    <row r="27" spans="2:16" ht="20.149999999999999" customHeight="1" x14ac:dyDescent="0.45">
      <c r="B27" s="34"/>
      <c r="C27" s="226" t="s">
        <v>2128</v>
      </c>
      <c r="D27" s="230"/>
      <c r="E27" s="230"/>
      <c r="F27" s="230"/>
      <c r="G27" s="22"/>
      <c r="H27" s="389"/>
      <c r="I27" s="389"/>
      <c r="J27" s="389"/>
      <c r="K27" s="394"/>
      <c r="L27" s="36"/>
      <c r="M27" s="78"/>
    </row>
    <row r="28" spans="2:16" ht="20.149999999999999" customHeight="1" x14ac:dyDescent="0.45">
      <c r="B28" s="34"/>
      <c r="C28" s="22" t="s">
        <v>1744</v>
      </c>
      <c r="D28" s="480" t="str">
        <f>VLOOKUP(C28,'[1]Sales Master'!B$3:D$603,2,0)</f>
        <v>Calamansi Juice 酸柑水</v>
      </c>
      <c r="E28" s="480"/>
      <c r="F28" s="480"/>
      <c r="G28" s="78" t="s">
        <v>2220</v>
      </c>
      <c r="H28" s="389"/>
      <c r="I28" s="389"/>
      <c r="J28" s="389"/>
      <c r="K28" s="394"/>
      <c r="L28" s="36"/>
      <c r="M28" s="78"/>
    </row>
    <row r="29" spans="2:16" ht="20.149999999999999" customHeight="1" x14ac:dyDescent="0.45">
      <c r="B29" s="34"/>
      <c r="C29" s="22" t="s">
        <v>1756</v>
      </c>
      <c r="D29" s="480" t="str">
        <f>VLOOKUP(C29,'[1]Sales Master'!B$3:D$603,2,0)</f>
        <v>小麦草</v>
      </c>
      <c r="E29" s="480"/>
      <c r="F29" s="480"/>
      <c r="G29" s="78" t="s">
        <v>2220</v>
      </c>
      <c r="H29" s="389"/>
      <c r="I29" s="389"/>
      <c r="J29" s="389"/>
      <c r="K29" s="394"/>
      <c r="L29" s="36"/>
      <c r="M29" s="78"/>
    </row>
    <row r="30" spans="2:16" ht="20.149999999999999" customHeight="1" x14ac:dyDescent="0.45">
      <c r="B30" s="34"/>
      <c r="C30" s="22"/>
      <c r="G30" s="91"/>
      <c r="H30" s="68"/>
      <c r="I30" s="68"/>
      <c r="J30" s="68"/>
      <c r="K30" s="94"/>
      <c r="L30" s="77"/>
      <c r="M30" s="78"/>
    </row>
    <row r="31" spans="2:16" ht="20.149999999999999" customHeight="1" x14ac:dyDescent="0.45">
      <c r="B31" s="34"/>
      <c r="C31" s="22"/>
      <c r="D31" s="508"/>
      <c r="E31" s="508"/>
      <c r="F31" s="508"/>
      <c r="G31" s="22"/>
      <c r="H31" s="68"/>
      <c r="I31" s="450"/>
      <c r="J31" s="450"/>
      <c r="K31" s="94"/>
      <c r="L31" s="77"/>
    </row>
    <row r="32" spans="2:16" ht="20.149999999999999" customHeight="1" thickBot="1" x14ac:dyDescent="0.5">
      <c r="B32" s="37"/>
      <c r="C32" s="38"/>
      <c r="D32" s="509"/>
      <c r="E32" s="509"/>
      <c r="F32" s="509"/>
      <c r="G32" s="38"/>
      <c r="H32" s="69"/>
      <c r="I32" s="451"/>
      <c r="J32" s="451"/>
      <c r="K32" s="39"/>
      <c r="L32" s="40"/>
    </row>
    <row r="33" spans="2:14" ht="20.149999999999999" customHeight="1" thickBot="1" x14ac:dyDescent="0.5">
      <c r="B33" s="41"/>
      <c r="L33" s="42"/>
    </row>
    <row r="34" spans="2:14" ht="20.149999999999999" customHeight="1" x14ac:dyDescent="0.45">
      <c r="B34" s="11" t="s">
        <v>18</v>
      </c>
      <c r="C34" s="7"/>
      <c r="D34" s="7"/>
      <c r="E34" s="7"/>
      <c r="F34" s="7"/>
      <c r="G34" s="7"/>
      <c r="H34" s="7"/>
      <c r="I34" s="7"/>
      <c r="J34" s="510" t="s">
        <v>15</v>
      </c>
      <c r="K34" s="511"/>
      <c r="L34" s="43">
        <f>SUM(L17:L31)</f>
        <v>151</v>
      </c>
      <c r="M34" s="76">
        <f>SUM(P18:P32)</f>
        <v>40.633333333333333</v>
      </c>
      <c r="N34" s="201">
        <f>M34/L34</f>
        <v>0.26909492273730684</v>
      </c>
    </row>
    <row r="35" spans="2:14" ht="20.149999999999999" customHeight="1" x14ac:dyDescent="0.45">
      <c r="B35" s="11" t="s">
        <v>19</v>
      </c>
      <c r="C35" s="7"/>
      <c r="D35" s="7"/>
      <c r="E35" s="7"/>
      <c r="F35" s="7"/>
      <c r="G35" s="7"/>
      <c r="H35" s="7"/>
      <c r="I35" s="7"/>
      <c r="J35" s="44" t="s">
        <v>22</v>
      </c>
      <c r="K35" s="45"/>
      <c r="L35" s="46">
        <f>L34*K35</f>
        <v>0</v>
      </c>
    </row>
    <row r="36" spans="2:14" ht="20.149999999999999" customHeight="1" x14ac:dyDescent="0.45">
      <c r="B36" s="11" t="s">
        <v>20</v>
      </c>
      <c r="C36" s="7"/>
      <c r="D36" s="7"/>
      <c r="E36" s="7"/>
      <c r="F36" s="7"/>
      <c r="G36" s="7"/>
      <c r="H36" s="7"/>
      <c r="I36" s="7"/>
      <c r="J36" s="486" t="s">
        <v>21</v>
      </c>
      <c r="K36" s="487"/>
      <c r="L36" s="46">
        <f>L34-L35</f>
        <v>151</v>
      </c>
    </row>
    <row r="37" spans="2:14" ht="20.149999999999999" customHeight="1" x14ac:dyDescent="0.45">
      <c r="B37" s="11" t="s">
        <v>24</v>
      </c>
      <c r="C37" s="7"/>
      <c r="D37" s="7"/>
      <c r="E37" s="7"/>
      <c r="F37" s="7"/>
      <c r="G37" s="7"/>
      <c r="H37" s="7"/>
      <c r="I37" s="7"/>
      <c r="J37" s="150" t="s">
        <v>17</v>
      </c>
      <c r="K37" s="151">
        <v>7.0000000000000007E-2</v>
      </c>
      <c r="L37" s="47">
        <f>L36*K37</f>
        <v>10.57</v>
      </c>
    </row>
    <row r="38" spans="2:14" ht="20.149999999999999" customHeight="1" thickBot="1" x14ac:dyDescent="0.5">
      <c r="B38" s="11" t="s">
        <v>25</v>
      </c>
      <c r="C38" s="7"/>
      <c r="D38" s="7"/>
      <c r="E38" s="7"/>
      <c r="F38" s="7"/>
      <c r="G38" s="7"/>
      <c r="H38" s="7"/>
      <c r="I38" s="7"/>
      <c r="J38" s="488" t="s">
        <v>23</v>
      </c>
      <c r="K38" s="489"/>
      <c r="L38" s="48">
        <f>L36+L37</f>
        <v>161.57</v>
      </c>
    </row>
    <row r="39" spans="2:14" ht="20.149999999999999" customHeight="1" x14ac:dyDescent="0.45">
      <c r="B39" s="11" t="s">
        <v>26</v>
      </c>
      <c r="C39" s="7"/>
      <c r="D39" s="7"/>
      <c r="E39" s="7"/>
      <c r="F39" s="7"/>
      <c r="G39" s="7"/>
      <c r="H39" s="7"/>
      <c r="I39" s="7"/>
      <c r="L39" s="42"/>
    </row>
    <row r="40" spans="2:14" ht="20.149999999999999" customHeight="1" x14ac:dyDescent="0.45">
      <c r="B40" s="41"/>
      <c r="L40" s="42"/>
    </row>
    <row r="41" spans="2:14" ht="20.149999999999999" customHeight="1" x14ac:dyDescent="0.45">
      <c r="B41" s="41"/>
      <c r="L41" s="42"/>
    </row>
    <row r="42" spans="2:14" ht="20.149999999999999" customHeight="1" x14ac:dyDescent="0.45">
      <c r="B42" s="41"/>
      <c r="L42" s="42"/>
    </row>
    <row r="43" spans="2:14" ht="20.149999999999999" customHeight="1" x14ac:dyDescent="0.45">
      <c r="B43" s="41"/>
      <c r="L43" s="42"/>
    </row>
    <row r="44" spans="2:14" ht="20.149999999999999" customHeight="1" x14ac:dyDescent="0.45">
      <c r="B44" s="49"/>
      <c r="C44" s="50"/>
      <c r="D44" s="50"/>
      <c r="J44" s="50"/>
      <c r="K44" s="50"/>
      <c r="L44" s="51"/>
    </row>
    <row r="45" spans="2:14" ht="20.149999999999999" customHeight="1" x14ac:dyDescent="0.45">
      <c r="B45" s="41" t="s">
        <v>27</v>
      </c>
      <c r="J45" s="24" t="s">
        <v>28</v>
      </c>
      <c r="L45" s="42"/>
    </row>
    <row r="46" spans="2:14" ht="19" thickBot="1" x14ac:dyDescent="0.5">
      <c r="B46" s="52"/>
      <c r="C46" s="53"/>
      <c r="D46" s="53"/>
      <c r="E46" s="53"/>
      <c r="F46" s="53"/>
      <c r="G46" s="53"/>
      <c r="H46" s="53"/>
      <c r="I46" s="53"/>
      <c r="J46" s="53"/>
      <c r="K46" s="53"/>
      <c r="L46" s="54"/>
    </row>
  </sheetData>
  <mergeCells count="37">
    <mergeCell ref="D29:F29"/>
    <mergeCell ref="D28:F28"/>
    <mergeCell ref="I18:J18"/>
    <mergeCell ref="D21:F21"/>
    <mergeCell ref="D23:F23"/>
    <mergeCell ref="D24:F24"/>
    <mergeCell ref="I23:J23"/>
    <mergeCell ref="I24:J24"/>
    <mergeCell ref="B1:L8"/>
    <mergeCell ref="D19:F19"/>
    <mergeCell ref="I19:J19"/>
    <mergeCell ref="D20:F20"/>
    <mergeCell ref="I20:J20"/>
    <mergeCell ref="K10:L10"/>
    <mergeCell ref="B11:D11"/>
    <mergeCell ref="F11:H15"/>
    <mergeCell ref="B14:D14"/>
    <mergeCell ref="K14:L14"/>
    <mergeCell ref="B15:D15"/>
    <mergeCell ref="K11:L11"/>
    <mergeCell ref="B12:D12"/>
    <mergeCell ref="K12:L12"/>
    <mergeCell ref="B13:D13"/>
    <mergeCell ref="K13:L13"/>
    <mergeCell ref="J38:K38"/>
    <mergeCell ref="D31:F31"/>
    <mergeCell ref="I31:J31"/>
    <mergeCell ref="D32:F32"/>
    <mergeCell ref="I32:J32"/>
    <mergeCell ref="J34:K34"/>
    <mergeCell ref="J36:K36"/>
    <mergeCell ref="I17:J17"/>
    <mergeCell ref="D18:F18"/>
    <mergeCell ref="I21:J21"/>
    <mergeCell ref="D17:F17"/>
    <mergeCell ref="D22:F22"/>
    <mergeCell ref="I22:J22"/>
  </mergeCells>
  <pageMargins left="0.70866141732283472" right="0.31496062992125984" top="0.59055118110236227" bottom="0" header="0.31496062992125984" footer="0.31496062992125984"/>
  <pageSetup paperSize="9" scale="77" orientation="portrait" horizontalDpi="300" verticalDpi="300" r:id="rId1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9EB50-AD33-4464-9F33-F5D053AEA08E}">
  <sheetPr codeName="Sheet123">
    <tabColor rgb="FF92D050"/>
    <pageSetUpPr fitToPage="1"/>
  </sheetPr>
  <dimension ref="B1:P48"/>
  <sheetViews>
    <sheetView topLeftCell="B10" workbookViewId="0">
      <selection activeCell="B1" sqref="B1:L48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6.54296875" style="24" customWidth="1"/>
    <col min="7" max="7" width="8.54296875" style="24" customWidth="1"/>
    <col min="8" max="8" width="15.54296875" style="24" customWidth="1"/>
    <col min="9" max="9" width="2.54296875" style="24" customWidth="1"/>
    <col min="10" max="10" width="15.54296875" style="24" customWidth="1"/>
    <col min="11" max="11" width="10.54296875" style="24" customWidth="1"/>
    <col min="12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155</v>
      </c>
      <c r="J10" s="29" t="s">
        <v>29</v>
      </c>
      <c r="K10" s="452">
        <v>202209068</v>
      </c>
      <c r="L10" s="453"/>
    </row>
    <row r="11" spans="2:12" ht="20.149999999999999" customHeight="1" x14ac:dyDescent="0.45">
      <c r="B11" s="454" t="s">
        <v>1906</v>
      </c>
      <c r="C11" s="455"/>
      <c r="D11" s="456"/>
      <c r="E11" s="30"/>
      <c r="F11" s="457" t="str">
        <f>VLOOKUP(H10,'Delivery Location'!A$4:N$416,2,0)</f>
        <v>S111 Pte Ltd                                             26A, Kallang Place. Singapore 339212</v>
      </c>
      <c r="G11" s="458"/>
      <c r="H11" s="459"/>
      <c r="J11" s="31" t="s">
        <v>11</v>
      </c>
      <c r="K11" s="466">
        <v>44809</v>
      </c>
      <c r="L11" s="467"/>
    </row>
    <row r="12" spans="2:12" ht="20.149999999999999" customHeight="1" x14ac:dyDescent="0.45">
      <c r="B12" s="468" t="s">
        <v>584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533</v>
      </c>
      <c r="L12" s="472"/>
    </row>
    <row r="13" spans="2:12" ht="20.149999999999999" customHeight="1" x14ac:dyDescent="0.45">
      <c r="B13" s="468" t="s">
        <v>890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750</v>
      </c>
      <c r="L13" s="472"/>
    </row>
    <row r="14" spans="2:12" ht="20.149999999999999" customHeight="1" x14ac:dyDescent="0.45">
      <c r="B14" s="468" t="s">
        <v>891</v>
      </c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552" t="s">
        <v>585</v>
      </c>
      <c r="C15" s="474"/>
      <c r="D15" s="475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16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16" ht="20.149999999999999" customHeight="1" x14ac:dyDescent="0.45">
      <c r="B18" s="34"/>
      <c r="C18" s="22" t="s">
        <v>1566</v>
      </c>
      <c r="D18" s="508" t="str">
        <f>VLOOKUP(C18,'Sales Master'!B$3:D$499,2,)</f>
        <v>Chin Chow  仙草</v>
      </c>
      <c r="E18" s="508"/>
      <c r="F18" s="508"/>
      <c r="G18" s="90">
        <v>2</v>
      </c>
      <c r="H18" s="68" t="str">
        <f>VLOOKUP(C18,'Sales Master'!$B$3:$F$3247,5,0)</f>
        <v>5KGS/PKT</v>
      </c>
      <c r="I18" s="481" t="str">
        <f>VLOOKUP(C18,'Sales Master'!$B$3:$E$3247,4,0)</f>
        <v>TSM</v>
      </c>
      <c r="J18" s="481"/>
      <c r="K18" s="94">
        <f>VLOOKUP(C18,'Sales Master'!B$3:S$499,18,0)</f>
        <v>6</v>
      </c>
      <c r="L18" s="77">
        <f>K18*G18</f>
        <v>12</v>
      </c>
      <c r="M18" s="78"/>
      <c r="N18" s="225">
        <f>VLOOKUP(C18,'Sales Master'!$B$3:$DA$3038,104,0)</f>
        <v>4</v>
      </c>
      <c r="O18" s="225">
        <f>K18-N18</f>
        <v>2</v>
      </c>
      <c r="P18" s="225">
        <f>O18*G18</f>
        <v>4</v>
      </c>
    </row>
    <row r="19" spans="2:16" ht="20.149999999999999" customHeight="1" x14ac:dyDescent="0.45">
      <c r="B19" s="34"/>
      <c r="C19" s="22"/>
      <c r="D19" s="508"/>
      <c r="E19" s="508"/>
      <c r="F19" s="508"/>
      <c r="G19" s="90"/>
      <c r="H19" s="68"/>
      <c r="I19" s="481"/>
      <c r="J19" s="481"/>
      <c r="K19" s="94"/>
      <c r="L19" s="77"/>
      <c r="M19" s="78"/>
    </row>
    <row r="20" spans="2:16" ht="20.149999999999999" customHeight="1" x14ac:dyDescent="0.45">
      <c r="B20" s="34"/>
      <c r="C20" s="22"/>
      <c r="D20" s="508"/>
      <c r="E20" s="508"/>
      <c r="F20" s="508"/>
      <c r="G20" s="90"/>
      <c r="H20" s="68"/>
      <c r="I20" s="481"/>
      <c r="J20" s="481"/>
      <c r="K20" s="94"/>
      <c r="L20" s="77"/>
      <c r="M20" s="78"/>
    </row>
    <row r="21" spans="2:16" ht="20.149999999999999" customHeight="1" x14ac:dyDescent="0.45">
      <c r="B21" s="34"/>
      <c r="C21" s="22"/>
      <c r="D21" s="508"/>
      <c r="E21" s="508"/>
      <c r="F21" s="508"/>
      <c r="G21" s="90"/>
      <c r="H21" s="68"/>
      <c r="I21" s="481"/>
      <c r="J21" s="481"/>
      <c r="K21" s="94"/>
      <c r="L21" s="77"/>
      <c r="M21" s="78"/>
    </row>
    <row r="22" spans="2:16" ht="20.149999999999999" customHeight="1" x14ac:dyDescent="0.45">
      <c r="B22" s="34"/>
      <c r="C22" s="22"/>
      <c r="D22" s="508"/>
      <c r="E22" s="508"/>
      <c r="F22" s="508"/>
      <c r="G22" s="90"/>
      <c r="H22" s="68"/>
      <c r="I22" s="481"/>
      <c r="J22" s="481"/>
      <c r="K22" s="94"/>
      <c r="L22" s="77"/>
      <c r="M22" s="78"/>
    </row>
    <row r="23" spans="2:16" ht="20.149999999999999" customHeight="1" x14ac:dyDescent="0.45">
      <c r="B23" s="34"/>
      <c r="C23" s="22"/>
      <c r="D23" s="508"/>
      <c r="E23" s="508"/>
      <c r="F23" s="508"/>
      <c r="G23" s="90"/>
      <c r="H23" s="68"/>
      <c r="I23" s="481"/>
      <c r="J23" s="481"/>
      <c r="K23" s="94"/>
      <c r="L23" s="77"/>
      <c r="M23" s="78"/>
    </row>
    <row r="24" spans="2:16" ht="20.149999999999999" customHeight="1" x14ac:dyDescent="0.45">
      <c r="B24" s="34"/>
      <c r="C24" s="22"/>
      <c r="D24" s="508"/>
      <c r="E24" s="508"/>
      <c r="F24" s="508"/>
      <c r="G24" s="90"/>
      <c r="H24" s="68"/>
      <c r="I24" s="481"/>
      <c r="J24" s="481"/>
      <c r="K24" s="94"/>
      <c r="L24" s="77"/>
      <c r="M24" s="78"/>
    </row>
    <row r="25" spans="2:16" ht="20.149999999999999" customHeight="1" x14ac:dyDescent="0.45">
      <c r="B25" s="34"/>
      <c r="C25" s="22"/>
      <c r="D25" s="508"/>
      <c r="E25" s="508"/>
      <c r="F25" s="508"/>
      <c r="G25" s="90"/>
      <c r="H25" s="68"/>
      <c r="I25" s="481"/>
      <c r="J25" s="481"/>
      <c r="K25" s="94"/>
      <c r="L25" s="77"/>
      <c r="M25" s="78"/>
    </row>
    <row r="26" spans="2:16" ht="20.149999999999999" customHeight="1" x14ac:dyDescent="0.45">
      <c r="B26" s="34"/>
      <c r="C26" s="22"/>
      <c r="D26" s="508"/>
      <c r="E26" s="508"/>
      <c r="F26" s="508"/>
      <c r="G26" s="90"/>
      <c r="H26" s="68"/>
      <c r="I26" s="481"/>
      <c r="J26" s="481"/>
      <c r="K26" s="94"/>
      <c r="L26" s="77"/>
      <c r="M26" s="78"/>
    </row>
    <row r="27" spans="2:16" ht="20.149999999999999" customHeight="1" x14ac:dyDescent="0.45">
      <c r="B27" s="34"/>
      <c r="C27" s="22"/>
      <c r="D27" s="508"/>
      <c r="E27" s="508"/>
      <c r="F27" s="508"/>
      <c r="G27" s="90"/>
      <c r="H27" s="68"/>
      <c r="I27" s="481"/>
      <c r="J27" s="481"/>
      <c r="K27" s="94"/>
      <c r="L27" s="77"/>
      <c r="M27" s="78"/>
    </row>
    <row r="28" spans="2:16" ht="20.149999999999999" customHeight="1" x14ac:dyDescent="0.45">
      <c r="B28" s="34"/>
      <c r="C28" s="22"/>
      <c r="G28" s="90"/>
      <c r="H28" s="68"/>
      <c r="I28" s="481"/>
      <c r="J28" s="481"/>
      <c r="K28" s="94"/>
      <c r="L28" s="77"/>
      <c r="M28" s="78"/>
    </row>
    <row r="29" spans="2:16" ht="20.149999999999999" customHeight="1" x14ac:dyDescent="0.45">
      <c r="B29" s="34"/>
      <c r="C29" s="22"/>
      <c r="G29" s="90"/>
      <c r="H29" s="68"/>
      <c r="I29" s="481"/>
      <c r="J29" s="481"/>
      <c r="K29" s="94"/>
      <c r="L29" s="77"/>
      <c r="M29" s="78"/>
    </row>
    <row r="30" spans="2:16" ht="20.149999999999999" customHeight="1" x14ac:dyDescent="0.45">
      <c r="B30" s="34"/>
      <c r="C30" s="22"/>
      <c r="G30" s="90"/>
      <c r="H30" s="68"/>
      <c r="I30" s="481"/>
      <c r="J30" s="481"/>
      <c r="K30" s="94"/>
      <c r="L30" s="77"/>
      <c r="M30" s="78"/>
    </row>
    <row r="31" spans="2:16" ht="20.149999999999999" customHeight="1" x14ac:dyDescent="0.45">
      <c r="B31" s="34"/>
      <c r="C31" s="22"/>
      <c r="D31" s="508"/>
      <c r="E31" s="508"/>
      <c r="F31" s="508"/>
      <c r="G31" s="22"/>
      <c r="H31" s="68"/>
      <c r="I31" s="481"/>
      <c r="J31" s="481"/>
      <c r="K31" s="94"/>
      <c r="L31" s="77"/>
      <c r="M31" s="78"/>
    </row>
    <row r="32" spans="2:16" ht="20.149999999999999" customHeight="1" x14ac:dyDescent="0.45">
      <c r="B32" s="34"/>
      <c r="C32" s="22"/>
      <c r="D32" s="508"/>
      <c r="E32" s="508"/>
      <c r="F32" s="508"/>
      <c r="G32" s="22"/>
      <c r="H32" s="68"/>
      <c r="I32" s="481"/>
      <c r="J32" s="481"/>
      <c r="K32" s="94"/>
      <c r="L32" s="77"/>
      <c r="M32" s="78"/>
    </row>
    <row r="33" spans="2:14" ht="20.149999999999999" customHeight="1" x14ac:dyDescent="0.45">
      <c r="B33" s="34"/>
      <c r="C33" s="22"/>
      <c r="D33" s="508"/>
      <c r="E33" s="508"/>
      <c r="F33" s="508"/>
      <c r="G33" s="22"/>
      <c r="H33" s="68"/>
      <c r="I33" s="481"/>
      <c r="J33" s="481"/>
      <c r="K33" s="94"/>
      <c r="L33" s="77"/>
      <c r="M33" s="78"/>
    </row>
    <row r="34" spans="2:14" ht="20.149999999999999" customHeight="1" thickBot="1" x14ac:dyDescent="0.5">
      <c r="B34" s="37"/>
      <c r="C34" s="38"/>
      <c r="D34" s="509"/>
      <c r="E34" s="509"/>
      <c r="F34" s="509"/>
      <c r="G34" s="38"/>
      <c r="H34" s="69"/>
      <c r="I34" s="451"/>
      <c r="J34" s="451"/>
      <c r="K34" s="39"/>
      <c r="L34" s="40"/>
    </row>
    <row r="35" spans="2:14" ht="20.149999999999999" customHeight="1" thickBot="1" x14ac:dyDescent="0.5">
      <c r="B35" s="41"/>
      <c r="L35" s="42"/>
    </row>
    <row r="36" spans="2:14" ht="20.149999999999999" customHeight="1" x14ac:dyDescent="0.45">
      <c r="B36" s="11" t="s">
        <v>18</v>
      </c>
      <c r="C36" s="7"/>
      <c r="D36" s="7"/>
      <c r="E36" s="7"/>
      <c r="F36" s="7"/>
      <c r="G36" s="7"/>
      <c r="H36" s="7"/>
      <c r="I36" s="7"/>
      <c r="J36" s="510" t="s">
        <v>15</v>
      </c>
      <c r="K36" s="511"/>
      <c r="L36" s="43">
        <f>SUM(L17:L33)</f>
        <v>12</v>
      </c>
      <c r="M36" s="76">
        <f>SUM(P18:P34)</f>
        <v>4</v>
      </c>
      <c r="N36" s="201">
        <f>M36/L36</f>
        <v>0.33333333333333331</v>
      </c>
    </row>
    <row r="37" spans="2:14" ht="20.149999999999999" customHeight="1" x14ac:dyDescent="0.45">
      <c r="B37" s="11" t="s">
        <v>19</v>
      </c>
      <c r="C37" s="7"/>
      <c r="D37" s="7"/>
      <c r="E37" s="7"/>
      <c r="F37" s="7"/>
      <c r="G37" s="7"/>
      <c r="H37" s="7"/>
      <c r="I37" s="7"/>
      <c r="J37" s="44" t="s">
        <v>22</v>
      </c>
      <c r="K37" s="45"/>
      <c r="L37" s="46">
        <f>L36*K37</f>
        <v>0</v>
      </c>
    </row>
    <row r="38" spans="2:14" ht="20.149999999999999" customHeight="1" x14ac:dyDescent="0.45">
      <c r="B38" s="11" t="s">
        <v>20</v>
      </c>
      <c r="C38" s="7"/>
      <c r="D38" s="7"/>
      <c r="E38" s="7"/>
      <c r="F38" s="7"/>
      <c r="G38" s="7"/>
      <c r="H38" s="7"/>
      <c r="I38" s="7"/>
      <c r="J38" s="486" t="s">
        <v>21</v>
      </c>
      <c r="K38" s="487"/>
      <c r="L38" s="46">
        <f>L36-L37</f>
        <v>12</v>
      </c>
    </row>
    <row r="39" spans="2:14" ht="20.149999999999999" customHeight="1" x14ac:dyDescent="0.45">
      <c r="B39" s="11" t="s">
        <v>24</v>
      </c>
      <c r="C39" s="7"/>
      <c r="D39" s="7"/>
      <c r="E39" s="7"/>
      <c r="F39" s="7"/>
      <c r="G39" s="7"/>
      <c r="H39" s="7"/>
      <c r="I39" s="7"/>
      <c r="J39" s="150" t="s">
        <v>17</v>
      </c>
      <c r="K39" s="151">
        <v>7.0000000000000007E-2</v>
      </c>
      <c r="L39" s="47">
        <f>L38*K39</f>
        <v>0.84000000000000008</v>
      </c>
    </row>
    <row r="40" spans="2:14" ht="20.149999999999999" customHeight="1" thickBot="1" x14ac:dyDescent="0.5">
      <c r="B40" s="11" t="s">
        <v>25</v>
      </c>
      <c r="C40" s="7"/>
      <c r="D40" s="7"/>
      <c r="E40" s="7"/>
      <c r="F40" s="7"/>
      <c r="G40" s="7"/>
      <c r="H40" s="7"/>
      <c r="I40" s="7"/>
      <c r="J40" s="488" t="s">
        <v>23</v>
      </c>
      <c r="K40" s="489"/>
      <c r="L40" s="48">
        <f>L38+L39</f>
        <v>12.84</v>
      </c>
    </row>
    <row r="41" spans="2:14" ht="20.149999999999999" customHeight="1" x14ac:dyDescent="0.45">
      <c r="B41" s="11" t="s">
        <v>26</v>
      </c>
      <c r="C41" s="7"/>
      <c r="D41" s="7"/>
      <c r="E41" s="7"/>
      <c r="F41" s="7"/>
      <c r="G41" s="7"/>
      <c r="H41" s="7"/>
      <c r="I41" s="7"/>
      <c r="L41" s="42"/>
    </row>
    <row r="42" spans="2:14" ht="20.149999999999999" customHeight="1" x14ac:dyDescent="0.45">
      <c r="B42" s="41"/>
      <c r="L42" s="42"/>
    </row>
    <row r="43" spans="2:14" ht="20.149999999999999" customHeight="1" x14ac:dyDescent="0.45">
      <c r="B43" s="41"/>
      <c r="L43" s="42"/>
    </row>
    <row r="44" spans="2:14" ht="20.149999999999999" customHeight="1" x14ac:dyDescent="0.45">
      <c r="B44" s="41"/>
      <c r="L44" s="42"/>
    </row>
    <row r="45" spans="2:14" ht="20.149999999999999" customHeight="1" x14ac:dyDescent="0.45">
      <c r="B45" s="41"/>
      <c r="L45" s="42"/>
    </row>
    <row r="46" spans="2:14" ht="20.149999999999999" customHeight="1" x14ac:dyDescent="0.45">
      <c r="B46" s="49"/>
      <c r="C46" s="50"/>
      <c r="D46" s="50"/>
      <c r="J46" s="50"/>
      <c r="K46" s="50"/>
      <c r="L46" s="51"/>
    </row>
    <row r="47" spans="2:14" ht="20.149999999999999" customHeight="1" x14ac:dyDescent="0.45">
      <c r="B47" s="41" t="s">
        <v>27</v>
      </c>
      <c r="J47" s="24" t="s">
        <v>28</v>
      </c>
      <c r="L47" s="42"/>
    </row>
    <row r="48" spans="2:14" ht="19" thickBot="1" x14ac:dyDescent="0.5">
      <c r="B48" s="52"/>
      <c r="C48" s="53"/>
      <c r="D48" s="53"/>
      <c r="E48" s="53"/>
      <c r="F48" s="53"/>
      <c r="G48" s="53"/>
      <c r="H48" s="53"/>
      <c r="I48" s="53"/>
      <c r="J48" s="53"/>
      <c r="K48" s="53"/>
      <c r="L48" s="54"/>
    </row>
  </sheetData>
  <mergeCells count="49">
    <mergeCell ref="J40:K40"/>
    <mergeCell ref="D34:F34"/>
    <mergeCell ref="I34:J34"/>
    <mergeCell ref="J36:K36"/>
    <mergeCell ref="J38:K38"/>
    <mergeCell ref="D33:F33"/>
    <mergeCell ref="I33:J33"/>
    <mergeCell ref="D20:F20"/>
    <mergeCell ref="I20:J20"/>
    <mergeCell ref="D24:F24"/>
    <mergeCell ref="I24:J24"/>
    <mergeCell ref="D32:F32"/>
    <mergeCell ref="I32:J32"/>
    <mergeCell ref="D25:F25"/>
    <mergeCell ref="I25:J25"/>
    <mergeCell ref="D26:F26"/>
    <mergeCell ref="I26:J26"/>
    <mergeCell ref="D27:F27"/>
    <mergeCell ref="I27:J27"/>
    <mergeCell ref="I28:J28"/>
    <mergeCell ref="I29:J29"/>
    <mergeCell ref="I30:J30"/>
    <mergeCell ref="D31:F31"/>
    <mergeCell ref="D21:F21"/>
    <mergeCell ref="I21:J21"/>
    <mergeCell ref="D22:F22"/>
    <mergeCell ref="I22:J22"/>
    <mergeCell ref="D23:F23"/>
    <mergeCell ref="I23:J23"/>
    <mergeCell ref="I31:J31"/>
    <mergeCell ref="D17:F17"/>
    <mergeCell ref="I17:J17"/>
    <mergeCell ref="D18:F18"/>
    <mergeCell ref="I18:J18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7" orientation="portrait" horizontalDpi="300" verticalDpi="300" r:id="rId1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2CF8DF-319A-4C5D-AE53-A3216123EA22}">
  <sheetPr codeName="Sheet119">
    <tabColor rgb="FF92D050"/>
    <pageSetUpPr fitToPage="1"/>
  </sheetPr>
  <dimension ref="B1:W48"/>
  <sheetViews>
    <sheetView zoomScaleNormal="100" workbookViewId="0">
      <selection activeCell="B12" sqref="B12:D12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6.54296875" style="24" customWidth="1"/>
    <col min="7" max="7" width="8.54296875" style="24" customWidth="1"/>
    <col min="8" max="8" width="15.54296875" style="24" customWidth="1"/>
    <col min="9" max="9" width="2.54296875" style="24" customWidth="1"/>
    <col min="10" max="10" width="15.54296875" style="24" customWidth="1"/>
    <col min="11" max="11" width="10.54296875" style="24" customWidth="1"/>
    <col min="12" max="12" width="12.54296875" style="24" customWidth="1"/>
    <col min="13" max="16384" width="12.54296875" style="24"/>
  </cols>
  <sheetData>
    <row r="1" spans="2:15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5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5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5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5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5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5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5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5" ht="19" thickBot="1" x14ac:dyDescent="0.5">
      <c r="B9" s="23"/>
    </row>
    <row r="10" spans="2:15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228</v>
      </c>
      <c r="J10" s="29" t="s">
        <v>29</v>
      </c>
      <c r="K10" s="452">
        <v>202209211</v>
      </c>
      <c r="L10" s="453"/>
    </row>
    <row r="11" spans="2:15" ht="20.149999999999999" customHeight="1" x14ac:dyDescent="0.45">
      <c r="B11" s="454" t="s">
        <v>2321</v>
      </c>
      <c r="C11" s="455"/>
      <c r="D11" s="456"/>
      <c r="E11" s="30"/>
      <c r="F11" s="457" t="str">
        <f>VLOOKUP(H10,'Delivery Location'!A$4:N$416,2,0)</f>
        <v>Yew Kee Collective Pte Ltd                               Kw Café, My Kampung. Kallang Wave Mall #02-16/K6. Singapore 397628</v>
      </c>
      <c r="G11" s="458"/>
      <c r="H11" s="459"/>
      <c r="J11" s="31" t="s">
        <v>11</v>
      </c>
      <c r="K11" s="466">
        <v>44817</v>
      </c>
      <c r="L11" s="467"/>
    </row>
    <row r="12" spans="2:15" ht="20.149999999999999" customHeight="1" x14ac:dyDescent="0.45">
      <c r="B12" s="468" t="s">
        <v>573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533</v>
      </c>
      <c r="L12" s="472"/>
    </row>
    <row r="13" spans="2:15" ht="20.149999999999999" customHeight="1" x14ac:dyDescent="0.45">
      <c r="B13" s="468" t="s">
        <v>574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14</v>
      </c>
      <c r="L13" s="472"/>
    </row>
    <row r="14" spans="2:15" ht="20.149999999999999" customHeight="1" x14ac:dyDescent="0.45">
      <c r="B14" s="468" t="s">
        <v>575</v>
      </c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5" ht="18" customHeight="1" thickBot="1" x14ac:dyDescent="0.5">
      <c r="B15" s="74" t="s">
        <v>576</v>
      </c>
      <c r="C15" s="56"/>
      <c r="D15" s="57"/>
      <c r="E15" s="26"/>
      <c r="F15" s="463"/>
      <c r="G15" s="464"/>
      <c r="H15" s="465"/>
      <c r="J15" s="32" t="s">
        <v>13</v>
      </c>
      <c r="K15" s="476"/>
      <c r="L15" s="477"/>
      <c r="N15" s="24" t="s">
        <v>1648</v>
      </c>
      <c r="O15" s="24" t="s">
        <v>278</v>
      </c>
    </row>
    <row r="16" spans="2:15" ht="19" thickBot="1" x14ac:dyDescent="0.5">
      <c r="J16" s="22"/>
    </row>
    <row r="17" spans="2:23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60</v>
      </c>
      <c r="I17" s="478" t="s">
        <v>31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23" ht="20.149999999999999" customHeight="1" x14ac:dyDescent="0.45">
      <c r="B18" s="34"/>
      <c r="C18" s="22" t="s">
        <v>1460</v>
      </c>
      <c r="D18" s="508" t="str">
        <f>VLOOKUP(C18,'Sales Master'!B$3:D$699,2,)</f>
        <v>Coconut Sugar Syrup 椰糖浆</v>
      </c>
      <c r="E18" s="508"/>
      <c r="F18" s="508"/>
      <c r="G18" s="90">
        <v>4</v>
      </c>
      <c r="H18" s="389" t="str">
        <f>VLOOKUP(C18,'Sales Master'!$B$3:$E$590,4,0)</f>
        <v>DO!</v>
      </c>
      <c r="I18" s="512" t="str">
        <f>VLOOKUP(C18,'Sales Master'!$B$3:F$590,5,0)</f>
        <v>4L/BTL</v>
      </c>
      <c r="J18" s="512"/>
      <c r="K18" s="98">
        <f>VLOOKUP(C18,'Sales Master'!B$3:Q$499,16,0)</f>
        <v>14</v>
      </c>
      <c r="L18" s="77">
        <f t="shared" ref="L18" si="0">K18*G18</f>
        <v>56</v>
      </c>
      <c r="M18" s="78"/>
      <c r="N18" s="225">
        <f>VLOOKUP(C18,'Sales Master'!$B$3:$DA$3038,104,0)</f>
        <v>9.27</v>
      </c>
      <c r="O18" s="225">
        <f t="shared" ref="O18" si="1">K18-N18</f>
        <v>4.7300000000000004</v>
      </c>
      <c r="P18" s="225">
        <f t="shared" ref="P18" si="2">O18*G18</f>
        <v>18.920000000000002</v>
      </c>
      <c r="R18" s="24">
        <v>2</v>
      </c>
      <c r="S18" s="24" t="s">
        <v>36</v>
      </c>
      <c r="T18" s="24" t="s">
        <v>71</v>
      </c>
      <c r="V18" s="24">
        <v>6</v>
      </c>
      <c r="W18" s="24">
        <v>12</v>
      </c>
    </row>
    <row r="19" spans="2:23" ht="20.149999999999999" customHeight="1" x14ac:dyDescent="0.45">
      <c r="B19" s="34"/>
      <c r="C19" s="22" t="s">
        <v>1498</v>
      </c>
      <c r="D19" s="508" t="str">
        <f>VLOOKUP(C19,'Sales Master'!B$3:D$699,2,)</f>
        <v>Jelly Powder "文头雪粉" (CARRAGEENAN)</v>
      </c>
      <c r="E19" s="508"/>
      <c r="F19" s="508"/>
      <c r="G19" s="90">
        <v>1</v>
      </c>
      <c r="H19" s="389" t="str">
        <f>VLOOKUP(C19,'Sales Master'!$B$3:$E$590,4,0)</f>
        <v>500/4000</v>
      </c>
      <c r="I19" s="512" t="str">
        <f>VLOOKUP(C19,'Sales Master'!$B$3:F$590,5,0)</f>
        <v>42gm x 10PKT/Bag</v>
      </c>
      <c r="J19" s="512"/>
      <c r="K19" s="98">
        <f>VLOOKUP(C19,'Sales Master'!B$3:Q$499,16,0)</f>
        <v>25</v>
      </c>
      <c r="L19" s="77">
        <f t="shared" ref="L19:L25" si="3">K19*G19</f>
        <v>25</v>
      </c>
      <c r="M19" s="78"/>
      <c r="N19" s="225">
        <f>VLOOKUP(C19,'Sales Master'!$B$3:$DA$3038,104,0)</f>
        <v>10.5</v>
      </c>
      <c r="O19" s="225">
        <f t="shared" ref="O19:O25" si="4">K19-N19</f>
        <v>14.5</v>
      </c>
      <c r="P19" s="225">
        <f t="shared" ref="P19:P25" si="5">O19*G19</f>
        <v>14.5</v>
      </c>
      <c r="R19" s="24">
        <v>20</v>
      </c>
      <c r="S19" s="24" t="s">
        <v>36</v>
      </c>
      <c r="T19" s="24" t="s">
        <v>112</v>
      </c>
      <c r="V19" s="24">
        <v>0.5</v>
      </c>
    </row>
    <row r="20" spans="2:23" ht="20.149999999999999" customHeight="1" x14ac:dyDescent="0.45">
      <c r="B20" s="34"/>
      <c r="C20" s="22" t="s">
        <v>1572</v>
      </c>
      <c r="D20" s="508" t="str">
        <f>VLOOKUP(C20,'Sales Master'!B$3:D$699,2,)</f>
        <v>Red Bean红豆 (5.5 mm)</v>
      </c>
      <c r="E20" s="508"/>
      <c r="F20" s="508"/>
      <c r="G20" s="90">
        <v>2</v>
      </c>
      <c r="H20" s="389" t="str">
        <f>VLOOKUP(C20,'Sales Master'!$B$3:$E$590,4,0)</f>
        <v>-</v>
      </c>
      <c r="I20" s="512" t="str">
        <f>VLOOKUP(C20,'Sales Master'!$B$3:F$590,5,0)</f>
        <v>5 kgs</v>
      </c>
      <c r="J20" s="512"/>
      <c r="K20" s="98">
        <f>VLOOKUP(C20,'Sales Master'!B$3:Q$499,16,0)</f>
        <v>20.8</v>
      </c>
      <c r="L20" s="77">
        <f t="shared" si="3"/>
        <v>41.6</v>
      </c>
      <c r="M20" s="78"/>
      <c r="N20" s="225">
        <f>VLOOKUP(C20,'Sales Master'!$B$3:$DA$3038,104,0)</f>
        <v>17</v>
      </c>
      <c r="O20" s="225">
        <f t="shared" si="4"/>
        <v>3.8000000000000007</v>
      </c>
      <c r="P20" s="225">
        <f t="shared" si="5"/>
        <v>7.6000000000000014</v>
      </c>
    </row>
    <row r="21" spans="2:23" ht="20.149999999999999" customHeight="1" x14ac:dyDescent="0.45">
      <c r="B21" s="34"/>
      <c r="C21" s="22" t="s">
        <v>1585</v>
      </c>
      <c r="D21" s="508" t="str">
        <f>VLOOKUP(C21,'Sales Master'!B$3:D$699,2,)</f>
        <v>Green Bean 绿豆</v>
      </c>
      <c r="E21" s="508"/>
      <c r="F21" s="508"/>
      <c r="G21" s="90">
        <v>1</v>
      </c>
      <c r="H21" s="389" t="str">
        <f>VLOOKUP(C21,'Sales Master'!$B$3:$E$590,4,0)</f>
        <v>-</v>
      </c>
      <c r="I21" s="512" t="str">
        <f>VLOOKUP(C21,'Sales Master'!$B$3:F$590,5,0)</f>
        <v>5 kgs</v>
      </c>
      <c r="J21" s="512"/>
      <c r="K21" s="98">
        <f>VLOOKUP(C21,'Sales Master'!B$3:Q$499,16,0)</f>
        <v>14</v>
      </c>
      <c r="L21" s="77">
        <f t="shared" si="3"/>
        <v>14</v>
      </c>
      <c r="M21" s="78"/>
      <c r="N21" s="225">
        <f>VLOOKUP(C21,'Sales Master'!$B$3:$DA$3038,104,0)</f>
        <v>9.3999999999999986</v>
      </c>
      <c r="O21" s="225">
        <f t="shared" si="4"/>
        <v>4.6000000000000014</v>
      </c>
      <c r="P21" s="225">
        <f t="shared" si="5"/>
        <v>4.6000000000000014</v>
      </c>
    </row>
    <row r="22" spans="2:23" ht="20.149999999999999" customHeight="1" x14ac:dyDescent="0.45">
      <c r="B22" s="34"/>
      <c r="C22" s="22" t="s">
        <v>1599</v>
      </c>
      <c r="D22" s="508" t="str">
        <f>VLOOKUP(C22,'Sales Master'!B$3:D$699,2,)</f>
        <v>Black Glutinous Rice 黑糯米</v>
      </c>
      <c r="E22" s="508"/>
      <c r="F22" s="508"/>
      <c r="G22" s="90">
        <v>1</v>
      </c>
      <c r="H22" s="389" t="str">
        <f>VLOOKUP(C22,'Sales Master'!$B$3:$E$590,4,0)</f>
        <v>-</v>
      </c>
      <c r="I22" s="512" t="str">
        <f>VLOOKUP(C22,'Sales Master'!$B$3:F$590,5,0)</f>
        <v>5 kgs</v>
      </c>
      <c r="J22" s="512"/>
      <c r="K22" s="98">
        <f>VLOOKUP(C22,'Sales Master'!B$3:Q$499,16,0)</f>
        <v>18</v>
      </c>
      <c r="L22" s="77">
        <f t="shared" si="3"/>
        <v>18</v>
      </c>
      <c r="M22" s="78"/>
      <c r="N22" s="225">
        <f>VLOOKUP(C22,'Sales Master'!$B$3:$DA$3038,104,0)</f>
        <v>12</v>
      </c>
      <c r="O22" s="225">
        <f t="shared" si="4"/>
        <v>6</v>
      </c>
      <c r="P22" s="225">
        <f t="shared" si="5"/>
        <v>6</v>
      </c>
    </row>
    <row r="23" spans="2:23" ht="20.149999999999999" customHeight="1" x14ac:dyDescent="0.45">
      <c r="B23" s="34"/>
      <c r="C23" s="22" t="s">
        <v>1689</v>
      </c>
      <c r="D23" s="508" t="str">
        <f>VLOOKUP(C23,'Sales Master'!B$3:D$699,2,)</f>
        <v>Sea Coconut海底椰</v>
      </c>
      <c r="E23" s="508"/>
      <c r="F23" s="508"/>
      <c r="G23" s="90">
        <v>1</v>
      </c>
      <c r="H23" s="389" t="str">
        <f>VLOOKUP(C23,'Sales Master'!$B$3:$E$590,4,0)</f>
        <v>Chefs</v>
      </c>
      <c r="I23" s="512" t="str">
        <f>VLOOKUP(C23,'Sales Master'!$B$3:F$590,5,0)</f>
        <v>1 Can X A10</v>
      </c>
      <c r="J23" s="512"/>
      <c r="K23" s="98">
        <f>VLOOKUP(C23,'Sales Master'!B$3:Q$499,16,0)</f>
        <v>19</v>
      </c>
      <c r="L23" s="77">
        <f t="shared" si="3"/>
        <v>19</v>
      </c>
      <c r="M23" s="78"/>
      <c r="N23" s="225">
        <f>VLOOKUP(C23,'Sales Master'!$B$3:$DA$3038,104,0)</f>
        <v>14.333333333333334</v>
      </c>
      <c r="O23" s="225">
        <f t="shared" si="4"/>
        <v>4.6666666666666661</v>
      </c>
      <c r="P23" s="225">
        <f t="shared" si="5"/>
        <v>4.6666666666666661</v>
      </c>
    </row>
    <row r="24" spans="2:23" ht="20.149999999999999" customHeight="1" x14ac:dyDescent="0.45">
      <c r="B24" s="34"/>
      <c r="C24" s="22" t="s">
        <v>1706</v>
      </c>
      <c r="D24" s="508" t="str">
        <f>VLOOKUP(C24,'Sales Master'!B$3:D$699,2,)</f>
        <v>Cream Corn玉米浆</v>
      </c>
      <c r="E24" s="508"/>
      <c r="F24" s="508"/>
      <c r="G24" s="90">
        <v>2</v>
      </c>
      <c r="H24" s="389" t="str">
        <f>VLOOKUP(C24,'Sales Master'!$B$3:$E$590,4,0)</f>
        <v>Statue</v>
      </c>
      <c r="I24" s="512" t="str">
        <f>VLOOKUP(C24,'Sales Master'!$B$3:F$590,5,0)</f>
        <v>(425gm x 24)/箱</v>
      </c>
      <c r="J24" s="512"/>
      <c r="K24" s="98">
        <f>VLOOKUP(C24,'Sales Master'!B$3:Q$499,16,0)</f>
        <v>22</v>
      </c>
      <c r="L24" s="77">
        <f t="shared" si="3"/>
        <v>44</v>
      </c>
      <c r="M24" s="78"/>
      <c r="N24" s="225">
        <f>VLOOKUP(C24,'Sales Master'!$B$3:$DA$3038,104,0)</f>
        <v>16</v>
      </c>
      <c r="O24" s="225">
        <f t="shared" si="4"/>
        <v>6</v>
      </c>
      <c r="P24" s="225">
        <f t="shared" si="5"/>
        <v>12</v>
      </c>
    </row>
    <row r="25" spans="2:23" ht="20.149999999999999" customHeight="1" x14ac:dyDescent="0.45">
      <c r="B25" s="34"/>
      <c r="C25" s="22" t="s">
        <v>1709</v>
      </c>
      <c r="D25" s="508" t="str">
        <f>VLOOKUP(C25,'Sales Master'!B$3:D$699,2,)</f>
        <v>Whole Corn玉米粒</v>
      </c>
      <c r="E25" s="508"/>
      <c r="F25" s="508"/>
      <c r="G25" s="90">
        <v>1</v>
      </c>
      <c r="H25" s="389" t="str">
        <f>VLOOKUP(C25,'Sales Master'!$B$3:$E$590,4,0)</f>
        <v>Statue</v>
      </c>
      <c r="I25" s="512" t="str">
        <f>VLOOKUP(C25,'Sales Master'!$B$3:F$590,5,0)</f>
        <v>(410gm x 24)/箱</v>
      </c>
      <c r="J25" s="512"/>
      <c r="K25" s="98">
        <f>VLOOKUP(C25,'Sales Master'!B$3:Q$499,16,0)</f>
        <v>22</v>
      </c>
      <c r="L25" s="77">
        <f t="shared" si="3"/>
        <v>22</v>
      </c>
      <c r="M25" s="78"/>
      <c r="N25" s="225">
        <f>VLOOKUP(C25,'Sales Master'!$B$3:$DA$3038,104,0)</f>
        <v>16</v>
      </c>
      <c r="O25" s="225">
        <f t="shared" si="4"/>
        <v>6</v>
      </c>
      <c r="P25" s="225">
        <f t="shared" si="5"/>
        <v>6</v>
      </c>
    </row>
    <row r="26" spans="2:23" ht="20.149999999999999" customHeight="1" x14ac:dyDescent="0.45">
      <c r="B26" s="34"/>
      <c r="C26" s="22" t="s">
        <v>1736</v>
      </c>
      <c r="D26" s="508" t="str">
        <f>VLOOKUP(C26,'Sales Master'!B$3:D$699,2,)</f>
        <v>Coconut Milk 椰浆</v>
      </c>
      <c r="E26" s="508"/>
      <c r="F26" s="508"/>
      <c r="G26" s="90">
        <v>1</v>
      </c>
      <c r="H26" s="389" t="str">
        <f>VLOOKUP(C26,'Sales Master'!$B$3:$E$590,4,0)</f>
        <v>Kara UHT</v>
      </c>
      <c r="I26" s="512" t="str">
        <f>VLOOKUP(C26,'Sales Master'!$B$3:F$590,5,0)</f>
        <v>(1L x 12bag)/箱</v>
      </c>
      <c r="J26" s="512"/>
      <c r="K26" s="98">
        <f>VLOOKUP(C26,'Sales Master'!B$3:Q$499,16,0)</f>
        <v>41</v>
      </c>
      <c r="L26" s="77">
        <f t="shared" ref="L26:L28" si="6">K26*G26</f>
        <v>41</v>
      </c>
      <c r="M26" s="78"/>
      <c r="N26" s="225">
        <f>VLOOKUP(C26,'Sales Master'!$B$3:$DA$3038,104,0)</f>
        <v>35.5</v>
      </c>
      <c r="O26" s="225">
        <f t="shared" ref="O26:O28" si="7">K26-N26</f>
        <v>5.5</v>
      </c>
      <c r="P26" s="225">
        <f t="shared" ref="P26:P28" si="8">O26*G26</f>
        <v>5.5</v>
      </c>
    </row>
    <row r="27" spans="2:23" ht="20.149999999999999" customHeight="1" x14ac:dyDescent="0.45">
      <c r="B27" s="34"/>
      <c r="C27" s="22" t="s">
        <v>1763</v>
      </c>
      <c r="D27" s="508" t="str">
        <f>VLOOKUP(C27,'Sales Master'!B$3:D$699,2,)</f>
        <v>Rock Sugar冰糖</v>
      </c>
      <c r="E27" s="508"/>
      <c r="F27" s="508"/>
      <c r="G27" s="90">
        <v>1</v>
      </c>
      <c r="H27" s="389" t="str">
        <f>VLOOKUP(C27,'Sales Master'!$B$3:$E$590,4,0)</f>
        <v>-</v>
      </c>
      <c r="I27" s="512" t="str">
        <f>VLOOKUP(C27,'Sales Master'!$B$3:F$590,5,0)</f>
        <v>3 KGS/PKT</v>
      </c>
      <c r="J27" s="512"/>
      <c r="K27" s="98">
        <f>VLOOKUP(C27,'Sales Master'!B$3:Q$499,16,0)</f>
        <v>7</v>
      </c>
      <c r="L27" s="77">
        <f t="shared" si="6"/>
        <v>7</v>
      </c>
      <c r="M27" s="78"/>
      <c r="N27" s="225">
        <f>VLOOKUP(C27,'Sales Master'!$B$3:$DA$3038,104,0)</f>
        <v>4.666666666666667</v>
      </c>
      <c r="O27" s="225">
        <f t="shared" si="7"/>
        <v>2.333333333333333</v>
      </c>
      <c r="P27" s="225">
        <f t="shared" si="8"/>
        <v>2.333333333333333</v>
      </c>
    </row>
    <row r="28" spans="2:23" ht="20.149999999999999" customHeight="1" x14ac:dyDescent="0.45">
      <c r="B28" s="34"/>
      <c r="C28" s="22" t="s">
        <v>1766</v>
      </c>
      <c r="D28" s="508" t="str">
        <f>VLOOKUP(C28,'Sales Master'!B$3:D$699,2,)</f>
        <v>Brown Sugar 黑糖</v>
      </c>
      <c r="E28" s="508"/>
      <c r="F28" s="508"/>
      <c r="G28" s="90">
        <v>2</v>
      </c>
      <c r="H28" s="389" t="str">
        <f>VLOOKUP(C28,'Sales Master'!$B$3:$E$590,4,0)</f>
        <v>Star</v>
      </c>
      <c r="I28" s="512" t="str">
        <f>VLOOKUP(C28,'Sales Master'!$B$3:F$590,5,0)</f>
        <v>6 kgs</v>
      </c>
      <c r="J28" s="512"/>
      <c r="K28" s="98">
        <f>VLOOKUP(C28,'Sales Master'!B$3:Q$499,16,0)</f>
        <v>16.5</v>
      </c>
      <c r="L28" s="77">
        <f t="shared" si="6"/>
        <v>33</v>
      </c>
      <c r="M28" s="78"/>
      <c r="N28" s="225">
        <f>VLOOKUP(C28,'Sales Master'!$B$3:$DA$3038,104,0)</f>
        <v>10.5</v>
      </c>
      <c r="O28" s="225">
        <f t="shared" si="7"/>
        <v>6</v>
      </c>
      <c r="P28" s="225">
        <f t="shared" si="8"/>
        <v>12</v>
      </c>
    </row>
    <row r="29" spans="2:23" ht="20.149999999999999" customHeight="1" x14ac:dyDescent="0.45">
      <c r="B29" s="34"/>
      <c r="C29" s="22" t="s">
        <v>1797</v>
      </c>
      <c r="D29" s="508" t="str">
        <f>VLOOKUP(C29,'Sales Master'!B$3:D$699,2,)</f>
        <v>Yu Tiao 油条</v>
      </c>
      <c r="E29" s="508"/>
      <c r="F29" s="508"/>
      <c r="G29" s="90">
        <v>20</v>
      </c>
      <c r="H29" s="389" t="str">
        <f>VLOOKUP(C29,'Sales Master'!$B$3:$E$590,4,0)</f>
        <v>-</v>
      </c>
      <c r="I29" s="512" t="str">
        <f>VLOOKUP(C29,'Sales Master'!$B$3:F$590,5,0)</f>
        <v>1 pc</v>
      </c>
      <c r="J29" s="512"/>
      <c r="K29" s="98">
        <f>VLOOKUP(C29,'Sales Master'!B$3:Q$499,16,0)</f>
        <v>0.55000000000000004</v>
      </c>
      <c r="L29" s="77">
        <f t="shared" ref="L29" si="9">K29*G29</f>
        <v>11</v>
      </c>
      <c r="M29" s="78"/>
      <c r="N29" s="225">
        <f>VLOOKUP(C29,'Sales Master'!$B$3:$DA$3038,104,0)</f>
        <v>0.4</v>
      </c>
      <c r="O29" s="225">
        <f t="shared" ref="O29" si="10">K29-N29</f>
        <v>0.15000000000000002</v>
      </c>
      <c r="P29" s="225">
        <f t="shared" ref="P29" si="11">O29*G29</f>
        <v>3.0000000000000004</v>
      </c>
    </row>
    <row r="30" spans="2:23" ht="20.149999999999999" customHeight="1" x14ac:dyDescent="0.45">
      <c r="B30" s="34"/>
      <c r="C30" s="22" t="s">
        <v>1460</v>
      </c>
      <c r="D30" s="508" t="str">
        <f>VLOOKUP(C30,'Sales Master'!B$3:D$699,2,)</f>
        <v>Coconut Sugar Syrup 椰糖浆</v>
      </c>
      <c r="E30" s="508"/>
      <c r="F30" s="508"/>
      <c r="G30" s="90">
        <v>2</v>
      </c>
      <c r="H30" s="389" t="str">
        <f>VLOOKUP(C30,'Sales Master'!$B$3:$E$590,4,0)</f>
        <v>DO!</v>
      </c>
      <c r="I30" s="512" t="str">
        <f>VLOOKUP(C30,'Sales Master'!$B$3:F$590,5,0)</f>
        <v>4L/BTL</v>
      </c>
      <c r="J30" s="512"/>
      <c r="K30" s="607" t="s">
        <v>2294</v>
      </c>
      <c r="L30" s="608"/>
      <c r="M30" s="78"/>
      <c r="N30" s="225"/>
      <c r="O30" s="225"/>
      <c r="P30" s="225"/>
    </row>
    <row r="31" spans="2:23" ht="20.149999999999999" customHeight="1" x14ac:dyDescent="0.45">
      <c r="B31" s="34"/>
      <c r="C31" s="22"/>
      <c r="G31" s="90"/>
      <c r="H31" s="389"/>
      <c r="I31" s="389"/>
      <c r="J31" s="389"/>
      <c r="K31" s="98"/>
      <c r="L31" s="77"/>
      <c r="M31" s="78"/>
      <c r="N31" s="225"/>
      <c r="O31" s="225"/>
      <c r="P31" s="225"/>
    </row>
    <row r="32" spans="2:23" ht="20.149999999999999" customHeight="1" x14ac:dyDescent="0.45">
      <c r="B32" s="34"/>
      <c r="C32" s="22"/>
      <c r="D32" s="508"/>
      <c r="E32" s="508"/>
      <c r="F32" s="508"/>
      <c r="G32" s="90"/>
      <c r="H32" s="389"/>
      <c r="I32" s="512"/>
      <c r="J32" s="512"/>
      <c r="K32" s="98"/>
      <c r="L32" s="77"/>
    </row>
    <row r="33" spans="2:13" ht="20.149999999999999" customHeight="1" x14ac:dyDescent="0.45">
      <c r="B33" s="34"/>
      <c r="C33" s="22"/>
      <c r="D33" s="508"/>
      <c r="E33" s="508"/>
      <c r="F33" s="508"/>
      <c r="G33" s="90"/>
      <c r="H33" s="389"/>
      <c r="I33" s="512"/>
      <c r="J33" s="512"/>
      <c r="K33" s="98"/>
      <c r="L33" s="77"/>
      <c r="M33" s="78"/>
    </row>
    <row r="34" spans="2:13" ht="20.149999999999999" customHeight="1" thickBot="1" x14ac:dyDescent="0.5">
      <c r="B34" s="37"/>
      <c r="C34" s="38"/>
      <c r="D34" s="509"/>
      <c r="E34" s="509"/>
      <c r="F34" s="509"/>
      <c r="G34" s="38"/>
      <c r="H34" s="69"/>
      <c r="I34" s="451"/>
      <c r="J34" s="451"/>
      <c r="K34" s="39"/>
      <c r="L34" s="40"/>
    </row>
    <row r="35" spans="2:13" ht="20.149999999999999" customHeight="1" thickBot="1" x14ac:dyDescent="0.5">
      <c r="B35" s="41"/>
      <c r="L35" s="42"/>
    </row>
    <row r="36" spans="2:13" ht="20.149999999999999" customHeight="1" x14ac:dyDescent="0.45">
      <c r="B36" s="11" t="s">
        <v>18</v>
      </c>
      <c r="C36" s="7"/>
      <c r="D36" s="7"/>
      <c r="E36" s="7"/>
      <c r="F36" s="7"/>
      <c r="G36" s="7"/>
      <c r="H36" s="7"/>
      <c r="I36" s="7"/>
      <c r="J36" s="510" t="s">
        <v>15</v>
      </c>
      <c r="K36" s="511"/>
      <c r="L36" s="43">
        <f>SUM(L17:L31)</f>
        <v>331.6</v>
      </c>
      <c r="M36" s="76">
        <f>SUM(P18:P33)</f>
        <v>97.11999999999999</v>
      </c>
    </row>
    <row r="37" spans="2:13" ht="20.149999999999999" customHeight="1" x14ac:dyDescent="0.45">
      <c r="B37" s="11" t="s">
        <v>19</v>
      </c>
      <c r="C37" s="7"/>
      <c r="D37" s="7"/>
      <c r="E37" s="7"/>
      <c r="F37" s="7"/>
      <c r="G37" s="7"/>
      <c r="H37" s="7"/>
      <c r="I37" s="7"/>
      <c r="J37" s="44" t="s">
        <v>22</v>
      </c>
      <c r="K37" s="45"/>
      <c r="L37" s="46">
        <f>L36*K37</f>
        <v>0</v>
      </c>
    </row>
    <row r="38" spans="2:13" ht="20.149999999999999" customHeight="1" x14ac:dyDescent="0.45">
      <c r="B38" s="11" t="s">
        <v>20</v>
      </c>
      <c r="C38" s="7"/>
      <c r="D38" s="7"/>
      <c r="E38" s="7"/>
      <c r="F38" s="7"/>
      <c r="G38" s="7"/>
      <c r="H38" s="7"/>
      <c r="I38" s="7"/>
      <c r="J38" s="486" t="s">
        <v>21</v>
      </c>
      <c r="K38" s="487"/>
      <c r="L38" s="46">
        <f>L36-L37</f>
        <v>331.6</v>
      </c>
    </row>
    <row r="39" spans="2:13" ht="20.149999999999999" customHeight="1" x14ac:dyDescent="0.45">
      <c r="B39" s="11" t="s">
        <v>24</v>
      </c>
      <c r="C39" s="7"/>
      <c r="D39" s="7"/>
      <c r="E39" s="7"/>
      <c r="F39" s="7"/>
      <c r="G39" s="7"/>
      <c r="H39" s="7"/>
      <c r="I39" s="7"/>
      <c r="J39" s="150" t="s">
        <v>17</v>
      </c>
      <c r="K39" s="151">
        <v>7.0000000000000007E-2</v>
      </c>
      <c r="L39" s="47">
        <f>L38*K39</f>
        <v>23.212000000000003</v>
      </c>
    </row>
    <row r="40" spans="2:13" ht="20.149999999999999" customHeight="1" thickBot="1" x14ac:dyDescent="0.5">
      <c r="B40" s="11" t="s">
        <v>25</v>
      </c>
      <c r="C40" s="7"/>
      <c r="D40" s="7"/>
      <c r="E40" s="7"/>
      <c r="F40" s="7"/>
      <c r="G40" s="7"/>
      <c r="H40" s="7"/>
      <c r="I40" s="7"/>
      <c r="J40" s="488" t="s">
        <v>23</v>
      </c>
      <c r="K40" s="489"/>
      <c r="L40" s="48">
        <f>L38+L39</f>
        <v>354.81200000000001</v>
      </c>
    </row>
    <row r="41" spans="2:13" ht="20.149999999999999" customHeight="1" x14ac:dyDescent="0.45">
      <c r="B41" s="11" t="s">
        <v>26</v>
      </c>
      <c r="C41" s="7"/>
      <c r="D41" s="7"/>
      <c r="E41" s="7"/>
      <c r="F41" s="7"/>
      <c r="G41" s="7"/>
      <c r="H41" s="7"/>
      <c r="I41" s="7"/>
      <c r="L41" s="42"/>
    </row>
    <row r="42" spans="2:13" ht="20.149999999999999" customHeight="1" x14ac:dyDescent="0.45">
      <c r="B42" s="41"/>
      <c r="L42" s="42"/>
    </row>
    <row r="43" spans="2:13" ht="20.149999999999999" customHeight="1" x14ac:dyDescent="0.45">
      <c r="B43" s="41"/>
      <c r="L43" s="42"/>
    </row>
    <row r="44" spans="2:13" ht="20.149999999999999" customHeight="1" x14ac:dyDescent="0.45">
      <c r="B44" s="41"/>
      <c r="L44" s="42"/>
    </row>
    <row r="45" spans="2:13" ht="20.149999999999999" customHeight="1" x14ac:dyDescent="0.45">
      <c r="B45" s="41"/>
      <c r="L45" s="42"/>
    </row>
    <row r="46" spans="2:13" ht="20.149999999999999" customHeight="1" x14ac:dyDescent="0.45">
      <c r="B46" s="49"/>
      <c r="C46" s="50"/>
      <c r="D46" s="50"/>
      <c r="J46" s="50"/>
      <c r="K46" s="50"/>
      <c r="L46" s="51"/>
    </row>
    <row r="47" spans="2:13" ht="20.149999999999999" customHeight="1" x14ac:dyDescent="0.45">
      <c r="B47" s="41" t="s">
        <v>27</v>
      </c>
      <c r="J47" s="24" t="s">
        <v>28</v>
      </c>
      <c r="L47" s="42"/>
    </row>
    <row r="48" spans="2:13" ht="19" thickBot="1" x14ac:dyDescent="0.5">
      <c r="B48" s="52"/>
      <c r="C48" s="53"/>
      <c r="D48" s="53"/>
      <c r="E48" s="53"/>
      <c r="F48" s="53"/>
      <c r="G48" s="53"/>
      <c r="H48" s="53"/>
      <c r="I48" s="53"/>
      <c r="J48" s="53"/>
      <c r="K48" s="53"/>
      <c r="L48" s="54"/>
    </row>
  </sheetData>
  <mergeCells count="50">
    <mergeCell ref="D27:F27"/>
    <mergeCell ref="I19:J19"/>
    <mergeCell ref="I26:J26"/>
    <mergeCell ref="D26:F26"/>
    <mergeCell ref="D25:F25"/>
    <mergeCell ref="D21:F21"/>
    <mergeCell ref="I21:J21"/>
    <mergeCell ref="D19:F19"/>
    <mergeCell ref="D20:F20"/>
    <mergeCell ref="I20:J20"/>
    <mergeCell ref="D22:F22"/>
    <mergeCell ref="I22:J22"/>
    <mergeCell ref="I25:J25"/>
    <mergeCell ref="I32:J32"/>
    <mergeCell ref="D30:F30"/>
    <mergeCell ref="I30:J30"/>
    <mergeCell ref="I28:J28"/>
    <mergeCell ref="D28:F28"/>
    <mergeCell ref="K14:L14"/>
    <mergeCell ref="J40:K40"/>
    <mergeCell ref="J38:K38"/>
    <mergeCell ref="J36:K36"/>
    <mergeCell ref="D34:F34"/>
    <mergeCell ref="I34:J34"/>
    <mergeCell ref="K30:L30"/>
    <mergeCell ref="D23:F23"/>
    <mergeCell ref="D33:F33"/>
    <mergeCell ref="I33:J33"/>
    <mergeCell ref="D29:F29"/>
    <mergeCell ref="I29:J29"/>
    <mergeCell ref="I23:J23"/>
    <mergeCell ref="D24:F24"/>
    <mergeCell ref="I24:J24"/>
    <mergeCell ref="D32:F32"/>
    <mergeCell ref="B13:D13"/>
    <mergeCell ref="I27:J27"/>
    <mergeCell ref="B1:L8"/>
    <mergeCell ref="K15:L15"/>
    <mergeCell ref="D17:F17"/>
    <mergeCell ref="I17:J17"/>
    <mergeCell ref="D18:F18"/>
    <mergeCell ref="I18:J18"/>
    <mergeCell ref="K10:L10"/>
    <mergeCell ref="B11:D11"/>
    <mergeCell ref="F11:H15"/>
    <mergeCell ref="K11:L11"/>
    <mergeCell ref="K13:L13"/>
    <mergeCell ref="K12:L12"/>
    <mergeCell ref="B12:D12"/>
    <mergeCell ref="B14:D14"/>
  </mergeCells>
  <hyperlinks>
    <hyperlink ref="B15" r:id="rId1" xr:uid="{1BA5A5E4-9FAB-47D7-AEB1-E5EF24E12A88}"/>
  </hyperlinks>
  <pageMargins left="0.70866141732283472" right="0.31496062992125984" top="0.59055118110236227" bottom="0" header="0.31496062992125984" footer="0.31496062992125984"/>
  <pageSetup paperSize="9" scale="76" orientation="portrait" horizontalDpi="300" verticalDpi="300" r:id="rId2"/>
  <drawing r:id="rId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FED881-6280-44D9-89EB-FB0415056E97}">
  <sheetPr codeName="Sheet154">
    <tabColor rgb="FF92D050"/>
    <pageSetUpPr fitToPage="1"/>
  </sheetPr>
  <dimension ref="B1:P43"/>
  <sheetViews>
    <sheetView topLeftCell="B1" workbookViewId="0">
      <selection activeCell="B1" sqref="B1:L43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6.54296875" style="24" customWidth="1"/>
    <col min="7" max="7" width="8.54296875" style="24" customWidth="1"/>
    <col min="8" max="8" width="15.54296875" style="24" customWidth="1"/>
    <col min="9" max="9" width="2.54296875" style="24" customWidth="1"/>
    <col min="10" max="10" width="15.54296875" style="24" customWidth="1"/>
    <col min="11" max="11" width="10.54296875" style="24" customWidth="1"/>
    <col min="12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930</v>
      </c>
      <c r="J10" s="29" t="s">
        <v>29</v>
      </c>
      <c r="K10" s="452">
        <v>202209258</v>
      </c>
      <c r="L10" s="453"/>
    </row>
    <row r="11" spans="2:12" ht="20.149999999999999" customHeight="1" x14ac:dyDescent="0.45">
      <c r="B11" s="454" t="s">
        <v>932</v>
      </c>
      <c r="C11" s="455"/>
      <c r="D11" s="456"/>
      <c r="E11" s="30"/>
      <c r="F11" s="457" t="str">
        <f>VLOOKUP(H10,'Delivery Location'!A$4:N$416,2,0)</f>
        <v>Fine Food @the south Spine                    50, Nanyang Avenue South Spine Food Court Canteen B, Singapore 639798</v>
      </c>
      <c r="G11" s="458"/>
      <c r="H11" s="459"/>
      <c r="J11" s="31" t="s">
        <v>11</v>
      </c>
      <c r="K11" s="466">
        <v>44820</v>
      </c>
      <c r="L11" s="467"/>
    </row>
    <row r="12" spans="2:12" ht="20.149999999999999" customHeight="1" x14ac:dyDescent="0.45">
      <c r="B12" s="468" t="s">
        <v>573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533</v>
      </c>
      <c r="L12" s="472"/>
    </row>
    <row r="13" spans="2:12" ht="20.149999999999999" customHeight="1" x14ac:dyDescent="0.45">
      <c r="B13" s="468" t="s">
        <v>574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14</v>
      </c>
      <c r="L13" s="472"/>
    </row>
    <row r="14" spans="2:12" ht="20.149999999999999" customHeight="1" x14ac:dyDescent="0.45">
      <c r="B14" s="468" t="s">
        <v>575</v>
      </c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74" t="s">
        <v>576</v>
      </c>
      <c r="C15" s="56"/>
      <c r="D15" s="57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16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16" ht="20.149999999999999" customHeight="1" x14ac:dyDescent="0.45">
      <c r="B18" s="34"/>
      <c r="C18" s="22" t="s">
        <v>1460</v>
      </c>
      <c r="D18" s="508" t="str">
        <f>VLOOKUP(C18,'Sales Master'!B$3:D$499,2,)</f>
        <v>Coconut Sugar Syrup 椰糖浆</v>
      </c>
      <c r="E18" s="508"/>
      <c r="F18" s="508"/>
      <c r="G18" s="90">
        <v>2</v>
      </c>
      <c r="H18" s="389" t="str">
        <f>VLOOKUP(C18,'Sales Master'!$B$3:$F$3247,5,0)</f>
        <v>4L/BTL</v>
      </c>
      <c r="I18" s="512" t="str">
        <f>VLOOKUP(C18,'Sales Master'!$B$3:$E$3247,4,0)</f>
        <v>DO!</v>
      </c>
      <c r="J18" s="512"/>
      <c r="K18" s="94">
        <f>VLOOKUP(C18,'Sales Master'!B$3:Q$3060,16,0)</f>
        <v>14</v>
      </c>
      <c r="L18" s="77">
        <f>K18*G18</f>
        <v>28</v>
      </c>
      <c r="M18" s="78"/>
      <c r="N18" s="225">
        <f>VLOOKUP(C18,'Sales Master'!$B$3:$DA$3038,104,0)</f>
        <v>9.27</v>
      </c>
      <c r="O18" s="225">
        <f>K18-N18</f>
        <v>4.7300000000000004</v>
      </c>
      <c r="P18" s="225">
        <f>O18*G18</f>
        <v>9.4600000000000009</v>
      </c>
    </row>
    <row r="19" spans="2:16" ht="20.149999999999999" customHeight="1" x14ac:dyDescent="0.45">
      <c r="B19" s="34"/>
      <c r="C19" s="22"/>
      <c r="D19" s="508"/>
      <c r="E19" s="508"/>
      <c r="F19" s="508"/>
      <c r="G19" s="90"/>
      <c r="H19" s="68"/>
      <c r="I19" s="481"/>
      <c r="J19" s="481"/>
      <c r="K19" s="94"/>
      <c r="L19" s="77"/>
      <c r="M19" s="78"/>
      <c r="N19" s="225"/>
      <c r="O19" s="225"/>
      <c r="P19" s="225"/>
    </row>
    <row r="20" spans="2:16" ht="20.149999999999999" customHeight="1" x14ac:dyDescent="0.45">
      <c r="B20" s="34"/>
      <c r="C20" s="22"/>
      <c r="D20" s="508"/>
      <c r="E20" s="508"/>
      <c r="F20" s="508"/>
      <c r="G20" s="90"/>
      <c r="H20" s="68"/>
      <c r="I20" s="481" t="s">
        <v>2307</v>
      </c>
      <c r="J20" s="481"/>
      <c r="K20" s="94"/>
      <c r="L20" s="77">
        <v>10</v>
      </c>
      <c r="M20" s="78"/>
    </row>
    <row r="21" spans="2:16" ht="20.149999999999999" customHeight="1" x14ac:dyDescent="0.45">
      <c r="B21" s="34"/>
      <c r="C21" s="22"/>
      <c r="D21" s="508"/>
      <c r="E21" s="508"/>
      <c r="F21" s="508"/>
      <c r="G21" s="90"/>
      <c r="H21" s="68"/>
      <c r="I21" s="481"/>
      <c r="J21" s="481"/>
      <c r="K21" s="94"/>
      <c r="L21" s="77"/>
      <c r="M21" s="78"/>
    </row>
    <row r="22" spans="2:16" ht="20.149999999999999" customHeight="1" x14ac:dyDescent="0.45">
      <c r="B22" s="34"/>
      <c r="C22" s="403"/>
      <c r="D22" s="582"/>
      <c r="E22" s="582"/>
      <c r="F22" s="582"/>
      <c r="G22" s="90"/>
      <c r="H22" s="97"/>
      <c r="I22" s="506"/>
      <c r="J22" s="506"/>
      <c r="K22" s="435"/>
      <c r="L22" s="77"/>
      <c r="M22" s="78"/>
    </row>
    <row r="23" spans="2:16" ht="20.149999999999999" customHeight="1" x14ac:dyDescent="0.45">
      <c r="B23" s="34"/>
      <c r="C23" s="436"/>
      <c r="D23" s="78"/>
      <c r="E23" s="78"/>
      <c r="F23" s="78"/>
      <c r="G23" s="78"/>
      <c r="H23" s="408"/>
      <c r="I23" s="408"/>
      <c r="J23" s="408"/>
      <c r="K23" s="437"/>
      <c r="L23" s="77"/>
      <c r="M23" s="78"/>
    </row>
    <row r="24" spans="2:16" ht="20.149999999999999" customHeight="1" x14ac:dyDescent="0.45">
      <c r="B24" s="34"/>
      <c r="C24" s="23" t="s">
        <v>2128</v>
      </c>
      <c r="D24" s="508"/>
      <c r="E24" s="508"/>
      <c r="F24" s="508"/>
      <c r="G24" s="90"/>
      <c r="H24" s="68"/>
      <c r="I24" s="481"/>
      <c r="J24" s="481"/>
      <c r="K24" s="94"/>
      <c r="L24" s="77"/>
      <c r="M24" s="78"/>
    </row>
    <row r="25" spans="2:16" ht="20.149999999999999" customHeight="1" x14ac:dyDescent="0.45">
      <c r="B25" s="34"/>
      <c r="C25" s="230" t="s">
        <v>2308</v>
      </c>
      <c r="G25" s="90"/>
      <c r="H25" s="68"/>
      <c r="I25" s="102"/>
      <c r="J25" s="102"/>
      <c r="K25" s="94"/>
      <c r="L25" s="77"/>
      <c r="M25" s="78"/>
    </row>
    <row r="26" spans="2:16" ht="20.149999999999999" customHeight="1" x14ac:dyDescent="0.45">
      <c r="B26" s="34"/>
      <c r="C26" s="230" t="s">
        <v>2309</v>
      </c>
      <c r="G26" s="90"/>
      <c r="H26" s="68"/>
      <c r="I26" s="102"/>
      <c r="J26" s="102"/>
      <c r="K26" s="94"/>
      <c r="L26" s="77"/>
      <c r="M26" s="78"/>
    </row>
    <row r="27" spans="2:16" ht="20.149999999999999" customHeight="1" x14ac:dyDescent="0.45">
      <c r="B27" s="34"/>
      <c r="C27" s="22"/>
      <c r="D27" s="508"/>
      <c r="E27" s="508"/>
      <c r="F27" s="508"/>
      <c r="G27" s="90"/>
      <c r="H27" s="68"/>
      <c r="I27" s="481"/>
      <c r="J27" s="481"/>
      <c r="K27" s="94"/>
      <c r="L27" s="77"/>
      <c r="M27" s="78"/>
    </row>
    <row r="28" spans="2:16" ht="20.149999999999999" customHeight="1" x14ac:dyDescent="0.45">
      <c r="B28" s="34"/>
      <c r="C28" s="22"/>
      <c r="D28" s="508"/>
      <c r="E28" s="508"/>
      <c r="F28" s="508"/>
      <c r="G28" s="90"/>
      <c r="H28" s="68"/>
      <c r="I28" s="481"/>
      <c r="J28" s="481"/>
      <c r="K28" s="94"/>
      <c r="L28" s="77"/>
    </row>
    <row r="29" spans="2:16" ht="20.149999999999999" customHeight="1" thickBot="1" x14ac:dyDescent="0.5">
      <c r="B29" s="37"/>
      <c r="C29" s="38"/>
      <c r="D29" s="509"/>
      <c r="E29" s="509"/>
      <c r="F29" s="509"/>
      <c r="G29" s="38"/>
      <c r="H29" s="69"/>
      <c r="I29" s="451"/>
      <c r="J29" s="451"/>
      <c r="K29" s="39"/>
      <c r="L29" s="40"/>
    </row>
    <row r="30" spans="2:16" ht="20.149999999999999" customHeight="1" thickBot="1" x14ac:dyDescent="0.5">
      <c r="B30" s="41"/>
      <c r="L30" s="42"/>
    </row>
    <row r="31" spans="2:16" ht="20.149999999999999" customHeight="1" x14ac:dyDescent="0.45">
      <c r="B31" s="11" t="s">
        <v>18</v>
      </c>
      <c r="C31" s="7"/>
      <c r="D31" s="7"/>
      <c r="E31" s="7"/>
      <c r="F31" s="7"/>
      <c r="G31" s="7"/>
      <c r="H31" s="7"/>
      <c r="I31" s="7"/>
      <c r="J31" s="510" t="s">
        <v>15</v>
      </c>
      <c r="K31" s="511"/>
      <c r="L31" s="43">
        <f>SUM(L17:L28)</f>
        <v>38</v>
      </c>
      <c r="M31" s="76">
        <f>SUM(P18:P28)</f>
        <v>9.4600000000000009</v>
      </c>
    </row>
    <row r="32" spans="2:16" ht="20.149999999999999" customHeight="1" x14ac:dyDescent="0.45">
      <c r="B32" s="11" t="s">
        <v>19</v>
      </c>
      <c r="C32" s="7"/>
      <c r="D32" s="7"/>
      <c r="E32" s="7"/>
      <c r="F32" s="7"/>
      <c r="G32" s="7"/>
      <c r="H32" s="7"/>
      <c r="I32" s="7"/>
      <c r="J32" s="44" t="s">
        <v>22</v>
      </c>
      <c r="K32" s="45"/>
      <c r="L32" s="46">
        <f>L31*K32</f>
        <v>0</v>
      </c>
    </row>
    <row r="33" spans="2:12" ht="20.149999999999999" customHeight="1" x14ac:dyDescent="0.45">
      <c r="B33" s="11" t="s">
        <v>20</v>
      </c>
      <c r="C33" s="7"/>
      <c r="D33" s="7"/>
      <c r="E33" s="7"/>
      <c r="F33" s="7"/>
      <c r="G33" s="7"/>
      <c r="H33" s="7"/>
      <c r="I33" s="7"/>
      <c r="J33" s="486" t="s">
        <v>21</v>
      </c>
      <c r="K33" s="487"/>
      <c r="L33" s="46">
        <f>L31-L32</f>
        <v>38</v>
      </c>
    </row>
    <row r="34" spans="2:12" ht="20.149999999999999" customHeight="1" x14ac:dyDescent="0.45">
      <c r="B34" s="11" t="s">
        <v>24</v>
      </c>
      <c r="C34" s="7"/>
      <c r="D34" s="7"/>
      <c r="E34" s="7"/>
      <c r="F34" s="7"/>
      <c r="G34" s="7"/>
      <c r="H34" s="7"/>
      <c r="I34" s="7"/>
      <c r="J34" s="150" t="s">
        <v>17</v>
      </c>
      <c r="K34" s="151">
        <v>7.0000000000000007E-2</v>
      </c>
      <c r="L34" s="47">
        <f>L33*K34</f>
        <v>2.66</v>
      </c>
    </row>
    <row r="35" spans="2:12" ht="20.149999999999999" customHeight="1" thickBot="1" x14ac:dyDescent="0.5">
      <c r="B35" s="11" t="s">
        <v>25</v>
      </c>
      <c r="C35" s="7"/>
      <c r="D35" s="7"/>
      <c r="E35" s="7"/>
      <c r="F35" s="7"/>
      <c r="G35" s="7"/>
      <c r="H35" s="7"/>
      <c r="I35" s="7"/>
      <c r="J35" s="488" t="s">
        <v>23</v>
      </c>
      <c r="K35" s="489"/>
      <c r="L35" s="48">
        <f>L33+L34</f>
        <v>40.659999999999997</v>
      </c>
    </row>
    <row r="36" spans="2:12" ht="20.149999999999999" customHeight="1" x14ac:dyDescent="0.45">
      <c r="B36" s="11" t="s">
        <v>26</v>
      </c>
      <c r="C36" s="7"/>
      <c r="D36" s="7"/>
      <c r="E36" s="7"/>
      <c r="F36" s="7"/>
      <c r="G36" s="7"/>
      <c r="H36" s="7"/>
      <c r="I36" s="7"/>
      <c r="L36" s="42"/>
    </row>
    <row r="37" spans="2:12" ht="20.149999999999999" customHeight="1" x14ac:dyDescent="0.45">
      <c r="B37" s="41"/>
      <c r="L37" s="42"/>
    </row>
    <row r="38" spans="2:12" ht="20.149999999999999" customHeight="1" x14ac:dyDescent="0.45">
      <c r="B38" s="41"/>
      <c r="L38" s="42"/>
    </row>
    <row r="39" spans="2:12" ht="20.149999999999999" customHeight="1" x14ac:dyDescent="0.45">
      <c r="B39" s="41"/>
      <c r="L39" s="42"/>
    </row>
    <row r="40" spans="2:12" ht="20.149999999999999" customHeight="1" x14ac:dyDescent="0.45">
      <c r="B40" s="41"/>
      <c r="L40" s="42"/>
    </row>
    <row r="41" spans="2:12" ht="20.149999999999999" customHeight="1" x14ac:dyDescent="0.45">
      <c r="B41" s="49"/>
      <c r="C41" s="50"/>
      <c r="D41" s="50"/>
      <c r="J41" s="50"/>
      <c r="K41" s="50"/>
      <c r="L41" s="51"/>
    </row>
    <row r="42" spans="2:12" ht="20.149999999999999" customHeight="1" x14ac:dyDescent="0.45">
      <c r="B42" s="41" t="s">
        <v>27</v>
      </c>
      <c r="J42" s="24" t="s">
        <v>28</v>
      </c>
      <c r="L42" s="42"/>
    </row>
    <row r="43" spans="2:12" ht="19" thickBot="1" x14ac:dyDescent="0.5">
      <c r="B43" s="52"/>
      <c r="C43" s="53"/>
      <c r="D43" s="53"/>
      <c r="E43" s="53"/>
      <c r="F43" s="53"/>
      <c r="G43" s="53"/>
      <c r="H43" s="53"/>
      <c r="I43" s="53"/>
      <c r="J43" s="53"/>
      <c r="K43" s="53"/>
      <c r="L43" s="54"/>
    </row>
  </sheetData>
  <mergeCells count="35"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18:J18"/>
    <mergeCell ref="D20:F20"/>
    <mergeCell ref="I20:J20"/>
    <mergeCell ref="D21:F21"/>
    <mergeCell ref="I21:J21"/>
    <mergeCell ref="D19:F19"/>
    <mergeCell ref="I19:J19"/>
    <mergeCell ref="D27:F27"/>
    <mergeCell ref="I27:J27"/>
    <mergeCell ref="J31:K31"/>
    <mergeCell ref="D22:F22"/>
    <mergeCell ref="I22:J22"/>
    <mergeCell ref="D24:F24"/>
    <mergeCell ref="I24:J24"/>
    <mergeCell ref="J33:K33"/>
    <mergeCell ref="J35:K35"/>
    <mergeCell ref="D28:F28"/>
    <mergeCell ref="I28:J28"/>
    <mergeCell ref="D29:F29"/>
    <mergeCell ref="I29:J29"/>
  </mergeCells>
  <hyperlinks>
    <hyperlink ref="B15" r:id="rId1" xr:uid="{F2450D69-B082-4A57-928F-A54B8BB2A048}"/>
  </hyperlinks>
  <pageMargins left="0.70866141732283472" right="0.31496062992125984" top="0.59055118110236227" bottom="0" header="0.31496062992125984" footer="0.31496062992125984"/>
  <pageSetup paperSize="9" scale="76" orientation="portrait" horizontalDpi="300" verticalDpi="300" r:id="rId2"/>
  <drawing r:id="rId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09C66A-20DB-4ED0-996E-03B3F824B79C}">
  <sheetPr codeName="Sheet172">
    <tabColor rgb="FF92D050"/>
    <pageSetUpPr fitToPage="1"/>
  </sheetPr>
  <dimension ref="B1:V47"/>
  <sheetViews>
    <sheetView workbookViewId="0">
      <selection activeCell="C9" sqref="C9"/>
    </sheetView>
  </sheetViews>
  <sheetFormatPr defaultColWidth="12.54296875" defaultRowHeight="18.5" x14ac:dyDescent="0.45"/>
  <cols>
    <col min="1" max="1" width="12.54296875" style="24"/>
    <col min="2" max="3" width="12.54296875" style="24" customWidth="1"/>
    <col min="4" max="4" width="14.54296875" style="24" customWidth="1"/>
    <col min="5" max="5" width="1.54296875" style="24" customWidth="1"/>
    <col min="6" max="6" width="17.1796875" style="24" customWidth="1"/>
    <col min="7" max="7" width="8.54296875" style="24" customWidth="1"/>
    <col min="8" max="8" width="15.54296875" style="24" customWidth="1"/>
    <col min="9" max="9" width="2.1796875" style="81" customWidth="1"/>
    <col min="10" max="10" width="15.54296875" style="81" customWidth="1"/>
    <col min="11" max="11" width="10.54296875" style="24" customWidth="1"/>
    <col min="12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910</v>
      </c>
      <c r="J10" s="82" t="s">
        <v>29</v>
      </c>
      <c r="K10" s="452">
        <v>202204127</v>
      </c>
      <c r="L10" s="453"/>
    </row>
    <row r="11" spans="2:12" ht="20.149999999999999" customHeight="1" x14ac:dyDescent="0.45">
      <c r="B11" s="454" t="s">
        <v>2037</v>
      </c>
      <c r="C11" s="455"/>
      <c r="D11" s="456"/>
      <c r="E11" s="30"/>
      <c r="F11" s="457" t="str">
        <f>VLOOKUP(H10,'Delivery Location'!A$4:N$416,2,0)</f>
        <v xml:space="preserve">Koufu - FRUIT                                                 1, Bukit Batok Central Link.                     #04-01 West Mall Singapore 658713                                                          </v>
      </c>
      <c r="G11" s="458"/>
      <c r="H11" s="459"/>
      <c r="J11" s="83" t="s">
        <v>11</v>
      </c>
      <c r="K11" s="551">
        <v>44777</v>
      </c>
      <c r="L11" s="472"/>
    </row>
    <row r="12" spans="2:12" ht="20.149999999999999" customHeight="1" x14ac:dyDescent="0.45">
      <c r="B12" s="468" t="s">
        <v>2139</v>
      </c>
      <c r="C12" s="469"/>
      <c r="D12" s="470"/>
      <c r="E12" s="30"/>
      <c r="F12" s="460"/>
      <c r="G12" s="461"/>
      <c r="H12" s="462"/>
      <c r="J12" s="83" t="s">
        <v>171</v>
      </c>
      <c r="K12" s="471" t="s">
        <v>533</v>
      </c>
      <c r="L12" s="472"/>
    </row>
    <row r="13" spans="2:12" ht="20.149999999999999" customHeight="1" x14ac:dyDescent="0.45">
      <c r="B13" s="468" t="s">
        <v>2024</v>
      </c>
      <c r="C13" s="469"/>
      <c r="D13" s="470"/>
      <c r="E13" s="30"/>
      <c r="F13" s="460"/>
      <c r="G13" s="461"/>
      <c r="H13" s="462"/>
      <c r="J13" s="83" t="s">
        <v>12</v>
      </c>
      <c r="K13" s="471" t="s">
        <v>14</v>
      </c>
      <c r="L13" s="472"/>
    </row>
    <row r="14" spans="2:12" ht="20.149999999999999" customHeight="1" x14ac:dyDescent="0.45">
      <c r="B14" s="468" t="s">
        <v>2025</v>
      </c>
      <c r="C14" s="469"/>
      <c r="D14" s="470"/>
      <c r="E14" s="30"/>
      <c r="F14" s="460"/>
      <c r="G14" s="461"/>
      <c r="H14" s="462"/>
      <c r="J14" s="83" t="s">
        <v>30</v>
      </c>
      <c r="K14" s="471" t="s">
        <v>16</v>
      </c>
      <c r="L14" s="472"/>
    </row>
    <row r="15" spans="2:12" ht="18" customHeight="1" thickBot="1" x14ac:dyDescent="0.5">
      <c r="B15" s="463" t="s">
        <v>2026</v>
      </c>
      <c r="C15" s="464"/>
      <c r="D15" s="465"/>
      <c r="E15" s="26"/>
      <c r="F15" s="463"/>
      <c r="G15" s="464"/>
      <c r="H15" s="465"/>
      <c r="J15" s="84" t="s">
        <v>13</v>
      </c>
      <c r="K15" s="476"/>
      <c r="L15" s="477"/>
    </row>
    <row r="16" spans="2:12" ht="19" thickBot="1" x14ac:dyDescent="0.5">
      <c r="J16" s="85"/>
    </row>
    <row r="17" spans="2:22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22" ht="20.149999999999999" customHeight="1" x14ac:dyDescent="0.45">
      <c r="B18" s="34"/>
      <c r="C18" s="22" t="s">
        <v>1696</v>
      </c>
      <c r="D18" s="508" t="str">
        <f>VLOOKUP(C18,'Sales Master'!B$3:D$499,2,)</f>
        <v>Longan in Syrup龙眼</v>
      </c>
      <c r="E18" s="508"/>
      <c r="F18" s="508"/>
      <c r="G18" s="22">
        <v>1</v>
      </c>
      <c r="H18" s="68" t="str">
        <f>VLOOKUP(C18,'Sales Master'!$B$3:$F$3247,5,0)</f>
        <v>(565gm x 12)/箱</v>
      </c>
      <c r="I18" s="481" t="str">
        <f>VLOOKUP(C18,'Sales Master'!$B$3:$E$3247,4,0)</f>
        <v>YiFong</v>
      </c>
      <c r="J18" s="481"/>
      <c r="K18" s="35">
        <f>VLOOKUP(C18,'Sales Master'!B$3:AV$499,47,0)</f>
        <v>24</v>
      </c>
      <c r="L18" s="77">
        <f>K18*G18</f>
        <v>24</v>
      </c>
      <c r="M18" s="78"/>
      <c r="N18" s="225">
        <f>VLOOKUP(C18,'Sales Master'!$B$3:$DA$3038,104,0)</f>
        <v>18.055555555555557</v>
      </c>
      <c r="O18" s="225">
        <f>K18-N18</f>
        <v>5.9444444444444429</v>
      </c>
      <c r="P18" s="225">
        <f>O18*G18</f>
        <v>5.9444444444444429</v>
      </c>
      <c r="R18" s="24">
        <v>2</v>
      </c>
      <c r="S18" s="24" t="s">
        <v>260</v>
      </c>
      <c r="T18" s="24" t="s">
        <v>709</v>
      </c>
      <c r="V18" s="24">
        <v>32</v>
      </c>
    </row>
    <row r="19" spans="2:22" ht="20.149999999999999" customHeight="1" x14ac:dyDescent="0.45">
      <c r="B19" s="34"/>
      <c r="C19" s="22"/>
      <c r="D19" s="508"/>
      <c r="E19" s="508"/>
      <c r="F19" s="508"/>
      <c r="G19" s="22"/>
      <c r="H19" s="68"/>
      <c r="I19" s="481"/>
      <c r="J19" s="481"/>
      <c r="K19" s="35"/>
      <c r="L19" s="123"/>
      <c r="R19" s="24">
        <v>2</v>
      </c>
      <c r="S19" s="24" t="s">
        <v>527</v>
      </c>
    </row>
    <row r="20" spans="2:22" ht="20.149999999999999" customHeight="1" x14ac:dyDescent="0.45">
      <c r="B20" s="34"/>
      <c r="C20" s="22"/>
      <c r="D20" s="508"/>
      <c r="E20" s="508"/>
      <c r="F20" s="508"/>
      <c r="G20" s="22"/>
      <c r="H20" s="68"/>
      <c r="I20" s="481"/>
      <c r="J20" s="481"/>
      <c r="K20" s="35"/>
      <c r="L20" s="123"/>
      <c r="M20" s="78"/>
      <c r="R20" s="24">
        <v>1</v>
      </c>
      <c r="S20" s="24" t="s">
        <v>649</v>
      </c>
    </row>
    <row r="21" spans="2:22" ht="20.149999999999999" customHeight="1" x14ac:dyDescent="0.45">
      <c r="B21" s="34"/>
      <c r="C21" s="22"/>
      <c r="D21" s="508"/>
      <c r="E21" s="508"/>
      <c r="F21" s="508"/>
      <c r="G21" s="22"/>
      <c r="H21" s="68"/>
      <c r="I21" s="481"/>
      <c r="J21" s="481"/>
      <c r="K21" s="35"/>
      <c r="L21" s="123"/>
      <c r="M21" s="78"/>
      <c r="R21" s="24">
        <v>10</v>
      </c>
      <c r="S21" s="24" t="s">
        <v>257</v>
      </c>
      <c r="T21" s="24" t="s">
        <v>686</v>
      </c>
    </row>
    <row r="22" spans="2:22" ht="20.149999999999999" customHeight="1" x14ac:dyDescent="0.45">
      <c r="B22" s="80"/>
      <c r="C22" s="22"/>
      <c r="D22" s="508"/>
      <c r="E22" s="508"/>
      <c r="F22" s="508"/>
      <c r="G22" s="22"/>
      <c r="H22" s="68"/>
      <c r="I22" s="481"/>
      <c r="J22" s="481"/>
      <c r="K22" s="35"/>
      <c r="L22" s="123"/>
      <c r="M22" s="78"/>
      <c r="R22" s="24">
        <v>2</v>
      </c>
      <c r="S22" s="24" t="s">
        <v>59</v>
      </c>
    </row>
    <row r="23" spans="2:22" ht="20.149999999999999" customHeight="1" x14ac:dyDescent="0.45">
      <c r="B23" s="34"/>
      <c r="C23" s="22"/>
      <c r="D23" s="508"/>
      <c r="E23" s="508"/>
      <c r="F23" s="508"/>
      <c r="G23" s="22"/>
      <c r="H23" s="68"/>
      <c r="I23" s="481"/>
      <c r="J23" s="481"/>
      <c r="K23" s="35"/>
      <c r="L23" s="123"/>
      <c r="M23" s="78"/>
      <c r="R23" s="24">
        <v>1</v>
      </c>
      <c r="S23" s="24" t="s">
        <v>36</v>
      </c>
      <c r="T23" s="24" t="s">
        <v>740</v>
      </c>
    </row>
    <row r="24" spans="2:22" ht="20.149999999999999" customHeight="1" x14ac:dyDescent="0.45">
      <c r="B24" s="34"/>
      <c r="C24" s="22"/>
      <c r="D24" s="508"/>
      <c r="E24" s="508"/>
      <c r="F24" s="508"/>
      <c r="G24" s="22"/>
      <c r="H24" s="68"/>
      <c r="I24" s="481"/>
      <c r="J24" s="481"/>
      <c r="K24" s="35"/>
      <c r="L24" s="123"/>
      <c r="M24" s="78"/>
      <c r="R24" s="24">
        <v>1</v>
      </c>
      <c r="S24" s="24" t="s">
        <v>535</v>
      </c>
      <c r="T24" s="24" t="s">
        <v>534</v>
      </c>
    </row>
    <row r="25" spans="2:22" ht="20.149999999999999" customHeight="1" x14ac:dyDescent="0.45">
      <c r="B25" s="34"/>
      <c r="C25" s="22"/>
      <c r="D25" s="508"/>
      <c r="E25" s="508"/>
      <c r="F25" s="508"/>
      <c r="G25" s="22"/>
      <c r="H25" s="68"/>
      <c r="I25" s="481"/>
      <c r="J25" s="481"/>
      <c r="K25" s="35"/>
      <c r="L25" s="123"/>
      <c r="M25" s="78"/>
      <c r="R25" s="24">
        <v>1</v>
      </c>
    </row>
    <row r="26" spans="2:22" ht="20.149999999999999" customHeight="1" x14ac:dyDescent="0.45">
      <c r="B26" s="34"/>
      <c r="C26" s="22"/>
      <c r="D26" s="508"/>
      <c r="E26" s="508"/>
      <c r="F26" s="508"/>
      <c r="G26" s="22"/>
      <c r="H26" s="68"/>
      <c r="I26" s="481"/>
      <c r="J26" s="481"/>
      <c r="K26" s="35"/>
      <c r="L26" s="123"/>
      <c r="M26" s="78"/>
      <c r="R26" s="24">
        <v>1</v>
      </c>
      <c r="S26" s="24" t="s">
        <v>873</v>
      </c>
      <c r="T26" s="24" t="s">
        <v>595</v>
      </c>
      <c r="V26" s="24">
        <v>38</v>
      </c>
    </row>
    <row r="27" spans="2:22" ht="20.149999999999999" customHeight="1" x14ac:dyDescent="0.45">
      <c r="B27" s="34"/>
      <c r="C27" s="22"/>
      <c r="D27" s="508"/>
      <c r="E27" s="508"/>
      <c r="F27" s="508"/>
      <c r="G27" s="22"/>
      <c r="H27" s="68"/>
      <c r="I27" s="481"/>
      <c r="J27" s="481"/>
      <c r="K27" s="35"/>
      <c r="L27" s="123"/>
      <c r="M27" s="78"/>
    </row>
    <row r="28" spans="2:22" ht="20.149999999999999" customHeight="1" x14ac:dyDescent="0.45">
      <c r="B28" s="34"/>
      <c r="C28" s="22"/>
      <c r="D28" s="508"/>
      <c r="E28" s="508"/>
      <c r="F28" s="508"/>
      <c r="G28" s="22"/>
      <c r="H28" s="68"/>
      <c r="I28" s="481"/>
      <c r="J28" s="481"/>
      <c r="K28" s="35"/>
      <c r="L28" s="123"/>
      <c r="M28" s="78"/>
    </row>
    <row r="29" spans="2:22" ht="20.149999999999999" customHeight="1" x14ac:dyDescent="0.45">
      <c r="B29" s="34"/>
      <c r="C29" s="22"/>
      <c r="D29" s="508"/>
      <c r="E29" s="508"/>
      <c r="F29" s="508"/>
      <c r="G29" s="22"/>
      <c r="H29" s="68"/>
      <c r="I29" s="481"/>
      <c r="J29" s="481"/>
      <c r="K29" s="35"/>
      <c r="L29" s="123"/>
      <c r="M29" s="78"/>
    </row>
    <row r="30" spans="2:22" ht="20.149999999999999" customHeight="1" x14ac:dyDescent="0.45">
      <c r="B30" s="34"/>
      <c r="C30" s="22"/>
      <c r="D30" s="508"/>
      <c r="E30" s="508"/>
      <c r="F30" s="508"/>
      <c r="G30" s="22"/>
      <c r="H30" s="68"/>
      <c r="I30" s="481"/>
      <c r="J30" s="481"/>
      <c r="K30" s="35"/>
      <c r="L30" s="123"/>
    </row>
    <row r="31" spans="2:22" ht="20.149999999999999" customHeight="1" x14ac:dyDescent="0.45">
      <c r="B31" s="34"/>
      <c r="C31" s="22"/>
      <c r="D31" s="508"/>
      <c r="E31" s="508"/>
      <c r="F31" s="508"/>
      <c r="G31" s="22"/>
      <c r="H31" s="68"/>
      <c r="I31" s="481"/>
      <c r="J31" s="481"/>
      <c r="K31" s="35"/>
      <c r="L31" s="123"/>
      <c r="M31" s="78"/>
    </row>
    <row r="32" spans="2:22" ht="20.149999999999999" customHeight="1" x14ac:dyDescent="0.45">
      <c r="B32" s="34"/>
      <c r="C32" s="22"/>
      <c r="D32" s="508"/>
      <c r="E32" s="508"/>
      <c r="F32" s="508"/>
      <c r="G32" s="22"/>
      <c r="H32" s="68"/>
      <c r="I32" s="481"/>
      <c r="J32" s="481"/>
      <c r="K32" s="35"/>
      <c r="L32" s="123"/>
      <c r="M32" s="78"/>
    </row>
    <row r="33" spans="2:13" ht="20.149999999999999" customHeight="1" thickBot="1" x14ac:dyDescent="0.5">
      <c r="B33" s="37"/>
      <c r="C33" s="38"/>
      <c r="D33" s="509"/>
      <c r="E33" s="509"/>
      <c r="F33" s="509"/>
      <c r="G33" s="38"/>
      <c r="H33" s="69"/>
      <c r="I33" s="557"/>
      <c r="J33" s="557"/>
      <c r="K33" s="39"/>
      <c r="L33" s="89"/>
    </row>
    <row r="34" spans="2:13" ht="20.149999999999999" customHeight="1" thickBot="1" x14ac:dyDescent="0.5">
      <c r="B34" s="41"/>
      <c r="L34" s="42"/>
    </row>
    <row r="35" spans="2:13" ht="20.149999999999999" customHeight="1" x14ac:dyDescent="0.45">
      <c r="B35" s="11" t="s">
        <v>18</v>
      </c>
      <c r="C35" s="7"/>
      <c r="D35" s="7"/>
      <c r="E35" s="7"/>
      <c r="F35" s="7"/>
      <c r="G35" s="7"/>
      <c r="H35" s="7"/>
      <c r="I35" s="86"/>
      <c r="J35" s="510" t="s">
        <v>15</v>
      </c>
      <c r="K35" s="511"/>
      <c r="L35" s="43">
        <f>SUM(L17:L32)</f>
        <v>24</v>
      </c>
      <c r="M35" s="76">
        <f>SUM(P18:P30)</f>
        <v>5.9444444444444429</v>
      </c>
    </row>
    <row r="36" spans="2:13" ht="20.149999999999999" customHeight="1" x14ac:dyDescent="0.45">
      <c r="B36" s="11" t="s">
        <v>19</v>
      </c>
      <c r="C36" s="7"/>
      <c r="D36" s="7"/>
      <c r="E36" s="7"/>
      <c r="F36" s="7"/>
      <c r="G36" s="7"/>
      <c r="H36" s="7"/>
      <c r="I36" s="86"/>
      <c r="J36" s="44" t="s">
        <v>22</v>
      </c>
      <c r="K36" s="45"/>
      <c r="L36" s="46">
        <f>L35*K36</f>
        <v>0</v>
      </c>
    </row>
    <row r="37" spans="2:13" ht="20.149999999999999" customHeight="1" x14ac:dyDescent="0.45">
      <c r="B37" s="11" t="s">
        <v>20</v>
      </c>
      <c r="C37" s="7"/>
      <c r="D37" s="7"/>
      <c r="E37" s="7"/>
      <c r="F37" s="7"/>
      <c r="G37" s="7"/>
      <c r="H37" s="7"/>
      <c r="I37" s="86"/>
      <c r="J37" s="486" t="s">
        <v>21</v>
      </c>
      <c r="K37" s="487"/>
      <c r="L37" s="46">
        <f>L35-L36</f>
        <v>24</v>
      </c>
    </row>
    <row r="38" spans="2:13" ht="20.149999999999999" customHeight="1" x14ac:dyDescent="0.45">
      <c r="B38" s="11" t="s">
        <v>24</v>
      </c>
      <c r="C38" s="7"/>
      <c r="D38" s="7"/>
      <c r="E38" s="7"/>
      <c r="F38" s="7"/>
      <c r="G38" s="7"/>
      <c r="H38" s="7"/>
      <c r="I38" s="86"/>
      <c r="J38" s="150" t="s">
        <v>17</v>
      </c>
      <c r="K38" s="151">
        <v>7.0000000000000007E-2</v>
      </c>
      <c r="L38" s="47">
        <f>L37*K38</f>
        <v>1.6800000000000002</v>
      </c>
    </row>
    <row r="39" spans="2:13" ht="20.149999999999999" customHeight="1" thickBot="1" x14ac:dyDescent="0.5">
      <c r="B39" s="11" t="s">
        <v>25</v>
      </c>
      <c r="C39" s="7"/>
      <c r="D39" s="7"/>
      <c r="E39" s="7"/>
      <c r="F39" s="7"/>
      <c r="G39" s="7"/>
      <c r="H39" s="7"/>
      <c r="I39" s="86"/>
      <c r="J39" s="488" t="s">
        <v>23</v>
      </c>
      <c r="K39" s="489"/>
      <c r="L39" s="48">
        <f>L37+L38</f>
        <v>25.68</v>
      </c>
    </row>
    <row r="40" spans="2:13" ht="20.149999999999999" customHeight="1" x14ac:dyDescent="0.45">
      <c r="B40" s="11" t="s">
        <v>26</v>
      </c>
      <c r="C40" s="7"/>
      <c r="D40" s="7"/>
      <c r="E40" s="7"/>
      <c r="F40" s="7"/>
      <c r="G40" s="7"/>
      <c r="H40" s="7"/>
      <c r="I40" s="86"/>
      <c r="L40" s="42"/>
    </row>
    <row r="41" spans="2:13" ht="20.149999999999999" customHeight="1" x14ac:dyDescent="0.45">
      <c r="B41" s="41"/>
      <c r="L41" s="42"/>
    </row>
    <row r="42" spans="2:13" ht="20.149999999999999" customHeight="1" x14ac:dyDescent="0.45">
      <c r="B42" s="41"/>
      <c r="L42" s="42"/>
    </row>
    <row r="43" spans="2:13" ht="20.149999999999999" customHeight="1" x14ac:dyDescent="0.45">
      <c r="B43" s="41"/>
      <c r="L43" s="42"/>
    </row>
    <row r="44" spans="2:13" ht="20.149999999999999" customHeight="1" x14ac:dyDescent="0.45">
      <c r="B44" s="41"/>
      <c r="L44" s="42"/>
    </row>
    <row r="45" spans="2:13" ht="20.149999999999999" customHeight="1" x14ac:dyDescent="0.45">
      <c r="B45" s="49"/>
      <c r="C45" s="50"/>
      <c r="D45" s="50"/>
      <c r="J45" s="87"/>
      <c r="K45" s="50"/>
      <c r="L45" s="51"/>
    </row>
    <row r="46" spans="2:13" ht="20.149999999999999" customHeight="1" x14ac:dyDescent="0.45">
      <c r="B46" s="41" t="s">
        <v>27</v>
      </c>
      <c r="J46" s="81" t="s">
        <v>28</v>
      </c>
      <c r="L46" s="42"/>
    </row>
    <row r="47" spans="2:13" ht="19" thickBot="1" x14ac:dyDescent="0.5">
      <c r="B47" s="52"/>
      <c r="C47" s="53"/>
      <c r="D47" s="53"/>
      <c r="E47" s="53"/>
      <c r="F47" s="53"/>
      <c r="G47" s="53"/>
      <c r="H47" s="53"/>
      <c r="I47" s="88"/>
      <c r="J47" s="88"/>
      <c r="K47" s="53"/>
      <c r="L47" s="54"/>
    </row>
  </sheetData>
  <mergeCells count="50"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18:J18"/>
    <mergeCell ref="D20:F20"/>
    <mergeCell ref="I20:J20"/>
    <mergeCell ref="D21:F21"/>
    <mergeCell ref="I21:J21"/>
    <mergeCell ref="D19:F19"/>
    <mergeCell ref="I19:J19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B15:D15"/>
    <mergeCell ref="J37:K37"/>
    <mergeCell ref="J39:K39"/>
    <mergeCell ref="D33:F33"/>
    <mergeCell ref="I33:J33"/>
    <mergeCell ref="J35:K35"/>
    <mergeCell ref="D31:F31"/>
    <mergeCell ref="I31:J31"/>
    <mergeCell ref="D32:F32"/>
    <mergeCell ref="I32:J32"/>
    <mergeCell ref="D28:F28"/>
    <mergeCell ref="I28:J28"/>
    <mergeCell ref="D29:F29"/>
    <mergeCell ref="I29:J29"/>
    <mergeCell ref="D30:F30"/>
    <mergeCell ref="I30:J30"/>
  </mergeCells>
  <pageMargins left="0.70866141732283505" right="0.31496062992126" top="0.41535433100000002" bottom="0" header="0.31496062992126" footer="0.31496062992126"/>
  <pageSetup paperSize="9" scale="76" orientation="portrait" horizontalDpi="300" verticalDpi="300" r:id="rId1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73099D-367F-4AB1-ABFC-C8218E8A7727}">
  <sheetPr codeName="Sheet117">
    <tabColor rgb="FF00B050"/>
    <pageSetUpPr fitToPage="1"/>
  </sheetPr>
  <dimension ref="B1:V48"/>
  <sheetViews>
    <sheetView topLeftCell="C26" workbookViewId="0">
      <selection activeCell="K28" sqref="K28"/>
    </sheetView>
  </sheetViews>
  <sheetFormatPr defaultColWidth="12.54296875" defaultRowHeight="18.5" x14ac:dyDescent="0.45"/>
  <cols>
    <col min="1" max="1" width="12.54296875" style="24"/>
    <col min="2" max="3" width="12.54296875" style="24" customWidth="1"/>
    <col min="4" max="4" width="14.54296875" style="24" customWidth="1"/>
    <col min="5" max="5" width="1.54296875" style="24" customWidth="1"/>
    <col min="6" max="6" width="14.54296875" style="24" customWidth="1"/>
    <col min="7" max="7" width="8.54296875" style="24" customWidth="1"/>
    <col min="8" max="8" width="15.54296875" style="24" customWidth="1"/>
    <col min="9" max="9" width="2.81640625" style="81" customWidth="1"/>
    <col min="10" max="10" width="15.54296875" style="81" customWidth="1"/>
    <col min="11" max="11" width="10.54296875" style="24" customWidth="1"/>
    <col min="12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204</v>
      </c>
      <c r="J10" s="82" t="s">
        <v>29</v>
      </c>
      <c r="K10" s="452">
        <v>202201036</v>
      </c>
      <c r="L10" s="453"/>
    </row>
    <row r="11" spans="2:12" ht="20.149999999999999" customHeight="1" x14ac:dyDescent="0.45">
      <c r="B11" s="454" t="s">
        <v>2037</v>
      </c>
      <c r="C11" s="455"/>
      <c r="D11" s="456"/>
      <c r="E11" s="30"/>
      <c r="F11" s="457" t="str">
        <f>VLOOKUP(H10,'Delivery Location'!A$4:N$416,2,0)</f>
        <v xml:space="preserve">Koufu - Dessert                                      535 Clementi Road Block 51, Level 2 Ngee Ann Polythenic NIC Singapore 599489                  </v>
      </c>
      <c r="G11" s="458"/>
      <c r="H11" s="459"/>
      <c r="J11" s="83" t="s">
        <v>11</v>
      </c>
      <c r="K11" s="466">
        <v>44837</v>
      </c>
      <c r="L11" s="467"/>
    </row>
    <row r="12" spans="2:12" ht="20.149999999999999" customHeight="1" x14ac:dyDescent="0.45">
      <c r="B12" s="468" t="s">
        <v>2139</v>
      </c>
      <c r="C12" s="469"/>
      <c r="D12" s="470"/>
      <c r="E12" s="30"/>
      <c r="F12" s="460"/>
      <c r="G12" s="461"/>
      <c r="H12" s="462"/>
      <c r="J12" s="83" t="s">
        <v>171</v>
      </c>
      <c r="K12" s="471" t="s">
        <v>533</v>
      </c>
      <c r="L12" s="472"/>
    </row>
    <row r="13" spans="2:12" ht="20.149999999999999" customHeight="1" x14ac:dyDescent="0.45">
      <c r="B13" s="468" t="s">
        <v>2024</v>
      </c>
      <c r="C13" s="469"/>
      <c r="D13" s="470"/>
      <c r="E13" s="30"/>
      <c r="F13" s="460"/>
      <c r="G13" s="461"/>
      <c r="H13" s="462"/>
      <c r="J13" s="83" t="s">
        <v>12</v>
      </c>
      <c r="K13" s="471" t="s">
        <v>14</v>
      </c>
      <c r="L13" s="472"/>
    </row>
    <row r="14" spans="2:12" ht="20.149999999999999" customHeight="1" x14ac:dyDescent="0.45">
      <c r="B14" s="468" t="s">
        <v>2025</v>
      </c>
      <c r="C14" s="469"/>
      <c r="D14" s="470"/>
      <c r="E14" s="30"/>
      <c r="F14" s="460"/>
      <c r="G14" s="461"/>
      <c r="H14" s="462"/>
      <c r="J14" s="83" t="s">
        <v>30</v>
      </c>
      <c r="K14" s="471" t="s">
        <v>16</v>
      </c>
      <c r="L14" s="472"/>
    </row>
    <row r="15" spans="2:12" ht="18" customHeight="1" thickBot="1" x14ac:dyDescent="0.5">
      <c r="B15" s="463" t="s">
        <v>2026</v>
      </c>
      <c r="C15" s="464"/>
      <c r="D15" s="465"/>
      <c r="E15" s="26"/>
      <c r="F15" s="463"/>
      <c r="G15" s="464"/>
      <c r="H15" s="465"/>
      <c r="J15" s="84" t="s">
        <v>13</v>
      </c>
      <c r="K15" s="476"/>
      <c r="L15" s="477"/>
    </row>
    <row r="16" spans="2:12" ht="19" thickBot="1" x14ac:dyDescent="0.5">
      <c r="J16" s="85"/>
    </row>
    <row r="17" spans="2:22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22" ht="20.149999999999999" customHeight="1" x14ac:dyDescent="0.45">
      <c r="B18" s="34"/>
      <c r="C18" s="22" t="s">
        <v>1530</v>
      </c>
      <c r="D18" s="508" t="str">
        <f>VLOOKUP(C18,'Sales Master'!B$3:D$499,2,)</f>
        <v>Sweet Potato Powder番薯粉</v>
      </c>
      <c r="E18" s="508"/>
      <c r="F18" s="508"/>
      <c r="G18" s="90">
        <v>1</v>
      </c>
      <c r="H18" s="68" t="str">
        <f>VLOOKUP(C18,'Sales Master'!$B$3:$F$3247,5,0)</f>
        <v>3 kgs</v>
      </c>
      <c r="I18" s="481" t="str">
        <f>VLOOKUP(C18,'Sales Master'!$B$3:$E$3247,4,0)</f>
        <v>RE-PACK</v>
      </c>
      <c r="J18" s="481"/>
      <c r="K18" s="35">
        <f>VLOOKUP(C18,'Sales Master'!B$3:J$499,9,0)</f>
        <v>9.5</v>
      </c>
      <c r="L18" s="77">
        <f t="shared" ref="L18:L20" si="0">K18*G18</f>
        <v>9.5</v>
      </c>
      <c r="M18" s="78"/>
      <c r="N18" s="225">
        <f>VLOOKUP(C18,'Sales Master'!$B$3:$DA$3038,104,0)</f>
        <v>7.4399999999999995</v>
      </c>
      <c r="O18" s="225">
        <f>K18-N18</f>
        <v>2.0600000000000005</v>
      </c>
      <c r="P18" s="225">
        <f>O18*G18</f>
        <v>2.0600000000000005</v>
      </c>
      <c r="R18" s="24">
        <v>1</v>
      </c>
      <c r="S18" s="24" t="s">
        <v>36</v>
      </c>
      <c r="T18" s="24" t="s">
        <v>109</v>
      </c>
      <c r="V18" s="24">
        <v>12</v>
      </c>
    </row>
    <row r="19" spans="2:22" ht="20.149999999999999" customHeight="1" x14ac:dyDescent="0.45">
      <c r="B19" s="34"/>
      <c r="C19" s="22" t="s">
        <v>1548</v>
      </c>
      <c r="D19" s="508" t="str">
        <f>VLOOKUP(C19,'Sales Master'!B$3:D$499,2,)</f>
        <v>Potato Starch 风车粉</v>
      </c>
      <c r="E19" s="508"/>
      <c r="F19" s="508"/>
      <c r="G19" s="90">
        <v>1</v>
      </c>
      <c r="H19" s="68" t="str">
        <f>VLOOKUP(C19,'Sales Master'!$B$3:$F$3247,5,0)</f>
        <v>5 kg</v>
      </c>
      <c r="I19" s="481" t="str">
        <f>VLOOKUP(C19,'Sales Master'!$B$3:$E$3247,4,0)</f>
        <v>RE-PACK</v>
      </c>
      <c r="J19" s="481"/>
      <c r="K19" s="35">
        <f>VLOOKUP(C19,'Sales Master'!B$3:J$499,9,0)</f>
        <v>12</v>
      </c>
      <c r="L19" s="77">
        <f t="shared" si="0"/>
        <v>12</v>
      </c>
      <c r="M19" s="78"/>
      <c r="N19" s="225">
        <f>VLOOKUP(C19,'Sales Master'!$B$3:$DA$3038,104,0)</f>
        <v>7.1999999999999993</v>
      </c>
      <c r="O19" s="225">
        <f t="shared" ref="O19:O20" si="1">K19-N19</f>
        <v>4.8000000000000007</v>
      </c>
      <c r="P19" s="225">
        <f t="shared" ref="P19:P20" si="2">O19*G19</f>
        <v>4.8000000000000007</v>
      </c>
    </row>
    <row r="20" spans="2:22" ht="20.149999999999999" customHeight="1" x14ac:dyDescent="0.45">
      <c r="B20" s="34"/>
      <c r="C20" s="22" t="s">
        <v>1572</v>
      </c>
      <c r="D20" s="508" t="str">
        <f>VLOOKUP(C20,'Sales Master'!B$3:D$499,2,)</f>
        <v>Red Bean红豆 (5.5 mm)</v>
      </c>
      <c r="E20" s="508"/>
      <c r="F20" s="508"/>
      <c r="G20" s="90">
        <v>1</v>
      </c>
      <c r="H20" s="68" t="str">
        <f>VLOOKUP(C20,'Sales Master'!$B$3:$F$3247,5,0)</f>
        <v>5 kgs</v>
      </c>
      <c r="I20" s="481" t="str">
        <f>VLOOKUP(C20,'Sales Master'!$B$3:$E$3247,4,0)</f>
        <v>-</v>
      </c>
      <c r="J20" s="481"/>
      <c r="K20" s="35">
        <f>VLOOKUP(C20,'Sales Master'!B$3:J$499,9,0)</f>
        <v>20.5</v>
      </c>
      <c r="L20" s="77">
        <f t="shared" si="0"/>
        <v>20.5</v>
      </c>
      <c r="M20" s="78"/>
      <c r="N20" s="225">
        <f>VLOOKUP(C20,'Sales Master'!$B$3:$DA$3038,104,0)</f>
        <v>17</v>
      </c>
      <c r="O20" s="225">
        <f t="shared" si="1"/>
        <v>3.5</v>
      </c>
      <c r="P20" s="225">
        <f t="shared" si="2"/>
        <v>3.5</v>
      </c>
    </row>
    <row r="21" spans="2:22" ht="20.149999999999999" customHeight="1" x14ac:dyDescent="0.45">
      <c r="B21" s="34"/>
      <c r="C21" s="22" t="s">
        <v>1585</v>
      </c>
      <c r="D21" s="508" t="str">
        <f>VLOOKUP(C21,'Sales Master'!B$3:D$499,2,)</f>
        <v>Green Bean 绿豆</v>
      </c>
      <c r="E21" s="508"/>
      <c r="F21" s="508"/>
      <c r="G21" s="90">
        <v>1</v>
      </c>
      <c r="H21" s="68" t="str">
        <f>VLOOKUP(C21,'Sales Master'!$B$3:$F$3247,5,0)</f>
        <v>5 kgs</v>
      </c>
      <c r="I21" s="481" t="str">
        <f>VLOOKUP(C21,'Sales Master'!$B$3:$E$3247,4,0)</f>
        <v>-</v>
      </c>
      <c r="J21" s="481"/>
      <c r="K21" s="35">
        <f>VLOOKUP(C21,'Sales Master'!B$3:J$499,9,0)</f>
        <v>13</v>
      </c>
      <c r="L21" s="77">
        <f t="shared" ref="L21" si="3">K21*G21</f>
        <v>13</v>
      </c>
      <c r="M21" s="78"/>
      <c r="N21" s="225">
        <f>VLOOKUP(C21,'Sales Master'!$B$3:$DA$3038,104,0)</f>
        <v>9.3999999999999986</v>
      </c>
      <c r="O21" s="225">
        <f t="shared" ref="O21" si="4">K21-N21</f>
        <v>3.6000000000000014</v>
      </c>
      <c r="P21" s="225">
        <f t="shared" ref="P21" si="5">O21*G21</f>
        <v>3.6000000000000014</v>
      </c>
    </row>
    <row r="22" spans="2:22" ht="20.149999999999999" customHeight="1" x14ac:dyDescent="0.45">
      <c r="B22" s="80"/>
      <c r="C22" s="22" t="s">
        <v>1615</v>
      </c>
      <c r="D22" s="508" t="str">
        <f>VLOOKUP(C22,'Sales Master'!B$3:D$499,2,)</f>
        <v>Small Sago 小丸</v>
      </c>
      <c r="E22" s="508"/>
      <c r="F22" s="508"/>
      <c r="G22" s="90">
        <v>1</v>
      </c>
      <c r="H22" s="68" t="str">
        <f>VLOOKUP(C22,'Sales Master'!$B$3:$F$3247,5,0)</f>
        <v>5 kgs</v>
      </c>
      <c r="I22" s="481" t="str">
        <f>VLOOKUP(C22,'Sales Master'!$B$3:$E$3247,4,0)</f>
        <v>-</v>
      </c>
      <c r="J22" s="481"/>
      <c r="K22" s="35">
        <f>VLOOKUP(C22,'Sales Master'!B$3:J$499,9,0)</f>
        <v>10</v>
      </c>
      <c r="L22" s="77">
        <f t="shared" ref="L22" si="6">K22*G22</f>
        <v>10</v>
      </c>
      <c r="M22" s="78"/>
      <c r="N22" s="225">
        <f>VLOOKUP(C22,'Sales Master'!$B$3:$DA$3038,104,0)</f>
        <v>8</v>
      </c>
      <c r="O22" s="225">
        <f t="shared" ref="O22" si="7">K22-N22</f>
        <v>2</v>
      </c>
      <c r="P22" s="225">
        <f t="shared" ref="P22" si="8">O22*G22</f>
        <v>2</v>
      </c>
    </row>
    <row r="23" spans="2:22" ht="20.149999999999999" customHeight="1" x14ac:dyDescent="0.45">
      <c r="B23" s="34"/>
      <c r="C23" s="22" t="s">
        <v>1621</v>
      </c>
      <c r="D23" s="508" t="str">
        <f>VLOOKUP(C23,'Sales Master'!B$3:D$499,2,)</f>
        <v>Dried Longan 龙眼干</v>
      </c>
      <c r="E23" s="508"/>
      <c r="F23" s="508"/>
      <c r="G23" s="90">
        <v>2</v>
      </c>
      <c r="H23" s="68" t="str">
        <f>VLOOKUP(C23,'Sales Master'!$B$3:$F$3247,5,0)</f>
        <v>1 kg</v>
      </c>
      <c r="I23" s="481" t="str">
        <f>VLOOKUP(C23,'Sales Master'!$B$3:$E$3247,4,0)</f>
        <v>中</v>
      </c>
      <c r="J23" s="481"/>
      <c r="K23" s="35">
        <f>VLOOKUP(C23,'Sales Master'!B$3:J$499,9,0)</f>
        <v>12</v>
      </c>
      <c r="L23" s="77">
        <f t="shared" ref="L23" si="9">K23*G23</f>
        <v>24</v>
      </c>
      <c r="M23" s="78"/>
      <c r="N23" s="225">
        <f>VLOOKUP(C23,'Sales Master'!$B$3:$DA$3038,104,0)</f>
        <v>9.1999999999999993</v>
      </c>
      <c r="O23" s="225">
        <f t="shared" ref="O23" si="10">K23-N23</f>
        <v>2.8000000000000007</v>
      </c>
      <c r="P23" s="225">
        <f t="shared" ref="P23" si="11">O23*G23</f>
        <v>5.6000000000000014</v>
      </c>
    </row>
    <row r="24" spans="2:22" ht="20.149999999999999" customHeight="1" x14ac:dyDescent="0.45">
      <c r="B24" s="34"/>
      <c r="C24" s="22" t="s">
        <v>1624</v>
      </c>
      <c r="D24" s="508" t="str">
        <f>VLOOKUP(C24,'Sales Master'!B$3:D$499,2,)</f>
        <v>Fungus黄 木耳朵</v>
      </c>
      <c r="E24" s="508"/>
      <c r="F24" s="508"/>
      <c r="G24" s="90">
        <v>1</v>
      </c>
      <c r="H24" s="68" t="str">
        <f>VLOOKUP(C24,'Sales Master'!$B$3:$F$3247,5,0)</f>
        <v>1 kg</v>
      </c>
      <c r="I24" s="481" t="str">
        <f>VLOOKUP(C24,'Sales Master'!$B$3:$E$3247,4,0)</f>
        <v>黄</v>
      </c>
      <c r="J24" s="481"/>
      <c r="K24" s="35">
        <f>VLOOKUP(C24,'Sales Master'!B$3:J$499,9,0)</f>
        <v>16</v>
      </c>
      <c r="L24" s="77">
        <f t="shared" ref="L24:L32" si="12">K24*G24</f>
        <v>16</v>
      </c>
      <c r="M24" s="78"/>
      <c r="N24" s="225">
        <f>VLOOKUP(C24,'Sales Master'!$B$3:$DA$3038,104,0)</f>
        <v>11</v>
      </c>
      <c r="O24" s="225">
        <f t="shared" ref="O24:O32" si="13">K24-N24</f>
        <v>5</v>
      </c>
      <c r="P24" s="225">
        <f t="shared" ref="P24:P32" si="14">O24*G24</f>
        <v>5</v>
      </c>
    </row>
    <row r="25" spans="2:22" ht="20.149999999999999" customHeight="1" x14ac:dyDescent="0.45">
      <c r="B25" s="34"/>
      <c r="C25" s="22" t="s">
        <v>1683</v>
      </c>
      <c r="D25" s="508" t="str">
        <f>VLOOKUP(C25,'Sales Master'!B$3:D$499,2,)</f>
        <v>Sea Coconut海底椰</v>
      </c>
      <c r="E25" s="508"/>
      <c r="F25" s="508"/>
      <c r="G25" s="90">
        <v>1</v>
      </c>
      <c r="H25" s="68" t="str">
        <f>VLOOKUP(C25,'Sales Master'!$B$3:$F$3247,5,0)</f>
        <v>(565gm x 12)/箱</v>
      </c>
      <c r="I25" s="481" t="str">
        <f>VLOOKUP(C25,'Sales Master'!$B$3:$E$3247,4,0)</f>
        <v>MiLi</v>
      </c>
      <c r="J25" s="481"/>
      <c r="K25" s="35">
        <f>VLOOKUP(C25,'Sales Master'!B$3:J$499,9,0)</f>
        <v>29</v>
      </c>
      <c r="L25" s="77">
        <f t="shared" si="12"/>
        <v>29</v>
      </c>
      <c r="M25" s="78"/>
      <c r="N25" s="225">
        <f>VLOOKUP(C25,'Sales Master'!$B$3:$DA$3038,104,0)</f>
        <v>25</v>
      </c>
      <c r="O25" s="225">
        <f t="shared" si="13"/>
        <v>4</v>
      </c>
      <c r="P25" s="225">
        <f t="shared" si="14"/>
        <v>4</v>
      </c>
    </row>
    <row r="26" spans="2:22" ht="20.149999999999999" customHeight="1" x14ac:dyDescent="0.45">
      <c r="B26" s="34"/>
      <c r="C26" s="22" t="s">
        <v>1691</v>
      </c>
      <c r="D26" s="508" t="str">
        <f>VLOOKUP(C26,'Sales Master'!B$3:D$499,2,)</f>
        <v>Nata De Coco椰果芊 15mm</v>
      </c>
      <c r="E26" s="508"/>
      <c r="F26" s="508"/>
      <c r="G26" s="90">
        <v>2</v>
      </c>
      <c r="H26" s="68" t="str">
        <f>VLOOKUP(C26,'Sales Master'!$B$3:$F$3247,5,0)</f>
        <v>1 Can X A10</v>
      </c>
      <c r="I26" s="481" t="str">
        <f>VLOOKUP(C26,'Sales Master'!$B$3:$E$3247,4,0)</f>
        <v>Chefs</v>
      </c>
      <c r="J26" s="481"/>
      <c r="K26" s="35">
        <f>VLOOKUP(C26,'Sales Master'!B$3:J$499,9,0)</f>
        <v>9.5</v>
      </c>
      <c r="L26" s="77">
        <f t="shared" si="12"/>
        <v>19</v>
      </c>
      <c r="M26" s="78"/>
      <c r="N26" s="225">
        <f>VLOOKUP(C26,'Sales Master'!$B$3:$DA$3038,104,0)</f>
        <v>6.916666666666667</v>
      </c>
      <c r="O26" s="225">
        <f t="shared" si="13"/>
        <v>2.583333333333333</v>
      </c>
      <c r="P26" s="225">
        <f t="shared" si="14"/>
        <v>5.1666666666666661</v>
      </c>
    </row>
    <row r="27" spans="2:22" ht="20.149999999999999" customHeight="1" x14ac:dyDescent="0.45">
      <c r="B27" s="34"/>
      <c r="C27" s="22" t="s">
        <v>1695</v>
      </c>
      <c r="D27" s="508" t="str">
        <f>VLOOKUP(C27,'Sales Master'!B$3:D$499,2,)</f>
        <v>Aloe Vera芦荟 10mm</v>
      </c>
      <c r="E27" s="508"/>
      <c r="F27" s="508"/>
      <c r="G27" s="90">
        <v>2</v>
      </c>
      <c r="H27" s="68" t="str">
        <f>VLOOKUP(C27,'Sales Master'!$B$3:$F$3247,5,0)</f>
        <v>1 Can X A10</v>
      </c>
      <c r="I27" s="481" t="str">
        <f>VLOOKUP(C27,'Sales Master'!$B$3:$E$3247,4,0)</f>
        <v>Chefs</v>
      </c>
      <c r="J27" s="481"/>
      <c r="K27" s="35">
        <f>VLOOKUP(C27,'Sales Master'!B$3:J$499,9,0)</f>
        <v>10</v>
      </c>
      <c r="L27" s="77">
        <f t="shared" si="12"/>
        <v>20</v>
      </c>
      <c r="M27" s="78"/>
      <c r="N27" s="225">
        <f>VLOOKUP(C27,'Sales Master'!$B$3:$DA$3038,104,0)</f>
        <v>7</v>
      </c>
      <c r="O27" s="225">
        <f t="shared" si="13"/>
        <v>3</v>
      </c>
      <c r="P27" s="225">
        <f t="shared" si="14"/>
        <v>6</v>
      </c>
    </row>
    <row r="28" spans="2:22" ht="20.149999999999999" customHeight="1" x14ac:dyDescent="0.45">
      <c r="B28" s="34"/>
      <c r="C28" s="22" t="s">
        <v>1696</v>
      </c>
      <c r="D28" s="508" t="str">
        <f>VLOOKUP(C28,'Sales Master'!B$3:D$499,2,)</f>
        <v>Longan in Syrup龙眼</v>
      </c>
      <c r="E28" s="508"/>
      <c r="F28" s="508"/>
      <c r="G28" s="90">
        <v>1</v>
      </c>
      <c r="H28" s="68" t="str">
        <f>VLOOKUP(C28,'Sales Master'!$B$3:$F$3247,5,0)</f>
        <v>(565gm x 12)/箱</v>
      </c>
      <c r="I28" s="481" t="str">
        <f>VLOOKUP(C28,'Sales Master'!$B$3:$E$3247,4,0)</f>
        <v>YiFong</v>
      </c>
      <c r="J28" s="481"/>
      <c r="K28" s="35">
        <f>VLOOKUP(C28,'Sales Master'!B$3:J$499,9,0)</f>
        <v>24</v>
      </c>
      <c r="L28" s="77">
        <f t="shared" si="12"/>
        <v>24</v>
      </c>
      <c r="M28" s="78"/>
      <c r="N28" s="225">
        <f>VLOOKUP(C28,'Sales Master'!$B$3:$DA$3038,104,0)</f>
        <v>18.055555555555557</v>
      </c>
      <c r="O28" s="225">
        <f t="shared" si="13"/>
        <v>5.9444444444444429</v>
      </c>
      <c r="P28" s="225">
        <f t="shared" si="14"/>
        <v>5.9444444444444429</v>
      </c>
    </row>
    <row r="29" spans="2:22" ht="20.149999999999999" customHeight="1" x14ac:dyDescent="0.45">
      <c r="B29" s="34"/>
      <c r="C29" s="22" t="s">
        <v>1706</v>
      </c>
      <c r="D29" s="508" t="str">
        <f>VLOOKUP(C29,'Sales Master'!B$3:D$499,2,)</f>
        <v>Cream Corn玉米浆</v>
      </c>
      <c r="E29" s="508"/>
      <c r="F29" s="508"/>
      <c r="G29" s="90">
        <v>1</v>
      </c>
      <c r="H29" s="68" t="str">
        <f>VLOOKUP(C29,'Sales Master'!$B$3:$F$3247,5,0)</f>
        <v>(425gm x 24)/箱</v>
      </c>
      <c r="I29" s="481" t="str">
        <f>VLOOKUP(C29,'Sales Master'!$B$3:$E$3247,4,0)</f>
        <v>Statue</v>
      </c>
      <c r="J29" s="481"/>
      <c r="K29" s="35">
        <f>VLOOKUP(C29,'Sales Master'!B$3:J$499,9,0)</f>
        <v>20.5</v>
      </c>
      <c r="L29" s="77">
        <f t="shared" si="12"/>
        <v>20.5</v>
      </c>
      <c r="M29" s="78"/>
      <c r="N29" s="225">
        <f>VLOOKUP(C29,'Sales Master'!$B$3:$DA$3038,104,0)</f>
        <v>16</v>
      </c>
      <c r="O29" s="225">
        <f t="shared" si="13"/>
        <v>4.5</v>
      </c>
      <c r="P29" s="225">
        <f t="shared" si="14"/>
        <v>4.5</v>
      </c>
    </row>
    <row r="30" spans="2:22" ht="20.149999999999999" customHeight="1" x14ac:dyDescent="0.45">
      <c r="B30" s="34"/>
      <c r="C30" s="22" t="s">
        <v>1736</v>
      </c>
      <c r="D30" s="508" t="str">
        <f>VLOOKUP(C30,'Sales Master'!B$3:D$499,2,)</f>
        <v>Coconut Milk 椰浆</v>
      </c>
      <c r="E30" s="508"/>
      <c r="F30" s="508"/>
      <c r="G30" s="90">
        <v>1</v>
      </c>
      <c r="H30" s="68" t="str">
        <f>VLOOKUP(C30,'Sales Master'!$B$3:$F$3247,5,0)</f>
        <v>(1L x 12bag)/箱</v>
      </c>
      <c r="I30" s="481" t="str">
        <f>VLOOKUP(C30,'Sales Master'!$B$3:$E$3247,4,0)</f>
        <v>Kara UHT</v>
      </c>
      <c r="J30" s="481"/>
      <c r="K30" s="35">
        <f>VLOOKUP(C30,'Sales Master'!B$3:J$499,9,0)</f>
        <v>42</v>
      </c>
      <c r="L30" s="77">
        <f t="shared" si="12"/>
        <v>42</v>
      </c>
      <c r="M30" s="78"/>
      <c r="N30" s="225">
        <f>VLOOKUP(C30,'Sales Master'!$B$3:$DA$3038,104,0)</f>
        <v>35.5</v>
      </c>
      <c r="O30" s="225">
        <f t="shared" si="13"/>
        <v>6.5</v>
      </c>
      <c r="P30" s="225">
        <f t="shared" si="14"/>
        <v>6.5</v>
      </c>
    </row>
    <row r="31" spans="2:22" ht="20.149999999999999" customHeight="1" x14ac:dyDescent="0.45">
      <c r="B31" s="34"/>
      <c r="C31" s="22" t="s">
        <v>2258</v>
      </c>
      <c r="D31" s="508" t="str">
        <f>VLOOKUP(C31,'Sales Master'!B$3:D$499,2,)</f>
        <v>Brown Sugar 黑糖</v>
      </c>
      <c r="E31" s="508"/>
      <c r="F31" s="508"/>
      <c r="G31" s="90">
        <v>2</v>
      </c>
      <c r="H31" s="68" t="str">
        <f>VLOOKUP(C31,'Sales Master'!$B$3:$F$3247,5,0)</f>
        <v>6 kgs</v>
      </c>
      <c r="I31" s="481" t="str">
        <f>VLOOKUP(C31,'Sales Master'!$B$3:$E$3247,4,0)</f>
        <v>Thailand</v>
      </c>
      <c r="J31" s="481"/>
      <c r="K31" s="35">
        <f>VLOOKUP(C31,'Sales Master'!B$3:J$499,9,0)</f>
        <v>15</v>
      </c>
      <c r="L31" s="77">
        <f t="shared" si="12"/>
        <v>30</v>
      </c>
      <c r="M31" s="78"/>
      <c r="N31" s="225">
        <f>VLOOKUP(C31,'Sales Master'!$B$3:$DA$3038,104,0)</f>
        <v>11.2</v>
      </c>
      <c r="O31" s="225">
        <f t="shared" si="13"/>
        <v>3.8000000000000007</v>
      </c>
      <c r="P31" s="225">
        <f t="shared" si="14"/>
        <v>7.6000000000000014</v>
      </c>
    </row>
    <row r="32" spans="2:22" ht="20.149999999999999" customHeight="1" x14ac:dyDescent="0.45">
      <c r="B32" s="34"/>
      <c r="C32" s="22" t="s">
        <v>1794</v>
      </c>
      <c r="D32" s="508" t="str">
        <f>VLOOKUP(C32,'Sales Master'!B$3:D$499,2,)</f>
        <v>Pandan Leaf 班兰叶</v>
      </c>
      <c r="E32" s="508"/>
      <c r="F32" s="508"/>
      <c r="G32" s="90">
        <v>2</v>
      </c>
      <c r="H32" s="68" t="str">
        <f>VLOOKUP(C32,'Sales Master'!$B$3:$F$3247,5,0)</f>
        <v>1 kg</v>
      </c>
      <c r="I32" s="481" t="str">
        <f>VLOOKUP(C32,'Sales Master'!$B$3:$E$3247,4,0)</f>
        <v>-</v>
      </c>
      <c r="J32" s="481"/>
      <c r="K32" s="35">
        <f>VLOOKUP(C32,'Sales Master'!B$3:J$499,9,0)</f>
        <v>1.8</v>
      </c>
      <c r="L32" s="77">
        <f t="shared" si="12"/>
        <v>3.6</v>
      </c>
      <c r="M32" s="78"/>
      <c r="N32" s="225">
        <f>VLOOKUP(C32,'Sales Master'!$B$3:$DA$3038,104,0)</f>
        <v>1</v>
      </c>
      <c r="O32" s="225">
        <f t="shared" si="13"/>
        <v>0.8</v>
      </c>
      <c r="P32" s="225">
        <f t="shared" si="14"/>
        <v>1.6</v>
      </c>
    </row>
    <row r="33" spans="2:16" ht="20.149999999999999" customHeight="1" x14ac:dyDescent="0.45">
      <c r="B33" s="34"/>
      <c r="C33" s="22"/>
      <c r="G33" s="90"/>
      <c r="H33" s="68"/>
      <c r="I33" s="68"/>
      <c r="J33" s="68"/>
      <c r="K33" s="35"/>
      <c r="L33" s="77"/>
      <c r="M33" s="78"/>
      <c r="N33" s="225"/>
      <c r="O33" s="225"/>
      <c r="P33" s="225"/>
    </row>
    <row r="34" spans="2:16" ht="20.149999999999999" customHeight="1" thickBot="1" x14ac:dyDescent="0.5">
      <c r="B34" s="37"/>
      <c r="C34" s="38"/>
      <c r="D34" s="509"/>
      <c r="E34" s="509"/>
      <c r="F34" s="509"/>
      <c r="G34" s="38"/>
      <c r="H34" s="69"/>
      <c r="I34" s="588"/>
      <c r="J34" s="588"/>
      <c r="K34" s="39"/>
      <c r="L34" s="40"/>
    </row>
    <row r="35" spans="2:16" ht="20.149999999999999" customHeight="1" thickBot="1" x14ac:dyDescent="0.5">
      <c r="B35" s="41"/>
      <c r="L35" s="42"/>
    </row>
    <row r="36" spans="2:16" ht="20.149999999999999" customHeight="1" x14ac:dyDescent="0.45">
      <c r="B36" s="11" t="s">
        <v>18</v>
      </c>
      <c r="C36" s="7"/>
      <c r="D36" s="7"/>
      <c r="E36" s="7"/>
      <c r="F36" s="7"/>
      <c r="G36" s="7"/>
      <c r="H36" s="7"/>
      <c r="I36" s="86"/>
      <c r="J36" s="510" t="s">
        <v>15</v>
      </c>
      <c r="K36" s="511"/>
      <c r="L36" s="43">
        <f>SUM(L17:L33)</f>
        <v>293.10000000000002</v>
      </c>
      <c r="M36" s="76">
        <f>SUM(P18:P33)-L36*0.02</f>
        <v>62.009111111111103</v>
      </c>
    </row>
    <row r="37" spans="2:16" ht="20.149999999999999" customHeight="1" x14ac:dyDescent="0.45">
      <c r="B37" s="11" t="s">
        <v>19</v>
      </c>
      <c r="C37" s="7"/>
      <c r="D37" s="7"/>
      <c r="E37" s="7"/>
      <c r="F37" s="7"/>
      <c r="G37" s="7"/>
      <c r="H37" s="7"/>
      <c r="I37" s="86"/>
      <c r="J37" s="44" t="s">
        <v>22</v>
      </c>
      <c r="K37" s="45"/>
      <c r="L37" s="46">
        <f>L36*K37</f>
        <v>0</v>
      </c>
    </row>
    <row r="38" spans="2:16" ht="20.149999999999999" customHeight="1" x14ac:dyDescent="0.45">
      <c r="B38" s="11" t="s">
        <v>20</v>
      </c>
      <c r="C38" s="7"/>
      <c r="D38" s="7"/>
      <c r="E38" s="7"/>
      <c r="F38" s="7"/>
      <c r="G38" s="7"/>
      <c r="H38" s="7"/>
      <c r="I38" s="86"/>
      <c r="J38" s="486" t="s">
        <v>21</v>
      </c>
      <c r="K38" s="487"/>
      <c r="L38" s="46">
        <f>L36-L37</f>
        <v>293.10000000000002</v>
      </c>
    </row>
    <row r="39" spans="2:16" ht="20.149999999999999" customHeight="1" x14ac:dyDescent="0.45">
      <c r="B39" s="11" t="s">
        <v>24</v>
      </c>
      <c r="C39" s="7"/>
      <c r="D39" s="7"/>
      <c r="E39" s="7"/>
      <c r="F39" s="7"/>
      <c r="G39" s="7"/>
      <c r="H39" s="7"/>
      <c r="I39" s="86"/>
      <c r="J39" s="150" t="s">
        <v>17</v>
      </c>
      <c r="K39" s="151">
        <v>7.0000000000000007E-2</v>
      </c>
      <c r="L39" s="47">
        <f>L38*K39</f>
        <v>20.517000000000003</v>
      </c>
    </row>
    <row r="40" spans="2:16" ht="20.149999999999999" customHeight="1" thickBot="1" x14ac:dyDescent="0.5">
      <c r="B40" s="11" t="s">
        <v>25</v>
      </c>
      <c r="C40" s="7"/>
      <c r="D40" s="7"/>
      <c r="E40" s="7"/>
      <c r="F40" s="7"/>
      <c r="G40" s="7"/>
      <c r="H40" s="7"/>
      <c r="I40" s="86"/>
      <c r="J40" s="488" t="s">
        <v>23</v>
      </c>
      <c r="K40" s="489"/>
      <c r="L40" s="48">
        <f>L38+L39</f>
        <v>313.61700000000002</v>
      </c>
    </row>
    <row r="41" spans="2:16" ht="20.149999999999999" customHeight="1" x14ac:dyDescent="0.45">
      <c r="B41" s="11" t="s">
        <v>26</v>
      </c>
      <c r="C41" s="7"/>
      <c r="D41" s="7"/>
      <c r="E41" s="7"/>
      <c r="F41" s="7"/>
      <c r="G41" s="7"/>
      <c r="H41" s="7"/>
      <c r="I41" s="86"/>
      <c r="L41" s="42"/>
    </row>
    <row r="42" spans="2:16" ht="20.149999999999999" customHeight="1" x14ac:dyDescent="0.45">
      <c r="B42" s="41"/>
      <c r="L42" s="42"/>
    </row>
    <row r="43" spans="2:16" ht="20.149999999999999" customHeight="1" x14ac:dyDescent="0.45">
      <c r="B43" s="41"/>
      <c r="L43" s="42"/>
    </row>
    <row r="44" spans="2:16" ht="20.149999999999999" customHeight="1" x14ac:dyDescent="0.45">
      <c r="B44" s="41"/>
      <c r="L44" s="42"/>
    </row>
    <row r="45" spans="2:16" ht="20.149999999999999" customHeight="1" x14ac:dyDescent="0.45">
      <c r="B45" s="41"/>
      <c r="L45" s="42"/>
    </row>
    <row r="46" spans="2:16" ht="20.149999999999999" customHeight="1" x14ac:dyDescent="0.45">
      <c r="B46" s="49"/>
      <c r="C46" s="50"/>
      <c r="D46" s="50"/>
      <c r="J46" s="87"/>
      <c r="K46" s="50"/>
      <c r="L46" s="51"/>
    </row>
    <row r="47" spans="2:16" ht="20.149999999999999" customHeight="1" x14ac:dyDescent="0.45">
      <c r="B47" s="41" t="s">
        <v>27</v>
      </c>
      <c r="J47" s="81" t="s">
        <v>28</v>
      </c>
      <c r="L47" s="42"/>
    </row>
    <row r="48" spans="2:16" ht="19" thickBot="1" x14ac:dyDescent="0.5">
      <c r="B48" s="52"/>
      <c r="C48" s="53"/>
      <c r="D48" s="53"/>
      <c r="E48" s="53"/>
      <c r="F48" s="53"/>
      <c r="G48" s="53"/>
      <c r="H48" s="53"/>
      <c r="I48" s="88"/>
      <c r="J48" s="88"/>
      <c r="K48" s="53"/>
      <c r="L48" s="54"/>
    </row>
  </sheetData>
  <mergeCells count="50">
    <mergeCell ref="I28:J28"/>
    <mergeCell ref="I29:J29"/>
    <mergeCell ref="I30:J30"/>
    <mergeCell ref="I31:J31"/>
    <mergeCell ref="I32:J32"/>
    <mergeCell ref="D28:F28"/>
    <mergeCell ref="D29:F29"/>
    <mergeCell ref="D30:F30"/>
    <mergeCell ref="D31:F31"/>
    <mergeCell ref="D32:F32"/>
    <mergeCell ref="J36:K36"/>
    <mergeCell ref="J38:K38"/>
    <mergeCell ref="J40:K40"/>
    <mergeCell ref="D34:F34"/>
    <mergeCell ref="I34:J34"/>
    <mergeCell ref="D25:F25"/>
    <mergeCell ref="D26:F26"/>
    <mergeCell ref="D27:F27"/>
    <mergeCell ref="I25:J25"/>
    <mergeCell ref="I26:J26"/>
    <mergeCell ref="I27:J27"/>
    <mergeCell ref="D24:F24"/>
    <mergeCell ref="I24:J24"/>
    <mergeCell ref="K15:L15"/>
    <mergeCell ref="D22:F22"/>
    <mergeCell ref="I22:J22"/>
    <mergeCell ref="D23:F23"/>
    <mergeCell ref="I23:J23"/>
    <mergeCell ref="B15:D15"/>
    <mergeCell ref="K12:L12"/>
    <mergeCell ref="B13:D13"/>
    <mergeCell ref="K13:L13"/>
    <mergeCell ref="B14:D14"/>
    <mergeCell ref="K14:L14"/>
    <mergeCell ref="B1:L8"/>
    <mergeCell ref="D21:F21"/>
    <mergeCell ref="I21:J21"/>
    <mergeCell ref="D17:F17"/>
    <mergeCell ref="I17:J17"/>
    <mergeCell ref="D18:F18"/>
    <mergeCell ref="I18:J18"/>
    <mergeCell ref="D20:F20"/>
    <mergeCell ref="I20:J20"/>
    <mergeCell ref="D19:F19"/>
    <mergeCell ref="I19:J19"/>
    <mergeCell ref="K10:L10"/>
    <mergeCell ref="B11:D11"/>
    <mergeCell ref="F11:H15"/>
    <mergeCell ref="K11:L11"/>
    <mergeCell ref="B12:D12"/>
  </mergeCells>
  <pageMargins left="0.70866141732283472" right="0.31496062992125984" top="0.59055118110236227" bottom="0" header="0.31496062992125984" footer="0.31496062992125984"/>
  <pageSetup paperSize="9" scale="77" orientation="portrait" horizontalDpi="300" verticalDpi="300" r:id="rId1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967B10-B251-4C5E-BAD9-0B46D3CA1655}">
  <sheetPr codeName="Sheet116">
    <tabColor rgb="FF00B050"/>
    <pageSetUpPr fitToPage="1"/>
  </sheetPr>
  <dimension ref="B1:P45"/>
  <sheetViews>
    <sheetView workbookViewId="0">
      <selection activeCell="B1" sqref="B1:L45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4.54296875" style="24" customWidth="1"/>
    <col min="7" max="7" width="8.54296875" style="24" customWidth="1"/>
    <col min="8" max="8" width="15.54296875" style="24" customWidth="1"/>
    <col min="9" max="9" width="2.1796875" style="24" customWidth="1"/>
    <col min="10" max="10" width="15.54296875" style="24" customWidth="1"/>
    <col min="11" max="11" width="10.54296875" style="24" customWidth="1"/>
    <col min="12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8.5" customHeight="1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203</v>
      </c>
      <c r="J10" s="29" t="s">
        <v>29</v>
      </c>
      <c r="K10" s="452">
        <v>202207021</v>
      </c>
      <c r="L10" s="453"/>
    </row>
    <row r="11" spans="2:12" ht="20.149999999999999" customHeight="1" x14ac:dyDescent="0.45">
      <c r="B11" s="454" t="s">
        <v>2037</v>
      </c>
      <c r="C11" s="455"/>
      <c r="D11" s="456"/>
      <c r="E11" s="30"/>
      <c r="F11" s="457" t="str">
        <f>VLOOKUP(H10,'Delivery Location'!A$4:N$416,2,0)</f>
        <v xml:space="preserve">Koufu - Dim Sum                                    535 Clementi Road Block 51, Level 2 Ngee Ann Polythenic NIC Singapore 599489                    </v>
      </c>
      <c r="G11" s="458"/>
      <c r="H11" s="459"/>
      <c r="J11" s="31" t="s">
        <v>11</v>
      </c>
      <c r="K11" s="466">
        <v>44743</v>
      </c>
      <c r="L11" s="467"/>
    </row>
    <row r="12" spans="2:12" ht="20.149999999999999" customHeight="1" x14ac:dyDescent="0.45">
      <c r="B12" s="468" t="s">
        <v>2139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533</v>
      </c>
      <c r="L12" s="472"/>
    </row>
    <row r="13" spans="2:12" ht="20.149999999999999" customHeight="1" x14ac:dyDescent="0.45">
      <c r="B13" s="468" t="s">
        <v>2024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14</v>
      </c>
      <c r="L13" s="472"/>
    </row>
    <row r="14" spans="2:12" ht="20.149999999999999" customHeight="1" x14ac:dyDescent="0.45">
      <c r="B14" s="468" t="s">
        <v>2025</v>
      </c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463" t="s">
        <v>2026</v>
      </c>
      <c r="C15" s="464"/>
      <c r="D15" s="465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16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16" ht="20.149999999999999" customHeight="1" x14ac:dyDescent="0.45">
      <c r="B18" s="34"/>
      <c r="C18" s="22" t="s">
        <v>1736</v>
      </c>
      <c r="D18" s="508" t="str">
        <f>VLOOKUP(C18,'Sales Master'!B$3:D$499,2,)</f>
        <v>Coconut Milk 椰浆</v>
      </c>
      <c r="E18" s="508"/>
      <c r="F18" s="508"/>
      <c r="G18" s="22">
        <v>4</v>
      </c>
      <c r="H18" s="68" t="str">
        <f>VLOOKUP(C18,'Sales Master'!$B$3:$F$3247,5,0)</f>
        <v>(1L x 12bag)/箱</v>
      </c>
      <c r="I18" s="481" t="str">
        <f>VLOOKUP(C18,'Sales Master'!$B$3:$E$3247,4,0)</f>
        <v>Kara UHT</v>
      </c>
      <c r="J18" s="481"/>
      <c r="K18" s="35">
        <f>VLOOKUP(C18,'Sales Master'!B$3:J$499,9,0)</f>
        <v>42</v>
      </c>
      <c r="L18" s="36">
        <f>K18*G18</f>
        <v>168</v>
      </c>
      <c r="N18" s="225">
        <f>VLOOKUP(C18,'Sales Master'!$B$3:$DA$3038,104,0)</f>
        <v>35.5</v>
      </c>
      <c r="O18" s="225">
        <f>K18-N18</f>
        <v>6.5</v>
      </c>
      <c r="P18" s="225">
        <f>O18*G18</f>
        <v>26</v>
      </c>
    </row>
    <row r="19" spans="2:16" ht="20.149999999999999" customHeight="1" x14ac:dyDescent="0.45">
      <c r="B19" s="34"/>
      <c r="C19" s="22"/>
      <c r="D19" s="508"/>
      <c r="E19" s="508"/>
      <c r="F19" s="508"/>
      <c r="G19" s="22"/>
      <c r="H19" s="68"/>
      <c r="I19" s="481"/>
      <c r="J19" s="481"/>
      <c r="K19" s="35"/>
      <c r="L19" s="36"/>
    </row>
    <row r="20" spans="2:16" ht="20.149999999999999" customHeight="1" x14ac:dyDescent="0.45">
      <c r="B20" s="34"/>
      <c r="C20" s="22"/>
      <c r="D20" s="508"/>
      <c r="E20" s="508"/>
      <c r="F20" s="508"/>
      <c r="G20" s="22"/>
      <c r="H20" s="68"/>
      <c r="I20" s="481"/>
      <c r="J20" s="481"/>
      <c r="K20" s="35"/>
      <c r="L20" s="36"/>
    </row>
    <row r="21" spans="2:16" ht="20.149999999999999" customHeight="1" x14ac:dyDescent="0.45">
      <c r="B21" s="34"/>
      <c r="C21" s="22"/>
      <c r="D21" s="508"/>
      <c r="E21" s="508"/>
      <c r="F21" s="508"/>
      <c r="G21" s="22"/>
      <c r="H21" s="68"/>
      <c r="I21" s="68"/>
      <c r="J21" s="22"/>
      <c r="K21" s="35"/>
      <c r="L21" s="36"/>
    </row>
    <row r="22" spans="2:16" ht="20.149999999999999" customHeight="1" x14ac:dyDescent="0.45">
      <c r="B22" s="34"/>
      <c r="C22" s="22"/>
      <c r="D22" s="508"/>
      <c r="E22" s="508"/>
      <c r="F22" s="508"/>
      <c r="G22" s="22"/>
      <c r="H22" s="68"/>
      <c r="I22" s="68"/>
      <c r="J22" s="22"/>
      <c r="K22" s="35"/>
      <c r="L22" s="36"/>
    </row>
    <row r="23" spans="2:16" ht="20.149999999999999" customHeight="1" x14ac:dyDescent="0.45">
      <c r="B23" s="34"/>
      <c r="C23" s="22"/>
      <c r="D23" s="508"/>
      <c r="E23" s="508"/>
      <c r="F23" s="508"/>
      <c r="G23" s="22"/>
      <c r="H23" s="68"/>
      <c r="I23" s="68"/>
      <c r="J23" s="22"/>
      <c r="K23" s="35"/>
      <c r="L23" s="36"/>
    </row>
    <row r="24" spans="2:16" ht="20.149999999999999" customHeight="1" x14ac:dyDescent="0.45">
      <c r="B24" s="34"/>
      <c r="C24" s="22"/>
      <c r="D24" s="508"/>
      <c r="E24" s="508"/>
      <c r="F24" s="508"/>
      <c r="G24" s="22"/>
      <c r="H24" s="68"/>
      <c r="I24" s="68"/>
      <c r="J24" s="22"/>
      <c r="K24" s="35"/>
      <c r="L24" s="36"/>
    </row>
    <row r="25" spans="2:16" ht="20.149999999999999" customHeight="1" x14ac:dyDescent="0.45">
      <c r="B25" s="34"/>
      <c r="C25" s="22"/>
      <c r="D25" s="508"/>
      <c r="E25" s="508"/>
      <c r="F25" s="508"/>
      <c r="G25" s="22"/>
      <c r="H25" s="68"/>
      <c r="I25" s="68"/>
      <c r="J25" s="22"/>
      <c r="K25" s="35"/>
      <c r="L25" s="36"/>
    </row>
    <row r="26" spans="2:16" ht="20.149999999999999" customHeight="1" x14ac:dyDescent="0.45">
      <c r="B26" s="34"/>
      <c r="C26" s="22"/>
      <c r="D26" s="508"/>
      <c r="E26" s="508"/>
      <c r="F26" s="508"/>
      <c r="G26" s="22"/>
      <c r="H26" s="68"/>
      <c r="I26" s="68"/>
      <c r="J26" s="22"/>
      <c r="K26" s="35"/>
      <c r="L26" s="36"/>
    </row>
    <row r="27" spans="2:16" ht="20.149999999999999" customHeight="1" x14ac:dyDescent="0.45">
      <c r="B27" s="34"/>
      <c r="C27" s="22"/>
      <c r="D27" s="508"/>
      <c r="E27" s="508"/>
      <c r="F27" s="508"/>
      <c r="G27" s="22"/>
      <c r="H27" s="68"/>
      <c r="I27" s="68"/>
      <c r="J27" s="22"/>
      <c r="K27" s="35"/>
      <c r="L27" s="36"/>
    </row>
    <row r="28" spans="2:16" ht="20.149999999999999" customHeight="1" x14ac:dyDescent="0.45">
      <c r="B28" s="34"/>
      <c r="C28" s="22"/>
      <c r="D28" s="508"/>
      <c r="E28" s="508"/>
      <c r="F28" s="508"/>
      <c r="G28" s="22"/>
      <c r="H28" s="68"/>
      <c r="I28" s="68"/>
      <c r="J28" s="22"/>
      <c r="K28" s="35"/>
      <c r="L28" s="36"/>
    </row>
    <row r="29" spans="2:16" ht="20.149999999999999" customHeight="1" x14ac:dyDescent="0.45">
      <c r="B29" s="34"/>
      <c r="C29" s="22"/>
      <c r="D29" s="508"/>
      <c r="E29" s="508"/>
      <c r="F29" s="508"/>
      <c r="G29" s="22"/>
      <c r="H29" s="68"/>
      <c r="I29" s="68"/>
      <c r="J29" s="22"/>
      <c r="K29" s="35"/>
      <c r="L29" s="36"/>
    </row>
    <row r="30" spans="2:16" ht="20.149999999999999" customHeight="1" x14ac:dyDescent="0.45">
      <c r="B30" s="34"/>
      <c r="C30" s="22"/>
      <c r="D30" s="508"/>
      <c r="E30" s="508"/>
      <c r="F30" s="508"/>
      <c r="G30" s="22"/>
      <c r="H30" s="22"/>
      <c r="I30" s="22"/>
      <c r="J30" s="22"/>
      <c r="K30" s="35"/>
      <c r="L30" s="36"/>
    </row>
    <row r="31" spans="2:16" ht="20.149999999999999" customHeight="1" thickBot="1" x14ac:dyDescent="0.5">
      <c r="B31" s="37"/>
      <c r="C31" s="38"/>
      <c r="D31" s="509"/>
      <c r="E31" s="509"/>
      <c r="F31" s="509"/>
      <c r="G31" s="38"/>
      <c r="H31" s="38"/>
      <c r="I31" s="38"/>
      <c r="J31" s="38"/>
      <c r="K31" s="39"/>
      <c r="L31" s="40"/>
    </row>
    <row r="32" spans="2:16" ht="20.149999999999999" customHeight="1" thickBot="1" x14ac:dyDescent="0.5">
      <c r="B32" s="41"/>
      <c r="L32" s="42"/>
    </row>
    <row r="33" spans="2:13" ht="20.149999999999999" customHeight="1" x14ac:dyDescent="0.45">
      <c r="B33" s="11" t="s">
        <v>18</v>
      </c>
      <c r="C33" s="7"/>
      <c r="D33" s="7"/>
      <c r="E33" s="7"/>
      <c r="F33" s="7"/>
      <c r="G33" s="7"/>
      <c r="H33" s="7"/>
      <c r="I33" s="7"/>
      <c r="J33" s="510" t="s">
        <v>15</v>
      </c>
      <c r="K33" s="511"/>
      <c r="L33" s="43">
        <f>SUM(L17:L30)</f>
        <v>168</v>
      </c>
      <c r="M33" s="76">
        <f>SUM(P18:P30)</f>
        <v>26</v>
      </c>
    </row>
    <row r="34" spans="2:13" ht="20.149999999999999" customHeight="1" x14ac:dyDescent="0.45">
      <c r="B34" s="11" t="s">
        <v>19</v>
      </c>
      <c r="C34" s="7"/>
      <c r="D34" s="7"/>
      <c r="E34" s="7"/>
      <c r="F34" s="7"/>
      <c r="G34" s="7"/>
      <c r="H34" s="7"/>
      <c r="I34" s="7"/>
      <c r="J34" s="44" t="s">
        <v>22</v>
      </c>
      <c r="K34" s="45"/>
      <c r="L34" s="46">
        <f>L33*K34</f>
        <v>0</v>
      </c>
    </row>
    <row r="35" spans="2:13" ht="20.149999999999999" customHeight="1" x14ac:dyDescent="0.45">
      <c r="B35" s="11" t="s">
        <v>20</v>
      </c>
      <c r="C35" s="7"/>
      <c r="D35" s="7"/>
      <c r="E35" s="7"/>
      <c r="F35" s="7"/>
      <c r="G35" s="7"/>
      <c r="H35" s="7"/>
      <c r="I35" s="7"/>
      <c r="J35" s="486" t="s">
        <v>21</v>
      </c>
      <c r="K35" s="487"/>
      <c r="L35" s="46">
        <f>L33-L34</f>
        <v>168</v>
      </c>
    </row>
    <row r="36" spans="2:13" ht="20.149999999999999" customHeight="1" x14ac:dyDescent="0.45">
      <c r="B36" s="11" t="s">
        <v>24</v>
      </c>
      <c r="C36" s="7"/>
      <c r="D36" s="7"/>
      <c r="E36" s="7"/>
      <c r="F36" s="7"/>
      <c r="G36" s="7"/>
      <c r="H36" s="7"/>
      <c r="I36" s="7"/>
      <c r="J36" s="150" t="s">
        <v>17</v>
      </c>
      <c r="K36" s="151">
        <v>7.0000000000000007E-2</v>
      </c>
      <c r="L36" s="47">
        <f>L35*K36</f>
        <v>11.760000000000002</v>
      </c>
    </row>
    <row r="37" spans="2:13" ht="20.149999999999999" customHeight="1" thickBot="1" x14ac:dyDescent="0.5">
      <c r="B37" s="11" t="s">
        <v>25</v>
      </c>
      <c r="C37" s="7"/>
      <c r="D37" s="7"/>
      <c r="E37" s="7"/>
      <c r="F37" s="7"/>
      <c r="G37" s="7"/>
      <c r="H37" s="7"/>
      <c r="I37" s="7"/>
      <c r="J37" s="488" t="s">
        <v>23</v>
      </c>
      <c r="K37" s="489"/>
      <c r="L37" s="48">
        <f>L35+L36</f>
        <v>179.76</v>
      </c>
    </row>
    <row r="38" spans="2:13" ht="20.149999999999999" customHeight="1" x14ac:dyDescent="0.45">
      <c r="B38" s="11" t="s">
        <v>26</v>
      </c>
      <c r="C38" s="7"/>
      <c r="D38" s="7"/>
      <c r="E38" s="7"/>
      <c r="F38" s="7"/>
      <c r="G38" s="7"/>
      <c r="H38" s="7"/>
      <c r="I38" s="7"/>
      <c r="L38" s="42"/>
    </row>
    <row r="39" spans="2:13" ht="20.149999999999999" customHeight="1" x14ac:dyDescent="0.45">
      <c r="B39" s="41"/>
      <c r="L39" s="42"/>
    </row>
    <row r="40" spans="2:13" ht="20.149999999999999" customHeight="1" x14ac:dyDescent="0.45">
      <c r="B40" s="41"/>
      <c r="L40" s="42"/>
    </row>
    <row r="41" spans="2:13" ht="20.149999999999999" customHeight="1" x14ac:dyDescent="0.45">
      <c r="B41" s="41"/>
      <c r="L41" s="42"/>
    </row>
    <row r="42" spans="2:13" ht="20.149999999999999" customHeight="1" x14ac:dyDescent="0.45">
      <c r="B42" s="41"/>
      <c r="L42" s="42"/>
    </row>
    <row r="43" spans="2:13" ht="20.149999999999999" customHeight="1" x14ac:dyDescent="0.45">
      <c r="B43" s="49"/>
      <c r="C43" s="50"/>
      <c r="D43" s="50"/>
      <c r="J43" s="50"/>
      <c r="K43" s="50"/>
      <c r="L43" s="51"/>
    </row>
    <row r="44" spans="2:13" ht="20.149999999999999" customHeight="1" x14ac:dyDescent="0.45">
      <c r="B44" s="41" t="s">
        <v>27</v>
      </c>
      <c r="J44" s="24" t="s">
        <v>28</v>
      </c>
      <c r="L44" s="42"/>
    </row>
    <row r="45" spans="2:13" ht="19" thickBot="1" x14ac:dyDescent="0.5">
      <c r="B45" s="52"/>
      <c r="C45" s="53"/>
      <c r="D45" s="53"/>
      <c r="E45" s="53"/>
      <c r="F45" s="53"/>
      <c r="G45" s="53"/>
      <c r="H45" s="53"/>
      <c r="I45" s="53"/>
      <c r="J45" s="53"/>
      <c r="K45" s="53"/>
      <c r="L45" s="54"/>
    </row>
  </sheetData>
  <mergeCells count="35">
    <mergeCell ref="J37:K37"/>
    <mergeCell ref="D17:F17"/>
    <mergeCell ref="I17:J17"/>
    <mergeCell ref="I18:J18"/>
    <mergeCell ref="D28:F28"/>
    <mergeCell ref="D29:F29"/>
    <mergeCell ref="D30:F30"/>
    <mergeCell ref="D31:F31"/>
    <mergeCell ref="J33:K33"/>
    <mergeCell ref="J35:K35"/>
    <mergeCell ref="D23:F23"/>
    <mergeCell ref="D24:F24"/>
    <mergeCell ref="D18:F18"/>
    <mergeCell ref="D19:F19"/>
    <mergeCell ref="D20:F20"/>
    <mergeCell ref="D21:F21"/>
    <mergeCell ref="I19:J19"/>
    <mergeCell ref="I20:J20"/>
    <mergeCell ref="D27:F27"/>
    <mergeCell ref="D22:F22"/>
    <mergeCell ref="D25:F25"/>
    <mergeCell ref="D26:F26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</mergeCells>
  <pageMargins left="0.70866141732283505" right="0.31496062992126" top="0.59055118110236204" bottom="0" header="0.31496062992126" footer="0.31496062992126"/>
  <pageSetup paperSize="9" scale="77" orientation="portrait" horizontalDpi="300" verticalDpi="300" r:id="rId1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A7E52E-1CE2-4948-ABD6-7360554EF515}">
  <sheetPr codeName="Sheet138">
    <tabColor theme="0" tint="-0.499984740745262"/>
    <pageSetUpPr fitToPage="1"/>
  </sheetPr>
  <dimension ref="B1:P43"/>
  <sheetViews>
    <sheetView topLeftCell="B1" workbookViewId="0">
      <selection activeCell="D34" sqref="D34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6.54296875" style="24" customWidth="1"/>
    <col min="7" max="7" width="8.54296875" style="24" customWidth="1"/>
    <col min="8" max="8" width="18.81640625" style="24" customWidth="1"/>
    <col min="9" max="9" width="1.1796875" style="24" customWidth="1"/>
    <col min="10" max="10" width="15.54296875" style="24" customWidth="1"/>
    <col min="11" max="11" width="11.1796875" style="24" customWidth="1"/>
    <col min="12" max="12" width="12.54296875" style="24" customWidth="1"/>
    <col min="13" max="16384" width="12.54296875" style="24"/>
  </cols>
  <sheetData>
    <row r="1" spans="2:15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5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5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5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5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5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5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5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5" ht="19" thickBot="1" x14ac:dyDescent="0.5">
      <c r="B9" s="23"/>
    </row>
    <row r="10" spans="2:15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231</v>
      </c>
      <c r="J10" s="29" t="s">
        <v>29</v>
      </c>
      <c r="K10" s="452">
        <v>202208219</v>
      </c>
      <c r="L10" s="453"/>
    </row>
    <row r="11" spans="2:15" ht="20.149999999999999" customHeight="1" x14ac:dyDescent="0.45">
      <c r="B11" s="454" t="s">
        <v>247</v>
      </c>
      <c r="C11" s="455"/>
      <c r="D11" s="456"/>
      <c r="E11" s="30"/>
      <c r="F11" s="457" t="str">
        <f>VLOOKUP(H10,'Delivery Location'!A$4:N$416,2,0)</f>
        <v>梅林                                                             Block 425, #06-409 Tampines Street 41, Singapore 520425</v>
      </c>
      <c r="G11" s="458"/>
      <c r="H11" s="459"/>
      <c r="J11" s="31" t="s">
        <v>11</v>
      </c>
      <c r="K11" s="466">
        <v>44785</v>
      </c>
      <c r="L11" s="467"/>
    </row>
    <row r="12" spans="2:15" ht="20.149999999999999" customHeight="1" x14ac:dyDescent="0.45">
      <c r="B12" s="468" t="s">
        <v>566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533</v>
      </c>
      <c r="L12" s="472"/>
    </row>
    <row r="13" spans="2:15" ht="20.149999999999999" customHeight="1" x14ac:dyDescent="0.45">
      <c r="B13" s="468" t="s">
        <v>754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14</v>
      </c>
      <c r="L13" s="472"/>
      <c r="N13" s="24" t="s">
        <v>1813</v>
      </c>
      <c r="O13" s="24" t="s">
        <v>1388</v>
      </c>
    </row>
    <row r="14" spans="2:15" ht="20.149999999999999" customHeight="1" x14ac:dyDescent="0.45">
      <c r="B14" s="468" t="s">
        <v>567</v>
      </c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5" ht="18" customHeight="1" thickBot="1" x14ac:dyDescent="0.5">
      <c r="B15" s="552"/>
      <c r="C15" s="474"/>
      <c r="D15" s="475"/>
      <c r="E15" s="26"/>
      <c r="F15" s="463"/>
      <c r="G15" s="464"/>
      <c r="H15" s="465"/>
      <c r="J15" s="32" t="s">
        <v>13</v>
      </c>
      <c r="K15" s="203" t="s">
        <v>1215</v>
      </c>
      <c r="L15" s="181"/>
    </row>
    <row r="16" spans="2:15" ht="19" thickBot="1" x14ac:dyDescent="0.5">
      <c r="J16" s="22"/>
    </row>
    <row r="17" spans="2:16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8" t="s">
        <v>1261</v>
      </c>
      <c r="I17" s="478" t="s">
        <v>1262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16" ht="20.149999999999999" customHeight="1" x14ac:dyDescent="0.45">
      <c r="B18" s="34"/>
      <c r="C18" s="22" t="s">
        <v>1689</v>
      </c>
      <c r="D18" s="508" t="str">
        <f>VLOOKUP(C18,'Sales Master'!B$3:D$499,2,)</f>
        <v>Sea Coconut海底椰</v>
      </c>
      <c r="E18" s="508"/>
      <c r="F18" s="508"/>
      <c r="G18" s="22">
        <v>1</v>
      </c>
      <c r="H18" s="391" t="str">
        <f>VLOOKUP(C18,'Sales Master'!$B$3:$F$3247,5,0)</f>
        <v>1 Can X A10</v>
      </c>
      <c r="I18" s="512" t="str">
        <f>VLOOKUP(C18,'Sales Master'!$B$3:$E$3247,4,0)</f>
        <v>Chefs</v>
      </c>
      <c r="J18" s="512"/>
      <c r="K18" s="94">
        <f>VLOOKUP(C18,'Sales Master'!B$3:AB$499,27,0)</f>
        <v>18</v>
      </c>
      <c r="L18" s="77">
        <f>K18*G18</f>
        <v>18</v>
      </c>
      <c r="M18" s="96"/>
      <c r="N18" s="225">
        <f>VLOOKUP(C18,'Sales Master'!$B$3:$DA$3038,104,0)</f>
        <v>14.333333333333334</v>
      </c>
      <c r="O18" s="225">
        <f>K18-N18</f>
        <v>3.6666666666666661</v>
      </c>
      <c r="P18" s="225">
        <f>O18*G18</f>
        <v>3.6666666666666661</v>
      </c>
    </row>
    <row r="19" spans="2:16" ht="20.149999999999999" customHeight="1" x14ac:dyDescent="0.45">
      <c r="B19" s="34"/>
      <c r="C19" s="22" t="s">
        <v>1691</v>
      </c>
      <c r="D19" s="508" t="str">
        <f>VLOOKUP(C19,'Sales Master'!B$3:D$499,2,)</f>
        <v>Nata De Coco椰果芊 15mm</v>
      </c>
      <c r="E19" s="508"/>
      <c r="F19" s="508"/>
      <c r="G19" s="22">
        <v>1</v>
      </c>
      <c r="H19" s="391" t="str">
        <f>VLOOKUP(C19,'Sales Master'!$B$3:$F$3247,5,0)</f>
        <v>1 Can X A10</v>
      </c>
      <c r="I19" s="512" t="str">
        <f>VLOOKUP(C19,'Sales Master'!$B$3:$E$3247,4,0)</f>
        <v>Chefs</v>
      </c>
      <c r="J19" s="512"/>
      <c r="K19" s="94">
        <f>VLOOKUP(C19,'Sales Master'!B$3:AB$499,27,0)</f>
        <v>9.5</v>
      </c>
      <c r="L19" s="77">
        <f t="shared" ref="L19:L20" si="0">K19*G19</f>
        <v>9.5</v>
      </c>
      <c r="M19" s="96"/>
      <c r="N19" s="225">
        <f>VLOOKUP(C19,'Sales Master'!$B$3:$DA$3038,104,0)</f>
        <v>6.916666666666667</v>
      </c>
      <c r="O19" s="225">
        <f t="shared" ref="O19:O20" si="1">K19-N19</f>
        <v>2.583333333333333</v>
      </c>
      <c r="P19" s="225">
        <f t="shared" ref="P19:P20" si="2">O19*G19</f>
        <v>2.583333333333333</v>
      </c>
    </row>
    <row r="20" spans="2:16" ht="20.149999999999999" customHeight="1" x14ac:dyDescent="0.45">
      <c r="B20" s="34"/>
      <c r="C20" s="22" t="s">
        <v>1705</v>
      </c>
      <c r="D20" s="508" t="str">
        <f>VLOOKUP(C20,'Sales Master'!B$3:D$499,2,)</f>
        <v>Fruit Cocktail杂果</v>
      </c>
      <c r="E20" s="508"/>
      <c r="F20" s="508"/>
      <c r="G20" s="22">
        <v>1</v>
      </c>
      <c r="H20" s="391" t="str">
        <f>VLOOKUP(C20,'Sales Master'!$B$3:$F$3247,5,0)</f>
        <v>(820gm x 12)/箱</v>
      </c>
      <c r="I20" s="512" t="str">
        <f>VLOOKUP(C20,'Sales Master'!$B$3:$E$3247,4,0)</f>
        <v>Statue</v>
      </c>
      <c r="J20" s="512"/>
      <c r="K20" s="94">
        <f>VLOOKUP(C20,'Sales Master'!B$3:AB$499,27,0)</f>
        <v>33</v>
      </c>
      <c r="L20" s="77">
        <f t="shared" si="0"/>
        <v>33</v>
      </c>
      <c r="M20" s="96"/>
      <c r="N20" s="225">
        <f>VLOOKUP(C20,'Sales Master'!$B$3:$DA$3038,104,0)</f>
        <v>27</v>
      </c>
      <c r="O20" s="225">
        <f t="shared" si="1"/>
        <v>6</v>
      </c>
      <c r="P20" s="225">
        <f t="shared" si="2"/>
        <v>6</v>
      </c>
    </row>
    <row r="21" spans="2:16" ht="20.149999999999999" customHeight="1" x14ac:dyDescent="0.45">
      <c r="B21" s="34"/>
      <c r="C21" s="22"/>
      <c r="G21" s="22"/>
      <c r="H21" s="389"/>
      <c r="I21" s="512"/>
      <c r="J21" s="512"/>
      <c r="K21" s="94"/>
      <c r="L21" s="77"/>
      <c r="M21" s="78"/>
      <c r="N21" s="225"/>
      <c r="O21" s="225"/>
      <c r="P21" s="225"/>
    </row>
    <row r="22" spans="2:16" ht="20.149999999999999" customHeight="1" x14ac:dyDescent="0.45">
      <c r="B22" s="34"/>
      <c r="C22" s="22"/>
      <c r="D22" s="508"/>
      <c r="E22" s="508"/>
      <c r="F22" s="508"/>
      <c r="G22" s="22"/>
      <c r="H22" s="389"/>
      <c r="I22" s="512"/>
      <c r="J22" s="512"/>
      <c r="K22" s="94"/>
      <c r="L22" s="77"/>
      <c r="M22" s="78"/>
      <c r="N22" s="225"/>
      <c r="O22" s="225"/>
      <c r="P22" s="225"/>
    </row>
    <row r="23" spans="2:16" ht="20.149999999999999" customHeight="1" x14ac:dyDescent="0.45">
      <c r="B23" s="34"/>
      <c r="C23" s="22"/>
      <c r="D23" s="508"/>
      <c r="E23" s="508"/>
      <c r="F23" s="508"/>
      <c r="G23" s="22"/>
      <c r="H23" s="389"/>
      <c r="I23" s="481"/>
      <c r="J23" s="481"/>
      <c r="K23" s="94"/>
      <c r="L23" s="77"/>
      <c r="M23" s="78"/>
      <c r="N23" s="225"/>
      <c r="O23" s="225"/>
      <c r="P23" s="225"/>
    </row>
    <row r="24" spans="2:16" ht="20.149999999999999" customHeight="1" x14ac:dyDescent="0.45">
      <c r="B24" s="34"/>
      <c r="C24" s="22"/>
      <c r="D24" s="508"/>
      <c r="E24" s="508"/>
      <c r="F24" s="508"/>
      <c r="G24" s="22"/>
      <c r="H24" s="389"/>
      <c r="I24" s="481"/>
      <c r="J24" s="481"/>
      <c r="K24" s="94"/>
      <c r="L24" s="77"/>
      <c r="M24" s="78"/>
      <c r="N24" s="225"/>
      <c r="O24" s="225"/>
      <c r="P24" s="225"/>
    </row>
    <row r="25" spans="2:16" ht="20.149999999999999" customHeight="1" x14ac:dyDescent="0.45">
      <c r="B25" s="34"/>
      <c r="C25" s="22"/>
      <c r="D25" s="508"/>
      <c r="E25" s="508"/>
      <c r="F25" s="508"/>
      <c r="G25" s="22"/>
      <c r="H25" s="389"/>
      <c r="I25" s="481"/>
      <c r="J25" s="481"/>
      <c r="K25" s="94"/>
      <c r="L25" s="77"/>
      <c r="M25" s="78"/>
      <c r="N25" s="225"/>
      <c r="O25" s="225"/>
      <c r="P25" s="225"/>
    </row>
    <row r="26" spans="2:16" ht="20.149999999999999" customHeight="1" x14ac:dyDescent="0.45">
      <c r="B26" s="34"/>
      <c r="C26" s="411" t="s">
        <v>2246</v>
      </c>
      <c r="D26" s="230"/>
      <c r="E26" s="230"/>
      <c r="F26" s="230"/>
      <c r="G26" s="90"/>
      <c r="H26" s="68"/>
      <c r="I26" s="68"/>
      <c r="J26" s="68"/>
      <c r="K26" s="394"/>
      <c r="L26" s="77"/>
      <c r="M26" s="78"/>
      <c r="N26" s="225"/>
      <c r="O26" s="225"/>
      <c r="P26" s="225"/>
    </row>
    <row r="27" spans="2:16" ht="20.149999999999999" customHeight="1" x14ac:dyDescent="0.45">
      <c r="B27" s="34"/>
      <c r="C27" s="22" t="s">
        <v>1566</v>
      </c>
      <c r="D27" s="480" t="str">
        <f>VLOOKUP(C27,'[1]Sales Master'!B$3:D$603,2,0)</f>
        <v>Chin Chow  仙 草</v>
      </c>
      <c r="E27" s="480"/>
      <c r="F27" s="480"/>
      <c r="G27" s="90">
        <v>1</v>
      </c>
      <c r="H27" s="68" t="str">
        <f>VLOOKUP(C27,'[1]Sales Master'!B$3:F$896,5,0)</f>
        <v>5KGS/PKT</v>
      </c>
      <c r="I27" s="481" t="str">
        <f>VLOOKUP(C27,'[1]Sales Master'!B$3:E$896,4,0)</f>
        <v>TSM</v>
      </c>
      <c r="J27" s="481"/>
      <c r="K27" s="394">
        <v>5</v>
      </c>
      <c r="L27" s="77"/>
      <c r="M27" s="78"/>
    </row>
    <row r="28" spans="2:16" ht="20.149999999999999" customHeight="1" x14ac:dyDescent="0.45">
      <c r="B28" s="34"/>
      <c r="G28" s="22"/>
      <c r="H28" s="68"/>
      <c r="K28" s="94"/>
      <c r="L28" s="77"/>
    </row>
    <row r="29" spans="2:16" ht="20.149999999999999" customHeight="1" thickBot="1" x14ac:dyDescent="0.5">
      <c r="B29" s="37"/>
      <c r="C29" s="38"/>
      <c r="D29" s="509"/>
      <c r="E29" s="509"/>
      <c r="F29" s="509"/>
      <c r="G29" s="38"/>
      <c r="H29" s="69"/>
      <c r="I29" s="451"/>
      <c r="J29" s="451"/>
      <c r="K29" s="39"/>
      <c r="L29" s="40"/>
    </row>
    <row r="30" spans="2:16" ht="20.149999999999999" customHeight="1" thickBot="1" x14ac:dyDescent="0.5">
      <c r="B30" s="41"/>
      <c r="L30" s="42"/>
    </row>
    <row r="31" spans="2:16" ht="20.149999999999999" customHeight="1" x14ac:dyDescent="0.45">
      <c r="B31" s="11" t="s">
        <v>18</v>
      </c>
      <c r="C31" s="7"/>
      <c r="D31" s="7"/>
      <c r="E31" s="7"/>
      <c r="F31" s="7"/>
      <c r="G31" s="7"/>
      <c r="H31" s="7"/>
      <c r="I31" s="7"/>
      <c r="J31" s="510" t="s">
        <v>15</v>
      </c>
      <c r="K31" s="511"/>
      <c r="L31" s="43">
        <f>SUM(L17:L28)</f>
        <v>60.5</v>
      </c>
      <c r="M31" s="76">
        <f>SUM(P18:P28)</f>
        <v>12.25</v>
      </c>
      <c r="N31" s="201">
        <f>M31/L31</f>
        <v>0.2024793388429752</v>
      </c>
    </row>
    <row r="32" spans="2:16" ht="20.149999999999999" customHeight="1" x14ac:dyDescent="0.45">
      <c r="B32" s="11" t="s">
        <v>19</v>
      </c>
      <c r="C32" s="7"/>
      <c r="D32" s="7"/>
      <c r="E32" s="7"/>
      <c r="F32" s="7"/>
      <c r="G32" s="7"/>
      <c r="H32" s="7"/>
      <c r="I32" s="7"/>
      <c r="J32" s="44" t="s">
        <v>22</v>
      </c>
      <c r="K32" s="45"/>
      <c r="L32" s="46">
        <f>L31*K32</f>
        <v>0</v>
      </c>
    </row>
    <row r="33" spans="2:12" ht="20.149999999999999" customHeight="1" x14ac:dyDescent="0.45">
      <c r="B33" s="11" t="s">
        <v>20</v>
      </c>
      <c r="C33" s="7"/>
      <c r="D33" s="7"/>
      <c r="E33" s="7"/>
      <c r="F33" s="7"/>
      <c r="G33" s="7"/>
      <c r="H33" s="7"/>
      <c r="I33" s="7"/>
      <c r="J33" s="486" t="s">
        <v>21</v>
      </c>
      <c r="K33" s="487"/>
      <c r="L33" s="46">
        <f>L31-L32</f>
        <v>60.5</v>
      </c>
    </row>
    <row r="34" spans="2:12" ht="20.149999999999999" customHeight="1" x14ac:dyDescent="0.45">
      <c r="B34" s="11" t="s">
        <v>24</v>
      </c>
      <c r="C34" s="7"/>
      <c r="D34" s="7"/>
      <c r="E34" s="7"/>
      <c r="F34" s="7"/>
      <c r="G34" s="7"/>
      <c r="H34" s="7"/>
      <c r="I34" s="7"/>
      <c r="J34" s="150" t="s">
        <v>17</v>
      </c>
      <c r="K34" s="151">
        <v>7.0000000000000007E-2</v>
      </c>
      <c r="L34" s="47">
        <f>L33*K34</f>
        <v>4.2350000000000003</v>
      </c>
    </row>
    <row r="35" spans="2:12" ht="20.149999999999999" customHeight="1" thickBot="1" x14ac:dyDescent="0.5">
      <c r="B35" s="11" t="s">
        <v>25</v>
      </c>
      <c r="C35" s="7"/>
      <c r="D35" s="7"/>
      <c r="E35" s="7"/>
      <c r="F35" s="7"/>
      <c r="G35" s="7"/>
      <c r="H35" s="7"/>
      <c r="I35" s="7"/>
      <c r="J35" s="488" t="s">
        <v>23</v>
      </c>
      <c r="K35" s="489"/>
      <c r="L35" s="48">
        <f>L33+L34</f>
        <v>64.734999999999999</v>
      </c>
    </row>
    <row r="36" spans="2:12" ht="20.149999999999999" customHeight="1" x14ac:dyDescent="0.45">
      <c r="B36" s="11" t="s">
        <v>26</v>
      </c>
      <c r="C36" s="7"/>
      <c r="D36" s="7"/>
      <c r="E36" s="7"/>
      <c r="F36" s="7"/>
      <c r="G36" s="7"/>
      <c r="H36" s="7"/>
      <c r="I36" s="7"/>
      <c r="L36" s="42"/>
    </row>
    <row r="37" spans="2:12" ht="20.149999999999999" customHeight="1" x14ac:dyDescent="0.45">
      <c r="B37" s="41"/>
      <c r="L37" s="42"/>
    </row>
    <row r="38" spans="2:12" ht="20.149999999999999" customHeight="1" x14ac:dyDescent="0.45">
      <c r="B38" s="41"/>
      <c r="L38" s="42"/>
    </row>
    <row r="39" spans="2:12" ht="20.149999999999999" customHeight="1" x14ac:dyDescent="0.45">
      <c r="B39" s="41"/>
      <c r="L39" s="42"/>
    </row>
    <row r="40" spans="2:12" ht="20.149999999999999" customHeight="1" x14ac:dyDescent="0.45">
      <c r="B40" s="41"/>
      <c r="L40" s="42"/>
    </row>
    <row r="41" spans="2:12" ht="20.149999999999999" customHeight="1" x14ac:dyDescent="0.45">
      <c r="B41" s="49"/>
      <c r="C41" s="50"/>
      <c r="D41" s="50"/>
      <c r="J41" s="50"/>
      <c r="K41" s="50"/>
      <c r="L41" s="51"/>
    </row>
    <row r="42" spans="2:12" ht="20.149999999999999" customHeight="1" x14ac:dyDescent="0.45">
      <c r="B42" s="41" t="s">
        <v>27</v>
      </c>
      <c r="J42" s="24" t="s">
        <v>28</v>
      </c>
      <c r="L42" s="42"/>
    </row>
    <row r="43" spans="2:12" ht="19" thickBot="1" x14ac:dyDescent="0.5">
      <c r="B43" s="52"/>
      <c r="C43" s="53"/>
      <c r="D43" s="53"/>
      <c r="E43" s="53"/>
      <c r="F43" s="53"/>
      <c r="G43" s="53"/>
      <c r="H43" s="53"/>
      <c r="I43" s="53"/>
      <c r="J43" s="53"/>
      <c r="K43" s="53"/>
      <c r="L43" s="54"/>
    </row>
  </sheetData>
  <mergeCells count="36">
    <mergeCell ref="J35:K35"/>
    <mergeCell ref="D27:F27"/>
    <mergeCell ref="I27:J27"/>
    <mergeCell ref="D29:F29"/>
    <mergeCell ref="I29:J29"/>
    <mergeCell ref="J31:K31"/>
    <mergeCell ref="J33:K33"/>
    <mergeCell ref="D20:F20"/>
    <mergeCell ref="I20:J20"/>
    <mergeCell ref="D25:F25"/>
    <mergeCell ref="I25:J25"/>
    <mergeCell ref="I21:J21"/>
    <mergeCell ref="D22:F22"/>
    <mergeCell ref="I22:J22"/>
    <mergeCell ref="D24:F24"/>
    <mergeCell ref="D23:F23"/>
    <mergeCell ref="I23:J23"/>
    <mergeCell ref="I24:J24"/>
    <mergeCell ref="D17:F17"/>
    <mergeCell ref="I17:J17"/>
    <mergeCell ref="D18:F18"/>
    <mergeCell ref="I18:J18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</mergeCells>
  <conditionalFormatting sqref="C26:C27">
    <cfRule type="duplicateValues" dxfId="2" priority="1"/>
  </conditionalFormatting>
  <pageMargins left="0.70866141732283472" right="0.31496062992125984" top="0.59055118110236227" bottom="0" header="0.31496062992125984" footer="0.31496062992125984"/>
  <pageSetup paperSize="9" scale="74" orientation="portrait" horizontalDpi="300" verticalDpi="300" r:id="rId1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61109-E350-4442-8876-CBC301BD98A4}">
  <sheetPr codeName="Sheet158">
    <tabColor rgb="FF7030A0"/>
    <pageSetUpPr fitToPage="1"/>
  </sheetPr>
  <dimension ref="B1:P40"/>
  <sheetViews>
    <sheetView workbookViewId="0">
      <selection activeCell="B1" sqref="B1:L8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6.54296875" style="24" customWidth="1"/>
    <col min="7" max="7" width="8.54296875" style="24" customWidth="1"/>
    <col min="8" max="8" width="12.54296875" style="24" customWidth="1"/>
    <col min="9" max="9" width="2.54296875" style="24" customWidth="1"/>
    <col min="10" max="10" width="15.54296875" style="24" customWidth="1"/>
    <col min="11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222</v>
      </c>
      <c r="J10" s="29" t="s">
        <v>29</v>
      </c>
      <c r="K10" s="452">
        <v>202207351</v>
      </c>
      <c r="L10" s="453"/>
    </row>
    <row r="11" spans="2:12" ht="20.149999999999999" customHeight="1" x14ac:dyDescent="0.45">
      <c r="B11" s="454" t="s">
        <v>560</v>
      </c>
      <c r="C11" s="455"/>
      <c r="D11" s="456"/>
      <c r="E11" s="30"/>
      <c r="F11" s="457" t="str">
        <f>VLOOKUP(H10,'Delivery Location'!A$4:N$416,2,0)</f>
        <v>Tan Soon Mui Food Industries                       8, Woodlands Terrace. Singapore 738433.</v>
      </c>
      <c r="G11" s="458"/>
      <c r="H11" s="459"/>
      <c r="J11" s="31" t="s">
        <v>11</v>
      </c>
      <c r="K11" s="466">
        <v>44763</v>
      </c>
      <c r="L11" s="467"/>
    </row>
    <row r="12" spans="2:12" ht="20.149999999999999" customHeight="1" x14ac:dyDescent="0.45">
      <c r="B12" s="468" t="s">
        <v>561</v>
      </c>
      <c r="C12" s="469"/>
      <c r="D12" s="470"/>
      <c r="E12" s="30"/>
      <c r="F12" s="460"/>
      <c r="G12" s="461"/>
      <c r="H12" s="462"/>
      <c r="J12" s="31" t="s">
        <v>171</v>
      </c>
      <c r="K12" s="471"/>
      <c r="L12" s="472"/>
    </row>
    <row r="13" spans="2:12" ht="20.149999999999999" customHeight="1" x14ac:dyDescent="0.45">
      <c r="B13" s="468" t="s">
        <v>562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14</v>
      </c>
      <c r="L13" s="472"/>
    </row>
    <row r="14" spans="2:12" ht="20.149999999999999" customHeight="1" x14ac:dyDescent="0.45">
      <c r="B14" s="468" t="s">
        <v>577</v>
      </c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552" t="s">
        <v>578</v>
      </c>
      <c r="C15" s="474"/>
      <c r="D15" s="475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16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16" ht="20.149999999999999" customHeight="1" x14ac:dyDescent="0.45">
      <c r="B18" s="34"/>
      <c r="C18" s="22" t="s">
        <v>1449</v>
      </c>
      <c r="D18" s="508" t="str">
        <f>VLOOKUP(C18,'Sales Master'!B$3:D$499,2,)</f>
        <v>Strawberry Puree草莓</v>
      </c>
      <c r="E18" s="508"/>
      <c r="F18" s="508"/>
      <c r="G18" s="22">
        <v>30</v>
      </c>
      <c r="H18" s="68" t="str">
        <f>VLOOKUP(C18,'Sales Master'!$B$3:$F$755,5,0)</f>
        <v>BOX/盒</v>
      </c>
      <c r="I18" s="481" t="str">
        <f>VLOOKUP(C18,'Sales Master'!$B$3:$E$755,4,0)</f>
        <v>DO!</v>
      </c>
      <c r="J18" s="481"/>
      <c r="K18" s="98">
        <f>VLOOKUP(C18,'Sales Master'!B3:$W$3199,22,0)</f>
        <v>8</v>
      </c>
      <c r="L18" s="77">
        <f>K18*G18</f>
        <v>240</v>
      </c>
      <c r="M18" s="96"/>
      <c r="N18" s="225">
        <f>VLOOKUP(C18,'Sales Master'!$B$3:$DA$3038,104,0)</f>
        <v>3</v>
      </c>
      <c r="O18" s="225">
        <f>K18-N18</f>
        <v>5</v>
      </c>
      <c r="P18" s="225">
        <f>O18*G18</f>
        <v>150</v>
      </c>
    </row>
    <row r="19" spans="2:16" ht="20.149999999999999" customHeight="1" x14ac:dyDescent="0.45">
      <c r="B19" s="34"/>
      <c r="C19" s="22"/>
      <c r="D19" s="508"/>
      <c r="E19" s="508"/>
      <c r="F19" s="508"/>
      <c r="G19" s="22"/>
      <c r="H19" s="68"/>
      <c r="I19" s="481"/>
      <c r="J19" s="481"/>
      <c r="K19" s="98"/>
      <c r="L19" s="77"/>
      <c r="M19" s="78"/>
      <c r="N19" s="225"/>
      <c r="O19" s="225"/>
      <c r="P19" s="225"/>
    </row>
    <row r="20" spans="2:16" ht="20.149999999999999" customHeight="1" x14ac:dyDescent="0.45">
      <c r="B20" s="34"/>
      <c r="C20" s="22"/>
      <c r="D20" s="508"/>
      <c r="E20" s="508"/>
      <c r="F20" s="508"/>
      <c r="G20" s="22"/>
      <c r="H20" s="68"/>
      <c r="I20" s="481"/>
      <c r="J20" s="481"/>
      <c r="K20" s="94"/>
      <c r="L20" s="77"/>
      <c r="M20" s="78"/>
    </row>
    <row r="21" spans="2:16" ht="20.149999999999999" customHeight="1" x14ac:dyDescent="0.45">
      <c r="B21" s="34"/>
      <c r="C21" s="22"/>
      <c r="D21" s="508"/>
      <c r="E21" s="508"/>
      <c r="F21" s="508"/>
      <c r="G21" s="22"/>
      <c r="H21" s="68"/>
      <c r="I21" s="450"/>
      <c r="J21" s="450"/>
      <c r="K21" s="94"/>
      <c r="L21" s="77"/>
      <c r="M21" s="78"/>
    </row>
    <row r="22" spans="2:16" ht="20.149999999999999" customHeight="1" x14ac:dyDescent="0.45">
      <c r="B22" s="34"/>
      <c r="C22" s="392" t="s">
        <v>1891</v>
      </c>
      <c r="D22" s="23"/>
      <c r="E22" s="23"/>
      <c r="F22" s="23"/>
      <c r="G22" s="23"/>
      <c r="H22" s="68"/>
      <c r="I22" s="481"/>
      <c r="J22" s="481"/>
      <c r="K22" s="94"/>
      <c r="L22" s="77"/>
      <c r="M22" s="78"/>
    </row>
    <row r="23" spans="2:16" ht="20.149999999999999" customHeight="1" x14ac:dyDescent="0.45">
      <c r="B23" s="34"/>
      <c r="C23" s="22" t="s">
        <v>1449</v>
      </c>
      <c r="D23" s="508" t="str">
        <f>VLOOKUP(C23,'Sales Master'!B$3:D$699,2,)</f>
        <v>Strawberry Puree草莓</v>
      </c>
      <c r="E23" s="508"/>
      <c r="F23" s="508"/>
      <c r="G23" s="22">
        <v>1</v>
      </c>
      <c r="H23" s="68" t="str">
        <f>VLOOKUP(C23,'Sales Master'!$B$3:$E$590,4,0)</f>
        <v>DO!</v>
      </c>
      <c r="I23" s="481" t="str">
        <f>VLOOKUP(C23,'Sales Master'!$B$3:F$590,5,0)</f>
        <v>BOX/盒</v>
      </c>
      <c r="J23" s="481"/>
      <c r="K23" s="94">
        <v>8</v>
      </c>
      <c r="L23" s="77"/>
      <c r="M23" s="78"/>
    </row>
    <row r="24" spans="2:16" ht="20.149999999999999" customHeight="1" x14ac:dyDescent="0.45">
      <c r="B24" s="34"/>
      <c r="C24" s="22"/>
      <c r="D24" s="508"/>
      <c r="E24" s="508"/>
      <c r="F24" s="508"/>
      <c r="G24" s="22"/>
      <c r="H24" s="68"/>
      <c r="I24" s="450"/>
      <c r="J24" s="450"/>
      <c r="K24" s="94"/>
      <c r="L24" s="77"/>
      <c r="M24" s="78"/>
    </row>
    <row r="25" spans="2:16" ht="20.149999999999999" customHeight="1" x14ac:dyDescent="0.45">
      <c r="B25" s="34"/>
      <c r="C25" s="22"/>
      <c r="D25" s="508"/>
      <c r="E25" s="508"/>
      <c r="F25" s="508"/>
      <c r="G25" s="22"/>
      <c r="H25" s="68"/>
      <c r="I25" s="450"/>
      <c r="J25" s="450"/>
      <c r="K25" s="94"/>
      <c r="L25" s="77"/>
    </row>
    <row r="26" spans="2:16" ht="20.149999999999999" customHeight="1" thickBot="1" x14ac:dyDescent="0.5">
      <c r="B26" s="37"/>
      <c r="C26" s="38"/>
      <c r="D26" s="509"/>
      <c r="E26" s="509"/>
      <c r="F26" s="509"/>
      <c r="G26" s="38"/>
      <c r="H26" s="69"/>
      <c r="I26" s="451"/>
      <c r="J26" s="451"/>
      <c r="K26" s="39"/>
      <c r="L26" s="40"/>
    </row>
    <row r="27" spans="2:16" ht="20.149999999999999" customHeight="1" thickBot="1" x14ac:dyDescent="0.5">
      <c r="B27" s="41"/>
      <c r="L27" s="42"/>
    </row>
    <row r="28" spans="2:16" ht="20.149999999999999" customHeight="1" x14ac:dyDescent="0.45">
      <c r="B28" s="11" t="s">
        <v>18</v>
      </c>
      <c r="C28" s="7"/>
      <c r="D28" s="7"/>
      <c r="E28" s="7"/>
      <c r="F28" s="7"/>
      <c r="G28" s="7"/>
      <c r="H28" s="7"/>
      <c r="I28" s="7"/>
      <c r="J28" s="510" t="s">
        <v>15</v>
      </c>
      <c r="K28" s="511"/>
      <c r="L28" s="43">
        <f>SUM(L17:L25)</f>
        <v>240</v>
      </c>
      <c r="M28" s="76">
        <f>SUM(P18:P26)</f>
        <v>150</v>
      </c>
      <c r="N28" s="201">
        <f>M28/L28</f>
        <v>0.625</v>
      </c>
    </row>
    <row r="29" spans="2:16" ht="20.149999999999999" customHeight="1" x14ac:dyDescent="0.45">
      <c r="B29" s="11" t="s">
        <v>19</v>
      </c>
      <c r="C29" s="7"/>
      <c r="D29" s="7"/>
      <c r="E29" s="7"/>
      <c r="F29" s="7"/>
      <c r="G29" s="7"/>
      <c r="H29" s="7"/>
      <c r="I29" s="7"/>
      <c r="J29" s="44" t="s">
        <v>22</v>
      </c>
      <c r="K29" s="45"/>
      <c r="L29" s="46">
        <f>L28*K29</f>
        <v>0</v>
      </c>
    </row>
    <row r="30" spans="2:16" ht="20.149999999999999" customHeight="1" x14ac:dyDescent="0.45">
      <c r="B30" s="11" t="s">
        <v>20</v>
      </c>
      <c r="C30" s="7"/>
      <c r="D30" s="7"/>
      <c r="E30" s="7"/>
      <c r="F30" s="7"/>
      <c r="G30" s="7"/>
      <c r="H30" s="7"/>
      <c r="I30" s="7"/>
      <c r="J30" s="486" t="s">
        <v>21</v>
      </c>
      <c r="K30" s="487"/>
      <c r="L30" s="46">
        <f>L28-L29</f>
        <v>240</v>
      </c>
    </row>
    <row r="31" spans="2:16" ht="20.149999999999999" customHeight="1" x14ac:dyDescent="0.45">
      <c r="B31" s="11" t="s">
        <v>24</v>
      </c>
      <c r="C31" s="7"/>
      <c r="D31" s="7"/>
      <c r="E31" s="7"/>
      <c r="F31" s="7"/>
      <c r="G31" s="7"/>
      <c r="H31" s="7"/>
      <c r="I31" s="7"/>
      <c r="J31" s="150" t="s">
        <v>17</v>
      </c>
      <c r="K31" s="151">
        <v>7.0000000000000007E-2</v>
      </c>
      <c r="L31" s="47">
        <f>L30*K31</f>
        <v>16.8</v>
      </c>
    </row>
    <row r="32" spans="2:16" ht="20.149999999999999" customHeight="1" thickBot="1" x14ac:dyDescent="0.5">
      <c r="B32" s="11" t="s">
        <v>25</v>
      </c>
      <c r="C32" s="7"/>
      <c r="D32" s="7"/>
      <c r="E32" s="7"/>
      <c r="F32" s="7"/>
      <c r="G32" s="7"/>
      <c r="H32" s="7"/>
      <c r="I32" s="7"/>
      <c r="J32" s="488" t="s">
        <v>23</v>
      </c>
      <c r="K32" s="489"/>
      <c r="L32" s="48">
        <f>L30+L31</f>
        <v>256.8</v>
      </c>
    </row>
    <row r="33" spans="2:12" ht="20.149999999999999" customHeight="1" x14ac:dyDescent="0.45">
      <c r="B33" s="11" t="s">
        <v>26</v>
      </c>
      <c r="C33" s="7"/>
      <c r="D33" s="7"/>
      <c r="E33" s="7"/>
      <c r="F33" s="7"/>
      <c r="G33" s="7"/>
      <c r="H33" s="7"/>
      <c r="I33" s="7"/>
      <c r="L33" s="42"/>
    </row>
    <row r="34" spans="2:12" ht="20.149999999999999" customHeight="1" x14ac:dyDescent="0.45">
      <c r="B34" s="41"/>
      <c r="L34" s="42"/>
    </row>
    <row r="35" spans="2:12" ht="20.149999999999999" customHeight="1" x14ac:dyDescent="0.45">
      <c r="B35" s="41"/>
      <c r="L35" s="42"/>
    </row>
    <row r="36" spans="2:12" ht="20.149999999999999" customHeight="1" x14ac:dyDescent="0.45">
      <c r="B36" s="41"/>
      <c r="L36" s="42"/>
    </row>
    <row r="37" spans="2:12" ht="20.149999999999999" customHeight="1" x14ac:dyDescent="0.45">
      <c r="B37" s="41"/>
      <c r="L37" s="42"/>
    </row>
    <row r="38" spans="2:12" ht="20.149999999999999" customHeight="1" x14ac:dyDescent="0.45">
      <c r="B38" s="49"/>
      <c r="C38" s="50"/>
      <c r="D38" s="50"/>
      <c r="J38" s="50"/>
      <c r="K38" s="50"/>
      <c r="L38" s="51"/>
    </row>
    <row r="39" spans="2:12" ht="20.149999999999999" customHeight="1" x14ac:dyDescent="0.45">
      <c r="B39" s="41" t="s">
        <v>27</v>
      </c>
      <c r="J39" s="24" t="s">
        <v>28</v>
      </c>
      <c r="L39" s="42"/>
    </row>
    <row r="40" spans="2:12" ht="19" thickBot="1" x14ac:dyDescent="0.5">
      <c r="B40" s="52"/>
      <c r="C40" s="53"/>
      <c r="D40" s="53"/>
      <c r="E40" s="53"/>
      <c r="F40" s="53"/>
      <c r="G40" s="53"/>
      <c r="H40" s="53"/>
      <c r="I40" s="53"/>
      <c r="J40" s="53"/>
      <c r="K40" s="53"/>
      <c r="L40" s="54"/>
    </row>
  </sheetData>
  <mergeCells count="35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20:F20"/>
    <mergeCell ref="I20:J20"/>
    <mergeCell ref="D17:F17"/>
    <mergeCell ref="I17:J17"/>
    <mergeCell ref="D18:F18"/>
    <mergeCell ref="I18:J18"/>
    <mergeCell ref="D19:F19"/>
    <mergeCell ref="I19:J19"/>
    <mergeCell ref="D23:F23"/>
    <mergeCell ref="I23:J23"/>
    <mergeCell ref="D24:F24"/>
    <mergeCell ref="I24:J24"/>
    <mergeCell ref="D21:F21"/>
    <mergeCell ref="I21:J21"/>
    <mergeCell ref="I22:J22"/>
    <mergeCell ref="J32:K32"/>
    <mergeCell ref="D25:F25"/>
    <mergeCell ref="I25:J25"/>
    <mergeCell ref="D26:F26"/>
    <mergeCell ref="I26:J26"/>
    <mergeCell ref="J28:K28"/>
    <mergeCell ref="J30:K30"/>
  </mergeCells>
  <pageMargins left="0.70866141732283472" right="0.31496062992125984" top="0.59055118110236227" bottom="0" header="0.31496062992125984" footer="0.31496062992125984"/>
  <pageSetup paperSize="9" scale="78" orientation="portrait" horizontalDpi="300" vertic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D4E54-087B-47E2-AD97-1139046BC1B7}">
  <sheetPr codeName="Sheet2">
    <tabColor theme="9" tint="0.39997558519241921"/>
    <pageSetUpPr fitToPage="1"/>
  </sheetPr>
  <dimension ref="B1:P49"/>
  <sheetViews>
    <sheetView workbookViewId="0"/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8.36328125" style="24" customWidth="1"/>
    <col min="7" max="7" width="8.54296875" style="24" customWidth="1"/>
    <col min="8" max="8" width="15.7265625" style="24" customWidth="1"/>
    <col min="9" max="9" width="0.7265625" style="24" customWidth="1"/>
    <col min="10" max="10" width="20.26953125" style="24" customWidth="1"/>
    <col min="11" max="11" width="10.54296875" style="24" customWidth="1"/>
    <col min="12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2315</v>
      </c>
      <c r="J10" s="29" t="s">
        <v>29</v>
      </c>
      <c r="K10" s="452">
        <v>202209275</v>
      </c>
      <c r="L10" s="453"/>
    </row>
    <row r="11" spans="2:12" ht="20.149999999999999" customHeight="1" x14ac:dyDescent="0.45">
      <c r="B11" s="454" t="s">
        <v>2302</v>
      </c>
      <c r="C11" s="455"/>
      <c r="D11" s="456"/>
      <c r="E11" s="30"/>
      <c r="F11" s="457" t="str">
        <f>VLOOKUP(H10,'Delivery Location'!A$4:N$416,2,0)</f>
        <v xml:space="preserve">R&amp;B Tea Singapore                                                         Sinopec, 150 Woodlands Avenue 5  Singapore 739375             </v>
      </c>
      <c r="G11" s="458"/>
      <c r="H11" s="459"/>
      <c r="J11" s="31" t="s">
        <v>11</v>
      </c>
      <c r="K11" s="466">
        <v>44821</v>
      </c>
      <c r="L11" s="467"/>
    </row>
    <row r="12" spans="2:12" ht="20.149999999999999" customHeight="1" x14ac:dyDescent="0.45">
      <c r="B12" s="468" t="s">
        <v>2303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533</v>
      </c>
      <c r="L12" s="472"/>
    </row>
    <row r="13" spans="2:12" ht="20.149999999999999" customHeight="1" x14ac:dyDescent="0.45">
      <c r="B13" s="468" t="s">
        <v>2024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14</v>
      </c>
      <c r="L13" s="472"/>
    </row>
    <row r="14" spans="2:12" ht="20.149999999999999" customHeight="1" x14ac:dyDescent="0.45">
      <c r="B14" s="468" t="s">
        <v>2025</v>
      </c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463" t="s">
        <v>2026</v>
      </c>
      <c r="C15" s="464"/>
      <c r="D15" s="465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16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16" ht="20.149999999999999" customHeight="1" x14ac:dyDescent="0.45">
      <c r="B18" s="34"/>
      <c r="C18" s="22" t="s">
        <v>2305</v>
      </c>
      <c r="D18" s="508" t="str">
        <f>VLOOKUP(C18,'Sales Master'!B$3:D$499,2,)</f>
        <v>Passion Fruit Puree 百香果浆</v>
      </c>
      <c r="E18" s="508"/>
      <c r="F18" s="508"/>
      <c r="G18" s="90">
        <v>3</v>
      </c>
      <c r="H18" s="389" t="str">
        <f>VLOOKUP(C18,'Sales Master'!$B$3:$F$3247,5,0)</f>
        <v>1 KG/BOX</v>
      </c>
      <c r="I18" s="482" t="str">
        <f>VLOOKUP(C18,'Sales Master'!$B$3:$E$3247,4,0)</f>
        <v>-</v>
      </c>
      <c r="J18" s="482"/>
      <c r="K18" s="35">
        <f>VLOOKUP(C18,'Sales Master'!B$3:AD$498,29,0)</f>
        <v>8.5</v>
      </c>
      <c r="L18" s="77">
        <f>K18*G18</f>
        <v>25.5</v>
      </c>
      <c r="M18" s="78"/>
      <c r="N18" s="225">
        <f>VLOOKUP(C18,'Sales Master'!$B$3:$DA$3038,104,0)</f>
        <v>4.4000000000000004</v>
      </c>
      <c r="O18" s="225">
        <f>K18-N18</f>
        <v>4.0999999999999996</v>
      </c>
      <c r="P18" s="225">
        <f>O18*G18</f>
        <v>12.299999999999999</v>
      </c>
    </row>
    <row r="19" spans="2:16" ht="20.149999999999999" customHeight="1" x14ac:dyDescent="0.45">
      <c r="B19" s="34"/>
      <c r="C19" s="22" t="s">
        <v>1543</v>
      </c>
      <c r="D19" s="508" t="str">
        <f>VLOOKUP(C19,'Sales Master'!B$3:D$499,2,)</f>
        <v>Tapioca Flour 茨粉</v>
      </c>
      <c r="E19" s="508"/>
      <c r="F19" s="508"/>
      <c r="G19" s="90">
        <v>5</v>
      </c>
      <c r="H19" s="389" t="str">
        <f>VLOOKUP(C19,'Sales Master'!$B$3:$F$3247,5,0)</f>
        <v xml:space="preserve">500gm/pkt </v>
      </c>
      <c r="I19" s="482" t="str">
        <f>VLOOKUP(C19,'Sales Master'!$B$3:$E$3247,4,0)</f>
        <v>F/man 飞人</v>
      </c>
      <c r="J19" s="482"/>
      <c r="K19" s="35">
        <f>VLOOKUP(C19,'Sales Master'!B$3:AD$498,29,0)</f>
        <v>0.8</v>
      </c>
      <c r="L19" s="77">
        <f>K19*G19</f>
        <v>4</v>
      </c>
      <c r="M19" s="78"/>
      <c r="N19" s="225">
        <f>VLOOKUP(C19,'Sales Master'!$B$3:$DA$3038,104,0)</f>
        <v>0.57999999999999996</v>
      </c>
      <c r="O19" s="225">
        <f>K19-N19</f>
        <v>0.22000000000000008</v>
      </c>
      <c r="P19" s="225">
        <f>O19*G19</f>
        <v>1.1000000000000005</v>
      </c>
    </row>
    <row r="20" spans="2:16" ht="20.149999999999999" customHeight="1" x14ac:dyDescent="0.45">
      <c r="B20" s="34"/>
      <c r="C20" s="22"/>
      <c r="D20" s="508"/>
      <c r="E20" s="508"/>
      <c r="F20" s="508"/>
      <c r="G20" s="90"/>
      <c r="H20" s="68"/>
      <c r="I20" s="481"/>
      <c r="J20" s="481"/>
      <c r="K20" s="35"/>
      <c r="L20" s="77"/>
      <c r="M20" s="78"/>
      <c r="N20" s="225"/>
      <c r="O20" s="225"/>
      <c r="P20" s="225"/>
    </row>
    <row r="21" spans="2:16" ht="20.149999999999999" customHeight="1" x14ac:dyDescent="0.45">
      <c r="B21" s="34"/>
      <c r="C21" s="22"/>
      <c r="D21" s="508"/>
      <c r="E21" s="508"/>
      <c r="F21" s="508"/>
      <c r="G21" s="90"/>
      <c r="H21" s="68"/>
      <c r="I21" s="481"/>
      <c r="J21" s="481"/>
      <c r="K21" s="35"/>
      <c r="L21" s="77"/>
      <c r="M21" s="78"/>
      <c r="N21" s="225"/>
      <c r="O21" s="225"/>
      <c r="P21" s="225"/>
    </row>
    <row r="22" spans="2:16" ht="20.149999999999999" customHeight="1" x14ac:dyDescent="0.45">
      <c r="B22" s="34"/>
      <c r="C22" s="22"/>
      <c r="D22" s="508"/>
      <c r="E22" s="508"/>
      <c r="F22" s="508"/>
      <c r="G22" s="90"/>
      <c r="H22" s="68"/>
      <c r="I22" s="481"/>
      <c r="J22" s="481"/>
      <c r="K22" s="35"/>
      <c r="L22" s="77"/>
      <c r="M22" s="78"/>
      <c r="N22" s="225"/>
      <c r="O22" s="225"/>
      <c r="P22" s="225"/>
    </row>
    <row r="23" spans="2:16" ht="20.149999999999999" customHeight="1" x14ac:dyDescent="0.45">
      <c r="B23" s="34"/>
      <c r="C23" s="22"/>
      <c r="D23" s="508"/>
      <c r="E23" s="508"/>
      <c r="F23" s="508"/>
      <c r="G23" s="90"/>
      <c r="H23" s="68"/>
      <c r="I23" s="481"/>
      <c r="J23" s="481"/>
      <c r="K23" s="35"/>
      <c r="L23" s="77"/>
      <c r="M23" s="78"/>
      <c r="N23" s="225"/>
      <c r="O23" s="225"/>
      <c r="P23" s="225"/>
    </row>
    <row r="24" spans="2:16" ht="20.149999999999999" customHeight="1" x14ac:dyDescent="0.45">
      <c r="B24" s="34"/>
      <c r="C24" s="22"/>
      <c r="D24" s="508"/>
      <c r="E24" s="508"/>
      <c r="F24" s="508"/>
      <c r="G24" s="90"/>
      <c r="H24" s="68"/>
      <c r="I24" s="481"/>
      <c r="J24" s="481"/>
      <c r="K24" s="35"/>
      <c r="L24" s="77"/>
      <c r="M24" s="78"/>
      <c r="N24" s="225"/>
      <c r="O24" s="225"/>
      <c r="P24" s="225"/>
    </row>
    <row r="25" spans="2:16" ht="20.149999999999999" customHeight="1" x14ac:dyDescent="0.45">
      <c r="B25" s="34"/>
      <c r="C25" s="22"/>
      <c r="D25" s="508"/>
      <c r="E25" s="508"/>
      <c r="F25" s="508"/>
      <c r="G25" s="90"/>
      <c r="H25" s="68"/>
      <c r="I25" s="481"/>
      <c r="J25" s="481"/>
      <c r="K25" s="35"/>
      <c r="L25" s="77"/>
      <c r="M25" s="78"/>
      <c r="N25" s="225"/>
      <c r="O25" s="225"/>
      <c r="P25" s="225"/>
    </row>
    <row r="26" spans="2:16" ht="20.149999999999999" customHeight="1" x14ac:dyDescent="0.45">
      <c r="B26" s="34"/>
      <c r="C26" s="22"/>
      <c r="D26" s="508"/>
      <c r="E26" s="508"/>
      <c r="F26" s="508"/>
      <c r="G26" s="90"/>
      <c r="H26" s="68"/>
      <c r="I26" s="481"/>
      <c r="J26" s="481"/>
      <c r="K26" s="35"/>
      <c r="L26" s="77"/>
      <c r="M26" s="78"/>
      <c r="N26" s="225"/>
      <c r="O26" s="225"/>
      <c r="P26" s="225"/>
    </row>
    <row r="27" spans="2:16" ht="20.149999999999999" customHeight="1" x14ac:dyDescent="0.45">
      <c r="B27" s="34"/>
      <c r="C27" s="22"/>
      <c r="D27" s="508"/>
      <c r="E27" s="508"/>
      <c r="F27" s="508"/>
      <c r="G27" s="90"/>
      <c r="H27" s="68"/>
      <c r="I27" s="481"/>
      <c r="J27" s="481"/>
      <c r="K27" s="35"/>
      <c r="L27" s="77"/>
      <c r="M27" s="78"/>
      <c r="N27" s="225"/>
      <c r="O27" s="225"/>
      <c r="P27" s="225"/>
    </row>
    <row r="28" spans="2:16" ht="20.149999999999999" customHeight="1" x14ac:dyDescent="0.45">
      <c r="B28" s="34"/>
      <c r="C28" s="22"/>
      <c r="D28" s="508"/>
      <c r="E28" s="508"/>
      <c r="F28" s="508"/>
      <c r="G28" s="90"/>
      <c r="H28" s="68"/>
      <c r="I28" s="481"/>
      <c r="J28" s="481"/>
      <c r="K28" s="35"/>
      <c r="L28" s="77"/>
      <c r="M28" s="78"/>
      <c r="N28" s="225"/>
      <c r="O28" s="225"/>
      <c r="P28" s="225"/>
    </row>
    <row r="29" spans="2:16" ht="20.149999999999999" customHeight="1" x14ac:dyDescent="0.45">
      <c r="B29" s="34"/>
      <c r="C29" s="22"/>
      <c r="D29" s="508"/>
      <c r="E29" s="508"/>
      <c r="F29" s="508"/>
      <c r="G29" s="90"/>
      <c r="H29" s="68"/>
      <c r="I29" s="481"/>
      <c r="J29" s="481"/>
      <c r="K29" s="35"/>
      <c r="L29" s="77"/>
      <c r="M29" s="78"/>
      <c r="N29" s="225"/>
      <c r="O29" s="225"/>
      <c r="P29" s="225"/>
    </row>
    <row r="30" spans="2:16" ht="20.149999999999999" customHeight="1" x14ac:dyDescent="0.45">
      <c r="B30" s="34"/>
      <c r="C30" s="22"/>
      <c r="D30" s="508"/>
      <c r="E30" s="508"/>
      <c r="F30" s="508"/>
      <c r="G30" s="90"/>
      <c r="H30" s="68"/>
      <c r="I30" s="481"/>
      <c r="J30" s="481"/>
      <c r="K30" s="35"/>
      <c r="L30" s="77"/>
      <c r="M30" s="78"/>
      <c r="N30" s="225"/>
      <c r="O30" s="225"/>
      <c r="P30" s="225"/>
    </row>
    <row r="31" spans="2:16" ht="20.149999999999999" customHeight="1" x14ac:dyDescent="0.45">
      <c r="B31" s="34"/>
      <c r="C31" s="22"/>
      <c r="D31" s="508"/>
      <c r="E31" s="508"/>
      <c r="F31" s="508"/>
      <c r="G31" s="90"/>
      <c r="H31" s="389"/>
      <c r="I31" s="512"/>
      <c r="J31" s="512"/>
      <c r="K31" s="35"/>
      <c r="L31" s="77"/>
      <c r="M31" s="78"/>
      <c r="N31" s="225"/>
      <c r="O31" s="225"/>
      <c r="P31" s="225"/>
    </row>
    <row r="32" spans="2:16" ht="20.149999999999999" customHeight="1" x14ac:dyDescent="0.45">
      <c r="B32" s="34"/>
      <c r="C32" s="22"/>
      <c r="D32" s="508"/>
      <c r="E32" s="508"/>
      <c r="F32" s="508"/>
      <c r="G32" s="90"/>
      <c r="H32" s="389"/>
      <c r="I32" s="512"/>
      <c r="J32" s="512"/>
      <c r="K32" s="35"/>
      <c r="L32" s="77"/>
      <c r="M32" s="78"/>
      <c r="N32" s="225"/>
      <c r="O32" s="225"/>
      <c r="P32" s="225"/>
    </row>
    <row r="33" spans="2:16" ht="20.149999999999999" customHeight="1" x14ac:dyDescent="0.45">
      <c r="B33" s="34"/>
      <c r="C33" s="22"/>
      <c r="D33" s="508"/>
      <c r="E33" s="508"/>
      <c r="F33" s="508"/>
      <c r="G33" s="90"/>
      <c r="H33" s="346"/>
      <c r="I33" s="481"/>
      <c r="J33" s="481"/>
      <c r="K33" s="35"/>
      <c r="L33" s="77"/>
      <c r="M33" s="78"/>
      <c r="N33" s="225"/>
      <c r="O33" s="225"/>
      <c r="P33" s="225"/>
    </row>
    <row r="34" spans="2:16" ht="20.149999999999999" customHeight="1" x14ac:dyDescent="0.45">
      <c r="B34" s="34"/>
      <c r="C34" s="22"/>
      <c r="G34" s="90"/>
      <c r="H34" s="346"/>
      <c r="I34" s="68"/>
      <c r="J34" s="68"/>
      <c r="K34" s="35"/>
      <c r="L34" s="77"/>
      <c r="M34" s="78"/>
      <c r="N34" s="225"/>
      <c r="O34" s="225"/>
      <c r="P34" s="225"/>
    </row>
    <row r="35" spans="2:16" ht="20.149999999999999" customHeight="1" thickBot="1" x14ac:dyDescent="0.5">
      <c r="B35" s="37"/>
      <c r="C35" s="38"/>
      <c r="D35" s="509"/>
      <c r="E35" s="509"/>
      <c r="F35" s="509"/>
      <c r="G35" s="38"/>
      <c r="H35" s="69"/>
      <c r="I35" s="451"/>
      <c r="J35" s="451"/>
      <c r="K35" s="39"/>
      <c r="L35" s="40"/>
    </row>
    <row r="36" spans="2:16" ht="20.149999999999999" customHeight="1" thickBot="1" x14ac:dyDescent="0.5">
      <c r="B36" s="41"/>
      <c r="L36" s="42"/>
    </row>
    <row r="37" spans="2:16" ht="20.149999999999999" customHeight="1" x14ac:dyDescent="0.45">
      <c r="B37" s="11" t="s">
        <v>18</v>
      </c>
      <c r="C37" s="7"/>
      <c r="D37" s="7"/>
      <c r="E37" s="7"/>
      <c r="F37" s="7"/>
      <c r="G37" s="7"/>
      <c r="H37" s="7"/>
      <c r="I37" s="7"/>
      <c r="J37" s="510" t="s">
        <v>15</v>
      </c>
      <c r="K37" s="511"/>
      <c r="L37" s="43">
        <f>SUM(L14:L33)</f>
        <v>29.5</v>
      </c>
      <c r="M37" s="76">
        <f>SUM(P18:P33)</f>
        <v>13.399999999999999</v>
      </c>
      <c r="N37" s="201">
        <f>M37/L37</f>
        <v>0.45423728813559316</v>
      </c>
    </row>
    <row r="38" spans="2:16" ht="20.149999999999999" customHeight="1" x14ac:dyDescent="0.45">
      <c r="B38" s="11" t="s">
        <v>19</v>
      </c>
      <c r="C38" s="7"/>
      <c r="D38" s="7"/>
      <c r="E38" s="7"/>
      <c r="F38" s="7"/>
      <c r="G38" s="7"/>
      <c r="H38" s="7"/>
      <c r="I38" s="7"/>
      <c r="J38" s="44" t="s">
        <v>22</v>
      </c>
      <c r="K38" s="45"/>
      <c r="L38" s="46">
        <f>L37*K38</f>
        <v>0</v>
      </c>
    </row>
    <row r="39" spans="2:16" ht="20.149999999999999" customHeight="1" x14ac:dyDescent="0.45">
      <c r="B39" s="11" t="s">
        <v>20</v>
      </c>
      <c r="C39" s="7"/>
      <c r="D39" s="7"/>
      <c r="E39" s="7"/>
      <c r="F39" s="7"/>
      <c r="G39" s="7"/>
      <c r="H39" s="7"/>
      <c r="I39" s="7"/>
      <c r="J39" s="486" t="s">
        <v>21</v>
      </c>
      <c r="K39" s="487"/>
      <c r="L39" s="46">
        <f>L37-L38</f>
        <v>29.5</v>
      </c>
    </row>
    <row r="40" spans="2:16" ht="20.149999999999999" customHeight="1" x14ac:dyDescent="0.45">
      <c r="B40" s="11" t="s">
        <v>24</v>
      </c>
      <c r="C40" s="7"/>
      <c r="D40" s="7"/>
      <c r="E40" s="7"/>
      <c r="F40" s="7"/>
      <c r="G40" s="7"/>
      <c r="H40" s="7"/>
      <c r="I40" s="7"/>
      <c r="J40" s="150" t="s">
        <v>17</v>
      </c>
      <c r="K40" s="151">
        <v>7.0000000000000007E-2</v>
      </c>
      <c r="L40" s="47">
        <f>L39*K40</f>
        <v>2.0650000000000004</v>
      </c>
    </row>
    <row r="41" spans="2:16" ht="20.149999999999999" customHeight="1" thickBot="1" x14ac:dyDescent="0.5">
      <c r="B41" s="11" t="s">
        <v>25</v>
      </c>
      <c r="C41" s="7"/>
      <c r="D41" s="7"/>
      <c r="E41" s="7"/>
      <c r="F41" s="7"/>
      <c r="G41" s="7"/>
      <c r="H41" s="7"/>
      <c r="I41" s="7"/>
      <c r="J41" s="488" t="s">
        <v>23</v>
      </c>
      <c r="K41" s="489"/>
      <c r="L41" s="48">
        <f>L39+L40</f>
        <v>31.565000000000001</v>
      </c>
    </row>
    <row r="42" spans="2:16" ht="20.149999999999999" customHeight="1" x14ac:dyDescent="0.45">
      <c r="B42" s="11" t="s">
        <v>26</v>
      </c>
      <c r="C42" s="7"/>
      <c r="D42" s="7"/>
      <c r="E42" s="7"/>
      <c r="F42" s="7"/>
      <c r="G42" s="7"/>
      <c r="H42" s="7"/>
      <c r="I42" s="7"/>
      <c r="L42" s="42"/>
    </row>
    <row r="43" spans="2:16" ht="20.149999999999999" customHeight="1" x14ac:dyDescent="0.45">
      <c r="B43" s="41"/>
      <c r="L43" s="42"/>
    </row>
    <row r="44" spans="2:16" x14ac:dyDescent="0.45">
      <c r="B44" s="41"/>
      <c r="L44" s="42"/>
    </row>
    <row r="45" spans="2:16" ht="20.149999999999999" customHeight="1" x14ac:dyDescent="0.45">
      <c r="B45" s="41"/>
      <c r="L45" s="42"/>
    </row>
    <row r="46" spans="2:16" ht="20.149999999999999" customHeight="1" x14ac:dyDescent="0.45">
      <c r="B46" s="41"/>
      <c r="L46" s="42"/>
    </row>
    <row r="47" spans="2:16" x14ac:dyDescent="0.45">
      <c r="B47" s="49"/>
      <c r="C47" s="50"/>
      <c r="D47" s="50"/>
      <c r="J47" s="50"/>
      <c r="K47" s="50"/>
      <c r="L47" s="51"/>
    </row>
    <row r="48" spans="2:16" ht="20.149999999999999" customHeight="1" x14ac:dyDescent="0.45">
      <c r="B48" s="41" t="s">
        <v>27</v>
      </c>
      <c r="J48" s="24" t="s">
        <v>28</v>
      </c>
      <c r="L48" s="42"/>
    </row>
    <row r="49" spans="2:12" ht="19" thickBot="1" x14ac:dyDescent="0.5">
      <c r="B49" s="52"/>
      <c r="C49" s="53"/>
      <c r="D49" s="53"/>
      <c r="E49" s="53"/>
      <c r="F49" s="53"/>
      <c r="G49" s="53"/>
      <c r="H49" s="53"/>
      <c r="I49" s="53"/>
      <c r="J49" s="53"/>
      <c r="K49" s="53"/>
      <c r="L49" s="54"/>
    </row>
  </sheetData>
  <mergeCells count="52">
    <mergeCell ref="J39:K39"/>
    <mergeCell ref="J41:K41"/>
    <mergeCell ref="D33:F33"/>
    <mergeCell ref="I33:J33"/>
    <mergeCell ref="D35:F35"/>
    <mergeCell ref="I35:J35"/>
    <mergeCell ref="J37:K37"/>
    <mergeCell ref="D30:F30"/>
    <mergeCell ref="I30:J30"/>
    <mergeCell ref="D31:F31"/>
    <mergeCell ref="I31:J31"/>
    <mergeCell ref="D32:F32"/>
    <mergeCell ref="I32:J32"/>
    <mergeCell ref="D27:F27"/>
    <mergeCell ref="I27:J27"/>
    <mergeCell ref="D28:F28"/>
    <mergeCell ref="I28:J28"/>
    <mergeCell ref="D29:F29"/>
    <mergeCell ref="I29:J29"/>
    <mergeCell ref="D24:F24"/>
    <mergeCell ref="I24:J24"/>
    <mergeCell ref="D25:F25"/>
    <mergeCell ref="I25:J25"/>
    <mergeCell ref="D26:F26"/>
    <mergeCell ref="I26:J26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4" orientation="portrait" horizontalDpi="300" verticalDpi="300" r:id="rId1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24996-84EF-4DA4-97C0-2AE7F8AF173C}">
  <sheetPr codeName="Sheet156">
    <tabColor theme="9" tint="-0.499984740745262"/>
    <pageSetUpPr fitToPage="1"/>
  </sheetPr>
  <dimension ref="B1:P43"/>
  <sheetViews>
    <sheetView workbookViewId="0">
      <selection activeCell="B1" sqref="B1:L43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4.54296875" style="24" customWidth="1"/>
    <col min="7" max="7" width="8.54296875" style="24" customWidth="1"/>
    <col min="8" max="8" width="12.54296875" style="24" customWidth="1"/>
    <col min="9" max="9" width="4.54296875" style="24" customWidth="1"/>
    <col min="10" max="10" width="15.54296875" style="24" customWidth="1"/>
    <col min="11" max="12" width="12.54296875" style="24" customWidth="1"/>
    <col min="13" max="16384" width="12.54296875" style="24"/>
  </cols>
  <sheetData>
    <row r="1" spans="2:16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6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6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6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6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6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6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6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6" ht="19" thickBot="1" x14ac:dyDescent="0.5">
      <c r="B9" s="23"/>
      <c r="N9" s="457" t="str">
        <f>VLOOKUP(H10,'Delivery Location'!A$4:V$416,2,0)</f>
        <v>TEL: 91548191                                                                                          462 Crawford Lane #01-61 Singapore 190462</v>
      </c>
      <c r="O9" s="458"/>
      <c r="P9" s="459"/>
    </row>
    <row r="10" spans="2:16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976</v>
      </c>
      <c r="J10" s="29" t="s">
        <v>29</v>
      </c>
      <c r="K10" s="452">
        <v>202209231</v>
      </c>
      <c r="L10" s="453"/>
      <c r="N10" s="460"/>
      <c r="O10" s="461"/>
      <c r="P10" s="462"/>
    </row>
    <row r="11" spans="2:16" ht="20.149999999999999" customHeight="1" x14ac:dyDescent="0.45">
      <c r="B11" s="454" t="s">
        <v>1406</v>
      </c>
      <c r="C11" s="455"/>
      <c r="D11" s="456"/>
      <c r="E11" s="30"/>
      <c r="F11" s="457" t="str">
        <f>VLOOKUP(H10,'Delivery Location'!A$4:V$416,2,0)</f>
        <v>TEL: 91548191                                                                                          462 Crawford Lane #01-61 Singapore 190462</v>
      </c>
      <c r="G11" s="458"/>
      <c r="H11" s="459"/>
      <c r="J11" s="31" t="s">
        <v>11</v>
      </c>
      <c r="K11" s="466">
        <v>44819</v>
      </c>
      <c r="L11" s="467"/>
      <c r="N11" s="460"/>
      <c r="O11" s="461"/>
      <c r="P11" s="462"/>
    </row>
    <row r="12" spans="2:16" ht="20.149999999999999" customHeight="1" x14ac:dyDescent="0.45">
      <c r="B12" s="468" t="s">
        <v>1407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533</v>
      </c>
      <c r="L12" s="472"/>
      <c r="N12" s="460"/>
      <c r="O12" s="461"/>
      <c r="P12" s="462"/>
    </row>
    <row r="13" spans="2:16" ht="20.149999999999999" customHeight="1" thickBot="1" x14ac:dyDescent="0.5">
      <c r="B13" s="468"/>
      <c r="C13" s="469"/>
      <c r="D13" s="470"/>
      <c r="E13" s="30"/>
      <c r="F13" s="460"/>
      <c r="G13" s="461"/>
      <c r="H13" s="462"/>
      <c r="J13" s="31" t="s">
        <v>12</v>
      </c>
      <c r="K13" s="471" t="s">
        <v>688</v>
      </c>
      <c r="L13" s="472"/>
      <c r="N13" s="463"/>
      <c r="O13" s="464"/>
      <c r="P13" s="465"/>
    </row>
    <row r="14" spans="2:16" ht="20.149999999999999" customHeight="1" x14ac:dyDescent="0.45">
      <c r="B14" s="468"/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6" ht="18" customHeight="1" thickBot="1" x14ac:dyDescent="0.5">
      <c r="B15" s="55"/>
      <c r="C15" s="56"/>
      <c r="D15" s="57"/>
      <c r="E15" s="26"/>
      <c r="F15" s="463"/>
      <c r="G15" s="464"/>
      <c r="H15" s="465"/>
      <c r="J15" s="32" t="s">
        <v>13</v>
      </c>
      <c r="K15" s="476"/>
      <c r="L15" s="477"/>
    </row>
    <row r="16" spans="2:16" ht="19" thickBot="1" x14ac:dyDescent="0.5">
      <c r="J16" s="22"/>
    </row>
    <row r="17" spans="2:16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8" t="s">
        <v>622</v>
      </c>
      <c r="I17" s="478" t="s">
        <v>355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16" ht="20.149999999999999" customHeight="1" x14ac:dyDescent="0.45">
      <c r="B18" s="34"/>
      <c r="C18" s="22" t="s">
        <v>1494</v>
      </c>
      <c r="D18" s="508" t="str">
        <f>VLOOKUP(C18,'Sales Master'!B$3:D$499,2,)</f>
        <v>Chin Chow powder 仙草粉</v>
      </c>
      <c r="E18" s="508"/>
      <c r="F18" s="508"/>
      <c r="G18" s="22">
        <v>4</v>
      </c>
      <c r="H18" s="389" t="str">
        <f>VLOOKUP(C18,'Sales Master'!$B$3:$E$590,4,0)</f>
        <v>-</v>
      </c>
      <c r="I18" s="480" t="str">
        <f>VLOOKUP(C18,'Sales Master'!$B$3:F$590,5,0)</f>
        <v>2 kgs (20 X 100GM)</v>
      </c>
      <c r="J18" s="480"/>
      <c r="K18" s="35">
        <v>26</v>
      </c>
      <c r="L18" s="77">
        <f>K18*G18</f>
        <v>104</v>
      </c>
      <c r="M18" s="78"/>
      <c r="N18" s="225">
        <f>VLOOKUP(C18,'Sales Master'!$B$3:$DA$3038,104,0)</f>
        <v>18.600000000000001</v>
      </c>
      <c r="O18" s="225">
        <f>K18-N18</f>
        <v>7.3999999999999986</v>
      </c>
      <c r="P18" s="225">
        <f>O18*G18</f>
        <v>29.599999999999994</v>
      </c>
    </row>
    <row r="19" spans="2:16" ht="20.149999999999999" customHeight="1" x14ac:dyDescent="0.45">
      <c r="B19" s="34"/>
      <c r="C19" s="22"/>
      <c r="D19" s="508"/>
      <c r="E19" s="508"/>
      <c r="F19" s="508"/>
      <c r="G19" s="22"/>
      <c r="H19" s="68"/>
      <c r="I19" s="450"/>
      <c r="J19" s="450"/>
      <c r="K19" s="35"/>
      <c r="L19" s="77"/>
      <c r="M19" s="78"/>
      <c r="N19" s="225"/>
      <c r="O19" s="225"/>
      <c r="P19" s="225"/>
    </row>
    <row r="20" spans="2:16" ht="20.149999999999999" customHeight="1" x14ac:dyDescent="0.45">
      <c r="B20" s="34"/>
      <c r="C20" s="22"/>
      <c r="D20" s="508"/>
      <c r="E20" s="508"/>
      <c r="F20" s="508"/>
      <c r="G20" s="22"/>
      <c r="H20" s="68"/>
      <c r="I20" s="450"/>
      <c r="J20" s="450"/>
      <c r="K20" s="35"/>
      <c r="L20" s="77"/>
      <c r="M20" s="78"/>
    </row>
    <row r="21" spans="2:16" ht="20.149999999999999" customHeight="1" x14ac:dyDescent="0.45">
      <c r="B21" s="34"/>
      <c r="C21" s="22"/>
      <c r="D21" s="508"/>
      <c r="E21" s="508"/>
      <c r="F21" s="508"/>
      <c r="G21" s="22"/>
      <c r="H21" s="68"/>
      <c r="I21" s="450"/>
      <c r="J21" s="450"/>
      <c r="K21" s="35"/>
      <c r="L21" s="77"/>
      <c r="M21" s="78"/>
    </row>
    <row r="22" spans="2:16" ht="20.149999999999999" customHeight="1" x14ac:dyDescent="0.45">
      <c r="B22" s="34"/>
      <c r="C22" s="22"/>
      <c r="D22" s="508"/>
      <c r="E22" s="508"/>
      <c r="F22" s="508"/>
      <c r="G22" s="22"/>
      <c r="H22" s="68"/>
      <c r="I22" s="450"/>
      <c r="J22" s="450"/>
      <c r="K22" s="35"/>
      <c r="L22" s="77"/>
      <c r="M22" s="78"/>
    </row>
    <row r="23" spans="2:16" ht="20.149999999999999" customHeight="1" x14ac:dyDescent="0.45">
      <c r="B23" s="34"/>
      <c r="C23" s="22"/>
      <c r="D23" s="508"/>
      <c r="E23" s="508"/>
      <c r="F23" s="508"/>
      <c r="G23" s="22"/>
      <c r="H23" s="68"/>
      <c r="I23" s="450"/>
      <c r="J23" s="450"/>
      <c r="K23" s="35"/>
      <c r="L23" s="77"/>
      <c r="M23" s="78"/>
    </row>
    <row r="24" spans="2:16" ht="20.149999999999999" customHeight="1" x14ac:dyDescent="0.45">
      <c r="B24" s="34"/>
      <c r="C24" s="22"/>
      <c r="D24" s="508"/>
      <c r="E24" s="508"/>
      <c r="F24" s="508"/>
      <c r="G24" s="22"/>
      <c r="H24" s="68"/>
      <c r="I24" s="450"/>
      <c r="J24" s="450"/>
      <c r="K24" s="35"/>
      <c r="L24" s="77"/>
      <c r="M24" s="78"/>
    </row>
    <row r="25" spans="2:16" ht="20.149999999999999" customHeight="1" x14ac:dyDescent="0.45">
      <c r="B25" s="34"/>
      <c r="C25" s="22"/>
      <c r="D25" s="508"/>
      <c r="E25" s="508"/>
      <c r="F25" s="508"/>
      <c r="G25" s="22"/>
      <c r="H25" s="68"/>
      <c r="I25" s="450"/>
      <c r="J25" s="450"/>
      <c r="K25" s="35"/>
      <c r="L25" s="77"/>
      <c r="M25" s="78"/>
    </row>
    <row r="26" spans="2:16" ht="20.149999999999999" customHeight="1" x14ac:dyDescent="0.45">
      <c r="B26" s="34"/>
      <c r="C26" s="22"/>
      <c r="D26" s="508"/>
      <c r="E26" s="508"/>
      <c r="F26" s="508"/>
      <c r="G26" s="22"/>
      <c r="H26" s="68"/>
      <c r="I26" s="450"/>
      <c r="J26" s="450"/>
      <c r="K26" s="35"/>
      <c r="L26" s="77"/>
      <c r="M26" s="78"/>
    </row>
    <row r="27" spans="2:16" ht="20.149999999999999" customHeight="1" x14ac:dyDescent="0.45">
      <c r="B27" s="34"/>
      <c r="C27" s="22"/>
      <c r="D27" s="508"/>
      <c r="E27" s="508"/>
      <c r="F27" s="508"/>
      <c r="G27" s="22"/>
      <c r="H27" s="68"/>
      <c r="I27" s="450"/>
      <c r="J27" s="450"/>
      <c r="K27" s="35"/>
      <c r="L27" s="77"/>
      <c r="M27" s="78"/>
    </row>
    <row r="28" spans="2:16" ht="20.149999999999999" customHeight="1" x14ac:dyDescent="0.45">
      <c r="B28" s="34"/>
      <c r="C28" s="22"/>
      <c r="D28" s="508"/>
      <c r="E28" s="508"/>
      <c r="F28" s="508"/>
      <c r="G28" s="22"/>
      <c r="H28" s="68"/>
      <c r="I28" s="450"/>
      <c r="J28" s="450"/>
      <c r="K28" s="35"/>
      <c r="L28" s="36"/>
    </row>
    <row r="29" spans="2:16" ht="20.149999999999999" customHeight="1" thickBot="1" x14ac:dyDescent="0.5">
      <c r="B29" s="37"/>
      <c r="C29" s="38"/>
      <c r="D29" s="509"/>
      <c r="E29" s="509"/>
      <c r="F29" s="509"/>
      <c r="G29" s="38"/>
      <c r="H29" s="69"/>
      <c r="I29" s="451"/>
      <c r="J29" s="451"/>
      <c r="K29" s="39"/>
      <c r="L29" s="40"/>
    </row>
    <row r="30" spans="2:16" ht="20.149999999999999" customHeight="1" thickBot="1" x14ac:dyDescent="0.5">
      <c r="B30" s="41"/>
      <c r="L30" s="42"/>
    </row>
    <row r="31" spans="2:16" ht="20.149999999999999" customHeight="1" x14ac:dyDescent="0.45">
      <c r="B31" s="11" t="s">
        <v>18</v>
      </c>
      <c r="C31" s="7"/>
      <c r="D31" s="7"/>
      <c r="E31" s="7"/>
      <c r="F31" s="7"/>
      <c r="G31" s="7"/>
      <c r="H31" s="7"/>
      <c r="I31" s="7"/>
      <c r="J31" s="510" t="s">
        <v>15</v>
      </c>
      <c r="K31" s="511"/>
      <c r="L31" s="43">
        <f>SUM(L17:L29)</f>
        <v>104</v>
      </c>
      <c r="M31" s="76">
        <f>SUM(P18:P28)</f>
        <v>29.599999999999994</v>
      </c>
    </row>
    <row r="32" spans="2:16" ht="20.149999999999999" customHeight="1" x14ac:dyDescent="0.45">
      <c r="B32" s="11" t="s">
        <v>19</v>
      </c>
      <c r="C32" s="7"/>
      <c r="D32" s="7"/>
      <c r="E32" s="7"/>
      <c r="F32" s="7"/>
      <c r="G32" s="7"/>
      <c r="H32" s="7"/>
      <c r="I32" s="7"/>
      <c r="J32" s="44" t="s">
        <v>22</v>
      </c>
      <c r="K32" s="45"/>
      <c r="L32" s="46">
        <f>L31*K32</f>
        <v>0</v>
      </c>
    </row>
    <row r="33" spans="2:12" ht="20.149999999999999" customHeight="1" x14ac:dyDescent="0.45">
      <c r="B33" s="11" t="s">
        <v>20</v>
      </c>
      <c r="C33" s="7"/>
      <c r="D33" s="7"/>
      <c r="E33" s="7"/>
      <c r="F33" s="7"/>
      <c r="G33" s="7"/>
      <c r="H33" s="7"/>
      <c r="I33" s="7"/>
      <c r="J33" s="486" t="s">
        <v>21</v>
      </c>
      <c r="K33" s="487"/>
      <c r="L33" s="46">
        <f>L31-L32</f>
        <v>104</v>
      </c>
    </row>
    <row r="34" spans="2:12" ht="20.149999999999999" customHeight="1" x14ac:dyDescent="0.45">
      <c r="B34" s="11" t="s">
        <v>24</v>
      </c>
      <c r="C34" s="7"/>
      <c r="D34" s="7"/>
      <c r="E34" s="7"/>
      <c r="F34" s="7"/>
      <c r="G34" s="7"/>
      <c r="H34" s="7"/>
      <c r="I34" s="7"/>
      <c r="J34" s="150" t="s">
        <v>17</v>
      </c>
      <c r="K34" s="151">
        <v>7.0000000000000007E-2</v>
      </c>
      <c r="L34" s="47">
        <f>L33*K34</f>
        <v>7.2800000000000011</v>
      </c>
    </row>
    <row r="35" spans="2:12" ht="20.149999999999999" customHeight="1" thickBot="1" x14ac:dyDescent="0.5">
      <c r="B35" s="11" t="s">
        <v>25</v>
      </c>
      <c r="C35" s="7"/>
      <c r="D35" s="7"/>
      <c r="E35" s="7"/>
      <c r="F35" s="7"/>
      <c r="G35" s="7"/>
      <c r="H35" s="7"/>
      <c r="I35" s="7"/>
      <c r="J35" s="488" t="s">
        <v>23</v>
      </c>
      <c r="K35" s="489"/>
      <c r="L35" s="48">
        <f>L33+L34</f>
        <v>111.28</v>
      </c>
    </row>
    <row r="36" spans="2:12" ht="20.149999999999999" customHeight="1" x14ac:dyDescent="0.45">
      <c r="B36" s="11" t="s">
        <v>26</v>
      </c>
      <c r="C36" s="7"/>
      <c r="D36" s="7"/>
      <c r="E36" s="7"/>
      <c r="F36" s="7"/>
      <c r="G36" s="7"/>
      <c r="H36" s="7"/>
      <c r="I36" s="7"/>
      <c r="L36" s="42"/>
    </row>
    <row r="37" spans="2:12" ht="20.149999999999999" customHeight="1" x14ac:dyDescent="0.45">
      <c r="B37" s="41"/>
      <c r="L37" s="42"/>
    </row>
    <row r="38" spans="2:12" ht="20.149999999999999" customHeight="1" x14ac:dyDescent="0.45">
      <c r="B38" s="41"/>
      <c r="L38" s="42"/>
    </row>
    <row r="39" spans="2:12" ht="20.149999999999999" customHeight="1" x14ac:dyDescent="0.45">
      <c r="B39" s="41"/>
      <c r="L39" s="42"/>
    </row>
    <row r="40" spans="2:12" ht="20.149999999999999" customHeight="1" x14ac:dyDescent="0.45">
      <c r="B40" s="41"/>
      <c r="L40" s="42"/>
    </row>
    <row r="41" spans="2:12" ht="20.149999999999999" customHeight="1" x14ac:dyDescent="0.45">
      <c r="B41" s="49"/>
      <c r="C41" s="50"/>
      <c r="D41" s="50"/>
      <c r="J41" s="50"/>
      <c r="K41" s="50"/>
      <c r="L41" s="51"/>
    </row>
    <row r="42" spans="2:12" ht="20.149999999999999" customHeight="1" x14ac:dyDescent="0.45">
      <c r="B42" s="41" t="s">
        <v>27</v>
      </c>
      <c r="J42" s="24" t="s">
        <v>28</v>
      </c>
      <c r="L42" s="42"/>
    </row>
    <row r="43" spans="2:12" ht="19" thickBot="1" x14ac:dyDescent="0.5">
      <c r="B43" s="52"/>
      <c r="C43" s="53"/>
      <c r="D43" s="53"/>
      <c r="E43" s="53"/>
      <c r="F43" s="53"/>
      <c r="G43" s="53"/>
      <c r="H43" s="53"/>
      <c r="I43" s="53"/>
      <c r="J43" s="53"/>
      <c r="K43" s="53"/>
      <c r="L43" s="54"/>
    </row>
  </sheetData>
  <mergeCells count="42"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18:J18"/>
    <mergeCell ref="I21:J21"/>
    <mergeCell ref="J35:K35"/>
    <mergeCell ref="D27:F27"/>
    <mergeCell ref="I27:J27"/>
    <mergeCell ref="D28:F28"/>
    <mergeCell ref="I28:J28"/>
    <mergeCell ref="D29:F29"/>
    <mergeCell ref="I29:J29"/>
    <mergeCell ref="J31:K31"/>
    <mergeCell ref="J33:K33"/>
    <mergeCell ref="D19:F19"/>
    <mergeCell ref="I19:J19"/>
    <mergeCell ref="N9:P13"/>
    <mergeCell ref="D26:F26"/>
    <mergeCell ref="I26:J26"/>
    <mergeCell ref="D24:F24"/>
    <mergeCell ref="I24:J24"/>
    <mergeCell ref="D25:F25"/>
    <mergeCell ref="I25:J25"/>
    <mergeCell ref="D22:F22"/>
    <mergeCell ref="I22:J22"/>
    <mergeCell ref="D23:F23"/>
    <mergeCell ref="I23:J23"/>
    <mergeCell ref="D20:F20"/>
    <mergeCell ref="I20:J20"/>
    <mergeCell ref="D21:F21"/>
  </mergeCells>
  <pageMargins left="0.70866141732283472" right="0.31496062992125984" top="0.59055118110236227" bottom="0" header="0.31496062992125984" footer="0.31496062992125984"/>
  <pageSetup paperSize="9" scale="78" orientation="portrait" horizontalDpi="300" verticalDpi="300" r:id="rId1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659439-785C-48B9-A5A9-215E6161DEB9}">
  <sheetPr codeName="Sheet61">
    <tabColor rgb="FF996600"/>
    <pageSetUpPr fitToPage="1"/>
  </sheetPr>
  <dimension ref="B1:V44"/>
  <sheetViews>
    <sheetView topLeftCell="B1" workbookViewId="0">
      <selection activeCell="B1" sqref="B1:L8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7.453125" style="24" customWidth="1"/>
    <col min="7" max="7" width="8.54296875" style="24" customWidth="1"/>
    <col min="8" max="8" width="15.54296875" style="24" customWidth="1"/>
    <col min="9" max="9" width="2.54296875" style="24" customWidth="1"/>
    <col min="10" max="10" width="15.54296875" style="24" customWidth="1"/>
    <col min="11" max="11" width="10.54296875" style="24" customWidth="1"/>
    <col min="12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729</v>
      </c>
      <c r="J10" s="29" t="s">
        <v>29</v>
      </c>
      <c r="K10" s="452">
        <v>202104132</v>
      </c>
      <c r="L10" s="453"/>
    </row>
    <row r="11" spans="2:12" ht="20.149999999999999" customHeight="1" x14ac:dyDescent="0.45">
      <c r="B11" s="454"/>
      <c r="C11" s="455"/>
      <c r="D11" s="456"/>
      <c r="E11" s="30"/>
      <c r="F11" s="457" t="str">
        <f>VLOOKUP(H10,'Delivery Location'!A$4:N$416,2,0)</f>
        <v>Soon Soon Soon Food Holding                 652 Geylang Lorong 40. Singapore</v>
      </c>
      <c r="G11" s="458"/>
      <c r="H11" s="459"/>
      <c r="J11" s="31" t="s">
        <v>11</v>
      </c>
      <c r="K11" s="551">
        <v>44293</v>
      </c>
      <c r="L11" s="472"/>
    </row>
    <row r="12" spans="2:12" ht="20.149999999999999" customHeight="1" x14ac:dyDescent="0.45">
      <c r="B12" s="468"/>
      <c r="C12" s="469"/>
      <c r="D12" s="470"/>
      <c r="E12" s="30"/>
      <c r="F12" s="460"/>
      <c r="G12" s="461"/>
      <c r="H12" s="462"/>
      <c r="J12" s="31" t="s">
        <v>171</v>
      </c>
      <c r="K12" s="471" t="s">
        <v>533</v>
      </c>
      <c r="L12" s="472"/>
    </row>
    <row r="13" spans="2:12" ht="20.149999999999999" customHeight="1" x14ac:dyDescent="0.45">
      <c r="B13" s="468"/>
      <c r="C13" s="469"/>
      <c r="D13" s="470"/>
      <c r="E13" s="30"/>
      <c r="F13" s="460"/>
      <c r="G13" s="461"/>
      <c r="H13" s="462"/>
      <c r="J13" s="31" t="s">
        <v>12</v>
      </c>
      <c r="K13" s="471" t="s">
        <v>692</v>
      </c>
      <c r="L13" s="472"/>
    </row>
    <row r="14" spans="2:12" ht="20.149999999999999" customHeight="1" x14ac:dyDescent="0.45">
      <c r="B14" s="468"/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552"/>
      <c r="C15" s="474"/>
      <c r="D15" s="475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22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22" ht="20.149999999999999" customHeight="1" x14ac:dyDescent="0.45">
      <c r="B18" s="70"/>
      <c r="C18" s="22" t="s">
        <v>1572</v>
      </c>
      <c r="D18" s="508" t="str">
        <f>VLOOKUP(C18,'Sales Master'!B$3:D$499,2,)</f>
        <v>Red Bean红豆 (5.5 mm)</v>
      </c>
      <c r="E18" s="508"/>
      <c r="F18" s="508"/>
      <c r="G18" s="90">
        <v>3</v>
      </c>
      <c r="H18" s="68" t="str">
        <f>VLOOKUP(C18,'Sales Master'!$B$3:$F$3247,5,0)</f>
        <v>5 kgs</v>
      </c>
      <c r="I18" s="481" t="str">
        <f>VLOOKUP(C18,'Sales Master'!$B$3:$E$3247,4,0)</f>
        <v>-</v>
      </c>
      <c r="J18" s="481"/>
      <c r="K18" s="98">
        <f>VLOOKUP(C18,'Sales Master'!B$3:V$581,21,0)</f>
        <v>20</v>
      </c>
      <c r="L18" s="99">
        <f>K18*G18</f>
        <v>60</v>
      </c>
      <c r="M18" s="78"/>
      <c r="N18" s="225">
        <f>VLOOKUP(C18,'Sales Master'!$B$3:$DA$3038,104,0)</f>
        <v>17</v>
      </c>
      <c r="O18" s="225">
        <f>K18-N18</f>
        <v>3</v>
      </c>
      <c r="P18" s="225">
        <f>O18*G18</f>
        <v>9</v>
      </c>
      <c r="R18" s="24">
        <v>2</v>
      </c>
      <c r="S18" s="24" t="s">
        <v>36</v>
      </c>
      <c r="T18" s="24" t="s">
        <v>34</v>
      </c>
      <c r="V18" s="24">
        <v>6</v>
      </c>
    </row>
    <row r="19" spans="2:22" ht="20.149999999999999" customHeight="1" x14ac:dyDescent="0.45">
      <c r="B19" s="70"/>
      <c r="C19" s="22" t="s">
        <v>1585</v>
      </c>
      <c r="D19" s="508" t="str">
        <f>VLOOKUP(C19,'Sales Master'!B$3:D$499,2,)</f>
        <v>Green Bean 绿豆</v>
      </c>
      <c r="E19" s="508"/>
      <c r="F19" s="508"/>
      <c r="G19" s="90">
        <v>4</v>
      </c>
      <c r="H19" s="68" t="str">
        <f>VLOOKUP(C19,'Sales Master'!$B$3:$F$3247,5,0)</f>
        <v>5 kgs</v>
      </c>
      <c r="I19" s="481" t="str">
        <f>VLOOKUP(C19,'Sales Master'!$B$3:$E$3247,4,0)</f>
        <v>-</v>
      </c>
      <c r="J19" s="481"/>
      <c r="K19" s="98">
        <f>VLOOKUP(C19,'Sales Master'!B$3:V$581,21,0)</f>
        <v>14.5</v>
      </c>
      <c r="L19" s="99">
        <f>K19*G19</f>
        <v>58</v>
      </c>
      <c r="M19" s="78"/>
      <c r="N19" s="225">
        <f>VLOOKUP(C19,'Sales Master'!$B$3:$DA$3038,104,0)</f>
        <v>9.3999999999999986</v>
      </c>
      <c r="O19" s="225">
        <f>K19-N19</f>
        <v>5.1000000000000014</v>
      </c>
      <c r="P19" s="225">
        <f>O19*G19</f>
        <v>20.400000000000006</v>
      </c>
      <c r="R19" s="24">
        <v>1</v>
      </c>
      <c r="S19" s="24" t="s">
        <v>64</v>
      </c>
      <c r="T19" s="24" t="s">
        <v>494</v>
      </c>
    </row>
    <row r="20" spans="2:22" ht="20.149999999999999" customHeight="1" x14ac:dyDescent="0.45">
      <c r="B20" s="70"/>
      <c r="C20" s="22" t="s">
        <v>1582</v>
      </c>
      <c r="D20" s="508" t="str">
        <f>VLOOKUP(C20,'Sales Master'!B$3:D$499,2,)</f>
        <v>Chia Tao赤豆</v>
      </c>
      <c r="E20" s="508"/>
      <c r="F20" s="508"/>
      <c r="G20" s="90">
        <v>1</v>
      </c>
      <c r="H20" s="68" t="str">
        <f>VLOOKUP(C20,'Sales Master'!$B$3:$F$3247,5,0)</f>
        <v>5 kgs</v>
      </c>
      <c r="I20" s="481" t="str">
        <f>VLOOKUP(C20,'Sales Master'!$B$3:$E$3247,4,0)</f>
        <v>-</v>
      </c>
      <c r="J20" s="481"/>
      <c r="K20" s="98">
        <f>VLOOKUP(C20,'Sales Master'!B$3:V$581,21,0)</f>
        <v>18</v>
      </c>
      <c r="L20" s="99">
        <f>K20*G20</f>
        <v>18</v>
      </c>
      <c r="M20" s="78"/>
      <c r="N20" s="225">
        <f>VLOOKUP(C20,'Sales Master'!$B$3:$DA$3038,104,0)</f>
        <v>12.5</v>
      </c>
      <c r="O20" s="225">
        <f>K20-N20</f>
        <v>5.5</v>
      </c>
      <c r="P20" s="225">
        <f>O20*G20</f>
        <v>5.5</v>
      </c>
    </row>
    <row r="21" spans="2:22" ht="20.149999999999999" customHeight="1" x14ac:dyDescent="0.45">
      <c r="B21" s="70"/>
      <c r="C21" s="22" t="s">
        <v>1615</v>
      </c>
      <c r="D21" s="508" t="str">
        <f>VLOOKUP(C21,'Sales Master'!B$3:D$499,2,)</f>
        <v>Small Sago 小丸</v>
      </c>
      <c r="E21" s="508"/>
      <c r="F21" s="508"/>
      <c r="G21" s="90">
        <v>1</v>
      </c>
      <c r="H21" s="68" t="str">
        <f>VLOOKUP(C21,'Sales Master'!$B$3:$F$3247,5,0)</f>
        <v>5 kgs</v>
      </c>
      <c r="I21" s="481" t="str">
        <f>VLOOKUP(C21,'Sales Master'!$B$3:$E$3247,4,0)</f>
        <v>-</v>
      </c>
      <c r="J21" s="481"/>
      <c r="K21" s="98">
        <f>VLOOKUP(C21,'Sales Master'!B$3:V$581,21,0)</f>
        <v>10.5</v>
      </c>
      <c r="L21" s="99">
        <f>K21*G21</f>
        <v>10.5</v>
      </c>
      <c r="M21" s="78"/>
      <c r="N21" s="225">
        <f>VLOOKUP(C21,'Sales Master'!$B$3:$DA$3038,104,0)</f>
        <v>8</v>
      </c>
      <c r="O21" s="225">
        <f>K21-N21</f>
        <v>2.5</v>
      </c>
      <c r="P21" s="225">
        <f>O21*G21</f>
        <v>2.5</v>
      </c>
    </row>
    <row r="22" spans="2:22" ht="20.149999999999999" customHeight="1" x14ac:dyDescent="0.45">
      <c r="B22" s="70"/>
      <c r="C22" s="22" t="s">
        <v>1736</v>
      </c>
      <c r="D22" s="508" t="str">
        <f>VLOOKUP(C22,'Sales Master'!B$3:D$499,2,)</f>
        <v>Coconut Milk 椰浆</v>
      </c>
      <c r="E22" s="508"/>
      <c r="F22" s="508"/>
      <c r="G22" s="90">
        <v>2</v>
      </c>
      <c r="H22" s="68" t="str">
        <f>VLOOKUP(C22,'Sales Master'!$B$3:$F$3247,5,0)</f>
        <v>(1L x 12bag)/箱</v>
      </c>
      <c r="I22" s="481" t="str">
        <f>VLOOKUP(C22,'Sales Master'!$B$3:$E$3247,4,0)</f>
        <v>Kara UHT</v>
      </c>
      <c r="J22" s="481"/>
      <c r="K22" s="98">
        <f>VLOOKUP(C22,'Sales Master'!B$3:V$581,21,0)</f>
        <v>42</v>
      </c>
      <c r="L22" s="99">
        <f>K22*G22</f>
        <v>84</v>
      </c>
      <c r="M22" s="78"/>
      <c r="N22" s="225">
        <f>VLOOKUP(C22,'Sales Master'!$B$3:$DA$3038,104,0)</f>
        <v>35.5</v>
      </c>
      <c r="O22" s="225">
        <f>K22-N22</f>
        <v>6.5</v>
      </c>
      <c r="P22" s="225">
        <f>O22*G22</f>
        <v>13</v>
      </c>
    </row>
    <row r="23" spans="2:22" ht="20.149999999999999" customHeight="1" x14ac:dyDescent="0.45">
      <c r="B23" s="70"/>
      <c r="C23" s="22"/>
      <c r="D23" s="508"/>
      <c r="E23" s="508"/>
      <c r="F23" s="508"/>
      <c r="G23" s="90"/>
      <c r="H23" s="68"/>
      <c r="I23" s="481"/>
      <c r="J23" s="481"/>
      <c r="K23" s="98"/>
      <c r="L23" s="99"/>
    </row>
    <row r="24" spans="2:22" ht="20.149999999999999" customHeight="1" x14ac:dyDescent="0.45">
      <c r="B24" s="70"/>
      <c r="C24" s="22"/>
      <c r="D24" s="508"/>
      <c r="E24" s="508"/>
      <c r="F24" s="508"/>
      <c r="G24" s="90"/>
      <c r="H24" s="68"/>
      <c r="I24" s="481"/>
      <c r="J24" s="481"/>
      <c r="K24" s="98"/>
      <c r="L24" s="99"/>
      <c r="M24" s="78"/>
    </row>
    <row r="25" spans="2:22" ht="20.149999999999999" customHeight="1" x14ac:dyDescent="0.45">
      <c r="B25" s="70"/>
      <c r="C25" s="285" t="s">
        <v>1429</v>
      </c>
      <c r="G25" s="90"/>
      <c r="H25" s="68"/>
      <c r="I25" s="481"/>
      <c r="J25" s="481"/>
      <c r="K25" s="98"/>
      <c r="L25" s="99"/>
      <c r="M25" s="78"/>
    </row>
    <row r="26" spans="2:22" ht="20.149999999999999" customHeight="1" x14ac:dyDescent="0.45">
      <c r="B26" s="70"/>
      <c r="C26" s="22" t="s">
        <v>1572</v>
      </c>
      <c r="D26" s="508" t="str">
        <f>VLOOKUP(C26,'Sales Master'!B$3:D$499,2,)</f>
        <v>Red Bean红豆 (5.5 mm)</v>
      </c>
      <c r="E26" s="508"/>
      <c r="F26" s="508"/>
      <c r="G26" s="90">
        <v>1</v>
      </c>
      <c r="H26" s="68" t="str">
        <f>VLOOKUP(C26,'Sales Master'!$B$3:$F$3247,5,0)</f>
        <v>5 kgs</v>
      </c>
      <c r="I26" s="481" t="str">
        <f>VLOOKUP(C26,'Sales Master'!$B$3:$E$3247,4,0)</f>
        <v>-</v>
      </c>
      <c r="J26" s="481"/>
      <c r="K26" s="98">
        <f>VLOOKUP(C26,'Sales Master'!B$3:V$581,21,0)</f>
        <v>20</v>
      </c>
      <c r="L26" s="99"/>
      <c r="M26" s="78"/>
    </row>
    <row r="27" spans="2:22" ht="20.149999999999999" customHeight="1" x14ac:dyDescent="0.45">
      <c r="B27" s="70"/>
      <c r="C27" s="22" t="s">
        <v>1775</v>
      </c>
      <c r="D27" s="508" t="str">
        <f>VLOOKUP(C27,'Sales Master'!B$3:D$499,2,)</f>
        <v>Coconut Sugar椰糖</v>
      </c>
      <c r="E27" s="508"/>
      <c r="F27" s="508"/>
      <c r="G27" s="90">
        <v>1</v>
      </c>
      <c r="H27" s="68" t="str">
        <f>VLOOKUP(C27,'Sales Master'!$B$3:$F$3247,5,0)</f>
        <v>10kgs/ctn</v>
      </c>
      <c r="I27" s="481" t="str">
        <f>VLOOKUP(C27,'Sales Master'!$B$3:$E$3247,4,0)</f>
        <v>Malaysia</v>
      </c>
      <c r="J27" s="481"/>
      <c r="K27" s="98">
        <v>24</v>
      </c>
      <c r="L27" s="99"/>
      <c r="M27" s="78"/>
    </row>
    <row r="28" spans="2:22" ht="20.149999999999999" customHeight="1" x14ac:dyDescent="0.45">
      <c r="B28" s="70"/>
      <c r="C28" s="22" t="s">
        <v>1582</v>
      </c>
      <c r="D28" s="508" t="str">
        <f>VLOOKUP(C28,'Sales Master'!B$3:D$499,2,)</f>
        <v>Chia Tao赤豆</v>
      </c>
      <c r="E28" s="508"/>
      <c r="F28" s="508"/>
      <c r="G28" s="90">
        <v>1</v>
      </c>
      <c r="H28" s="68" t="str">
        <f>VLOOKUP(C28,'Sales Master'!$B$3:$F$3247,5,0)</f>
        <v>5 kgs</v>
      </c>
      <c r="I28" s="481" t="str">
        <f>VLOOKUP(C28,'Sales Master'!$B$3:$E$3247,4,0)</f>
        <v>-</v>
      </c>
      <c r="J28" s="481"/>
      <c r="K28" s="98">
        <f>VLOOKUP(C28,'Sales Master'!B$3:V$581,21,0)</f>
        <v>18</v>
      </c>
      <c r="L28" s="99"/>
      <c r="M28" s="78"/>
    </row>
    <row r="29" spans="2:22" ht="20.149999999999999" customHeight="1" x14ac:dyDescent="0.45">
      <c r="B29" s="70"/>
      <c r="C29" s="22"/>
      <c r="D29" s="508"/>
      <c r="E29" s="508"/>
      <c r="F29" s="508"/>
      <c r="G29" s="90"/>
      <c r="H29" s="68"/>
      <c r="I29" s="481"/>
      <c r="J29" s="481"/>
      <c r="K29" s="98"/>
      <c r="L29" s="99"/>
      <c r="M29" s="78"/>
    </row>
    <row r="30" spans="2:22" ht="20.149999999999999" customHeight="1" x14ac:dyDescent="0.45">
      <c r="B30" s="70"/>
      <c r="C30" s="22"/>
      <c r="D30" s="508"/>
      <c r="E30" s="508"/>
      <c r="F30" s="508"/>
      <c r="G30" s="90"/>
      <c r="H30" s="97"/>
      <c r="I30" s="578"/>
      <c r="J30" s="578"/>
      <c r="K30" s="98"/>
      <c r="L30" s="99"/>
    </row>
    <row r="31" spans="2:22" ht="20.149999999999999" customHeight="1" thickBot="1" x14ac:dyDescent="0.5">
      <c r="B31" s="52"/>
      <c r="C31" s="53"/>
      <c r="D31" s="53"/>
      <c r="E31" s="53"/>
      <c r="F31" s="53"/>
      <c r="G31" s="53"/>
      <c r="H31" s="53"/>
      <c r="I31" s="53"/>
      <c r="J31" s="53"/>
      <c r="K31" s="53"/>
      <c r="L31" s="54"/>
    </row>
    <row r="32" spans="2:22" ht="20.149999999999999" customHeight="1" x14ac:dyDescent="0.45">
      <c r="B32" s="11" t="s">
        <v>18</v>
      </c>
      <c r="C32" s="7"/>
      <c r="D32" s="7"/>
      <c r="E32" s="7"/>
      <c r="F32" s="7"/>
      <c r="G32" s="7"/>
      <c r="H32" s="7"/>
      <c r="I32" s="7"/>
      <c r="J32" s="510" t="s">
        <v>15</v>
      </c>
      <c r="K32" s="511"/>
      <c r="L32" s="43">
        <f>SUM(L17:L30)</f>
        <v>230.5</v>
      </c>
      <c r="M32" s="76">
        <f>L32-316.5</f>
        <v>-86</v>
      </c>
    </row>
    <row r="33" spans="2:12" ht="20.149999999999999" customHeight="1" x14ac:dyDescent="0.45">
      <c r="B33" s="11" t="s">
        <v>19</v>
      </c>
      <c r="C33" s="7"/>
      <c r="D33" s="7"/>
      <c r="E33" s="7"/>
      <c r="F33" s="7"/>
      <c r="G33" s="7"/>
      <c r="H33" s="7"/>
      <c r="I33" s="7"/>
      <c r="J33" s="44" t="s">
        <v>22</v>
      </c>
      <c r="K33" s="45"/>
      <c r="L33" s="46">
        <f>L32*K33</f>
        <v>0</v>
      </c>
    </row>
    <row r="34" spans="2:12" ht="20.149999999999999" customHeight="1" x14ac:dyDescent="0.45">
      <c r="B34" s="11" t="s">
        <v>20</v>
      </c>
      <c r="C34" s="7"/>
      <c r="D34" s="7"/>
      <c r="E34" s="7"/>
      <c r="F34" s="7"/>
      <c r="G34" s="7"/>
      <c r="H34" s="7"/>
      <c r="I34" s="7"/>
      <c r="J34" s="486" t="s">
        <v>21</v>
      </c>
      <c r="K34" s="487"/>
      <c r="L34" s="46">
        <f>L32-L33</f>
        <v>230.5</v>
      </c>
    </row>
    <row r="35" spans="2:12" ht="20.149999999999999" customHeight="1" x14ac:dyDescent="0.45">
      <c r="B35" s="11" t="s">
        <v>24</v>
      </c>
      <c r="C35" s="7"/>
      <c r="D35" s="7"/>
      <c r="E35" s="7"/>
      <c r="F35" s="7"/>
      <c r="G35" s="7"/>
      <c r="H35" s="7"/>
      <c r="I35" s="7"/>
      <c r="J35" s="150" t="s">
        <v>17</v>
      </c>
      <c r="K35" s="151">
        <v>7.0000000000000007E-2</v>
      </c>
      <c r="L35" s="47">
        <f>L34*K35</f>
        <v>16.135000000000002</v>
      </c>
    </row>
    <row r="36" spans="2:12" ht="20.149999999999999" customHeight="1" thickBot="1" x14ac:dyDescent="0.5">
      <c r="B36" s="11" t="s">
        <v>1400</v>
      </c>
      <c r="C36" s="7"/>
      <c r="D36" s="7"/>
      <c r="E36" s="7"/>
      <c r="F36" s="7"/>
      <c r="G36" s="7"/>
      <c r="H36" s="7"/>
      <c r="I36" s="7"/>
      <c r="J36" s="488" t="s">
        <v>23</v>
      </c>
      <c r="K36" s="489"/>
      <c r="L36" s="48">
        <f>L34+L35</f>
        <v>246.63499999999999</v>
      </c>
    </row>
    <row r="37" spans="2:12" ht="20.149999999999999" customHeight="1" x14ac:dyDescent="0.45">
      <c r="B37" s="11" t="s">
        <v>26</v>
      </c>
      <c r="C37" s="7"/>
      <c r="D37" s="7"/>
      <c r="E37" s="7"/>
      <c r="F37" s="7"/>
      <c r="G37" s="7"/>
      <c r="H37" s="7"/>
      <c r="I37" s="7"/>
      <c r="L37" s="42"/>
    </row>
    <row r="38" spans="2:12" ht="20.149999999999999" customHeight="1" x14ac:dyDescent="0.45">
      <c r="B38" s="224" t="s">
        <v>1379</v>
      </c>
      <c r="L38" s="42"/>
    </row>
    <row r="39" spans="2:12" ht="20.149999999999999" customHeight="1" x14ac:dyDescent="0.45">
      <c r="B39" s="41"/>
      <c r="L39" s="42"/>
    </row>
    <row r="40" spans="2:12" ht="20.149999999999999" customHeight="1" x14ac:dyDescent="0.45">
      <c r="B40" s="41"/>
      <c r="L40" s="42"/>
    </row>
    <row r="41" spans="2:12" ht="20.149999999999999" customHeight="1" x14ac:dyDescent="0.45">
      <c r="B41" s="41"/>
      <c r="L41" s="42"/>
    </row>
    <row r="42" spans="2:12" ht="20.149999999999999" customHeight="1" x14ac:dyDescent="0.45">
      <c r="B42" s="49"/>
      <c r="C42" s="50"/>
      <c r="D42" s="50"/>
      <c r="J42" s="50"/>
      <c r="K42" s="50"/>
      <c r="L42" s="51"/>
    </row>
    <row r="43" spans="2:12" ht="20.149999999999999" customHeight="1" x14ac:dyDescent="0.45">
      <c r="B43" s="41" t="s">
        <v>27</v>
      </c>
      <c r="J43" s="24" t="s">
        <v>28</v>
      </c>
      <c r="L43" s="42"/>
    </row>
    <row r="44" spans="2:12" ht="19" thickBot="1" x14ac:dyDescent="0.5">
      <c r="B44" s="52"/>
      <c r="C44" s="53"/>
      <c r="D44" s="53"/>
      <c r="E44" s="53"/>
      <c r="F44" s="53"/>
      <c r="G44" s="53"/>
      <c r="H44" s="53"/>
      <c r="I44" s="53"/>
      <c r="J44" s="53"/>
      <c r="K44" s="53"/>
      <c r="L44" s="54"/>
    </row>
  </sheetData>
  <mergeCells count="43">
    <mergeCell ref="D27:F27"/>
    <mergeCell ref="I27:J27"/>
    <mergeCell ref="D28:F28"/>
    <mergeCell ref="I28:J28"/>
    <mergeCell ref="J36:K36"/>
    <mergeCell ref="D29:F29"/>
    <mergeCell ref="I29:J29"/>
    <mergeCell ref="D30:F30"/>
    <mergeCell ref="I30:J30"/>
    <mergeCell ref="J32:K32"/>
    <mergeCell ref="J34:K34"/>
    <mergeCell ref="D24:F24"/>
    <mergeCell ref="I24:J24"/>
    <mergeCell ref="I25:J25"/>
    <mergeCell ref="D26:F26"/>
    <mergeCell ref="I26:J26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5" orientation="portrait" verticalDpi="300" r:id="rId1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FE2A76-D18A-43D2-B5A3-B2E21F05CD35}">
  <sheetPr codeName="Sheet131">
    <tabColor rgb="FF996600"/>
    <pageSetUpPr fitToPage="1"/>
  </sheetPr>
  <dimension ref="B1:P45"/>
  <sheetViews>
    <sheetView topLeftCell="B25" workbookViewId="0">
      <selection activeCell="J36" sqref="J36:K36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4.54296875" style="24" customWidth="1"/>
    <col min="7" max="7" width="8.54296875" style="24" customWidth="1"/>
    <col min="8" max="8" width="16.1796875" style="24" customWidth="1"/>
    <col min="9" max="9" width="1" style="24" customWidth="1"/>
    <col min="10" max="10" width="14" style="24" customWidth="1"/>
    <col min="11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989</v>
      </c>
      <c r="J10" s="29" t="s">
        <v>29</v>
      </c>
      <c r="K10" s="452">
        <v>202210007</v>
      </c>
      <c r="L10" s="453"/>
    </row>
    <row r="11" spans="2:12" ht="20.149999999999999" customHeight="1" x14ac:dyDescent="0.45">
      <c r="B11" s="454" t="s">
        <v>2037</v>
      </c>
      <c r="C11" s="455"/>
      <c r="D11" s="456"/>
      <c r="E11" s="30"/>
      <c r="F11" s="457" t="str">
        <f>VLOOKUP(H10,'Delivery Location'!A$4:N$416,2,0)</f>
        <v>Happy Hawkers Kopitiam                    622D Punggol Central,                      Singapore 824622.                                   Tim Sum Counter</v>
      </c>
      <c r="G11" s="458"/>
      <c r="H11" s="459"/>
      <c r="J11" s="31" t="s">
        <v>11</v>
      </c>
      <c r="K11" s="466">
        <v>44835</v>
      </c>
      <c r="L11" s="467"/>
    </row>
    <row r="12" spans="2:12" ht="20.149999999999999" customHeight="1" x14ac:dyDescent="0.45">
      <c r="B12" s="468" t="s">
        <v>2139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36</v>
      </c>
      <c r="L12" s="472"/>
    </row>
    <row r="13" spans="2:12" ht="20.149999999999999" customHeight="1" x14ac:dyDescent="0.45">
      <c r="B13" s="468" t="s">
        <v>2024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14</v>
      </c>
      <c r="L13" s="472"/>
    </row>
    <row r="14" spans="2:12" ht="20.149999999999999" customHeight="1" x14ac:dyDescent="0.45">
      <c r="B14" s="468" t="s">
        <v>2025</v>
      </c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463" t="s">
        <v>2026</v>
      </c>
      <c r="C15" s="464"/>
      <c r="D15" s="465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16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16" ht="20.149999999999999" customHeight="1" x14ac:dyDescent="0.45">
      <c r="B18" s="34"/>
      <c r="C18" s="22" t="s">
        <v>1532</v>
      </c>
      <c r="D18" s="508" t="str">
        <f>VLOOKUP(C18,'Sales Master'!B$3:D$499,2,)</f>
        <v>Sweet Potato Powder番薯粉</v>
      </c>
      <c r="E18" s="508"/>
      <c r="F18" s="508"/>
      <c r="G18" s="22">
        <v>2</v>
      </c>
      <c r="H18" s="68" t="str">
        <f>VLOOKUP(C18,'Sales Master'!$B$3:$F$3247,5,0)</f>
        <v>(500gm x 20Pkt)包</v>
      </c>
      <c r="I18" s="481" t="str">
        <f>VLOOKUP(C18,'Sales Master'!$B$3:$E$3247,4,0)</f>
        <v>RE-PACK</v>
      </c>
      <c r="J18" s="481"/>
      <c r="K18" s="35">
        <f>VLOOKUP(C18,'Sales Master'!$B$3:$J$583,9,0)</f>
        <v>32</v>
      </c>
      <c r="L18" s="36">
        <f>K18*G18</f>
        <v>64</v>
      </c>
      <c r="N18" s="225">
        <f>VLOOKUP(C18,'Sales Master'!$B$3:$DA$3038,104,0)</f>
        <v>24.8</v>
      </c>
      <c r="O18" s="225">
        <f>K18-N18</f>
        <v>7.1999999999999993</v>
      </c>
      <c r="P18" s="225">
        <f>O18*G18</f>
        <v>14.399999999999999</v>
      </c>
    </row>
    <row r="19" spans="2:16" ht="20.149999999999999" customHeight="1" x14ac:dyDescent="0.45">
      <c r="B19" s="34"/>
      <c r="C19" s="22" t="s">
        <v>1566</v>
      </c>
      <c r="D19" s="508" t="str">
        <f>VLOOKUP(C19,'Sales Master'!B$3:D$499,2,)</f>
        <v>Chin Chow  仙草</v>
      </c>
      <c r="E19" s="508"/>
      <c r="F19" s="508"/>
      <c r="G19" s="22">
        <v>2</v>
      </c>
      <c r="H19" s="68" t="str">
        <f>VLOOKUP(C19,'Sales Master'!$B$3:$F$3247,5,0)</f>
        <v>5KGS/PKT</v>
      </c>
      <c r="I19" s="481" t="str">
        <f>VLOOKUP(C19,'Sales Master'!$B$3:$E$3247,4,0)</f>
        <v>TSM</v>
      </c>
      <c r="J19" s="481"/>
      <c r="K19" s="35">
        <f>VLOOKUP(C19,'Sales Master'!$B$3:$J$583,9,0)</f>
        <v>4.5</v>
      </c>
      <c r="L19" s="36">
        <f>K19*G19</f>
        <v>9</v>
      </c>
      <c r="N19" s="225">
        <f>VLOOKUP(C19,'Sales Master'!$B$3:$DA$3038,104,0)</f>
        <v>4</v>
      </c>
      <c r="O19" s="225">
        <f>K19-N19</f>
        <v>0.5</v>
      </c>
      <c r="P19" s="225">
        <f>O19*G19</f>
        <v>1</v>
      </c>
    </row>
    <row r="20" spans="2:16" ht="20.149999999999999" customHeight="1" x14ac:dyDescent="0.45">
      <c r="B20" s="34"/>
      <c r="C20" s="22" t="s">
        <v>1585</v>
      </c>
      <c r="D20" s="508" t="str">
        <f>VLOOKUP(C20,'Sales Master'!B$3:D$499,2,)</f>
        <v>Green Bean 绿豆</v>
      </c>
      <c r="E20" s="508"/>
      <c r="F20" s="508"/>
      <c r="G20" s="22">
        <v>2</v>
      </c>
      <c r="H20" s="68" t="str">
        <f>VLOOKUP(C20,'Sales Master'!$B$3:$F$3247,5,0)</f>
        <v>5 kgs</v>
      </c>
      <c r="I20" s="481" t="str">
        <f>VLOOKUP(C20,'Sales Master'!$B$3:$E$3247,4,0)</f>
        <v>-</v>
      </c>
      <c r="J20" s="481"/>
      <c r="K20" s="35">
        <f>VLOOKUP(C20,'Sales Master'!$B$3:$J$583,9,0)</f>
        <v>13</v>
      </c>
      <c r="L20" s="36">
        <f>K20*G20</f>
        <v>26</v>
      </c>
      <c r="N20" s="225">
        <f>VLOOKUP(C20,'Sales Master'!$B$3:$DA$3038,104,0)</f>
        <v>9.3999999999999986</v>
      </c>
      <c r="O20" s="225">
        <f>K20-N20</f>
        <v>3.6000000000000014</v>
      </c>
      <c r="P20" s="225">
        <f>O20*G20</f>
        <v>7.2000000000000028</v>
      </c>
    </row>
    <row r="21" spans="2:16" ht="20.149999999999999" customHeight="1" x14ac:dyDescent="0.45">
      <c r="B21" s="34"/>
      <c r="C21" s="22"/>
      <c r="D21" s="508"/>
      <c r="E21" s="508"/>
      <c r="F21" s="508"/>
      <c r="G21" s="22"/>
      <c r="H21" s="68"/>
      <c r="I21" s="481"/>
      <c r="J21" s="481"/>
      <c r="K21" s="35"/>
      <c r="L21" s="36"/>
      <c r="N21" s="225"/>
      <c r="O21" s="225"/>
      <c r="P21" s="225"/>
    </row>
    <row r="22" spans="2:16" ht="20.149999999999999" customHeight="1" x14ac:dyDescent="0.45">
      <c r="B22" s="34"/>
      <c r="C22" s="22"/>
      <c r="D22" s="508"/>
      <c r="E22" s="508"/>
      <c r="F22" s="508"/>
      <c r="G22" s="22"/>
      <c r="H22" s="68"/>
      <c r="I22" s="481"/>
      <c r="J22" s="481"/>
      <c r="K22" s="35"/>
      <c r="L22" s="36"/>
      <c r="N22" s="225"/>
      <c r="O22" s="225"/>
      <c r="P22" s="225"/>
    </row>
    <row r="23" spans="2:16" ht="20.149999999999999" customHeight="1" x14ac:dyDescent="0.45">
      <c r="B23" s="34"/>
      <c r="C23" s="22"/>
      <c r="D23" s="508"/>
      <c r="E23" s="508"/>
      <c r="F23" s="508"/>
      <c r="G23" s="22"/>
      <c r="H23" s="68"/>
      <c r="I23" s="450"/>
      <c r="J23" s="450"/>
      <c r="K23" s="35"/>
      <c r="L23" s="36"/>
    </row>
    <row r="24" spans="2:16" ht="20.149999999999999" customHeight="1" x14ac:dyDescent="0.45">
      <c r="B24" s="34"/>
      <c r="C24" s="22"/>
      <c r="G24" s="22"/>
      <c r="H24" s="68"/>
      <c r="I24" s="450"/>
      <c r="J24" s="450"/>
      <c r="K24" s="35"/>
      <c r="L24" s="36"/>
    </row>
    <row r="25" spans="2:16" ht="20.149999999999999" customHeight="1" x14ac:dyDescent="0.45">
      <c r="B25" s="34"/>
      <c r="C25" s="22"/>
      <c r="G25" s="22"/>
      <c r="H25" s="68"/>
      <c r="I25" s="450"/>
      <c r="J25" s="450"/>
      <c r="K25" s="35"/>
      <c r="L25" s="36"/>
    </row>
    <row r="26" spans="2:16" ht="20.149999999999999" customHeight="1" x14ac:dyDescent="0.45">
      <c r="B26" s="34"/>
      <c r="C26" s="22"/>
      <c r="G26" s="22"/>
      <c r="H26" s="68"/>
      <c r="I26" s="450"/>
      <c r="J26" s="450"/>
      <c r="K26" s="35"/>
      <c r="L26" s="36"/>
    </row>
    <row r="27" spans="2:16" ht="20.149999999999999" customHeight="1" x14ac:dyDescent="0.45">
      <c r="B27" s="34"/>
      <c r="C27" s="22"/>
      <c r="G27" s="22"/>
      <c r="H27" s="68"/>
      <c r="I27" s="450"/>
      <c r="J27" s="450"/>
      <c r="K27" s="35"/>
      <c r="L27" s="36"/>
    </row>
    <row r="28" spans="2:16" ht="20.149999999999999" customHeight="1" x14ac:dyDescent="0.45">
      <c r="B28" s="34"/>
      <c r="C28" s="22"/>
      <c r="G28" s="22"/>
      <c r="H28" s="68"/>
      <c r="I28" s="450"/>
      <c r="J28" s="450"/>
      <c r="K28" s="35"/>
      <c r="L28" s="36"/>
    </row>
    <row r="29" spans="2:16" ht="20.149999999999999" customHeight="1" x14ac:dyDescent="0.45">
      <c r="B29" s="34"/>
      <c r="C29" s="22"/>
      <c r="D29" s="508"/>
      <c r="E29" s="508"/>
      <c r="F29" s="508"/>
      <c r="G29" s="22"/>
      <c r="H29" s="22"/>
      <c r="I29" s="22"/>
      <c r="J29" s="22"/>
      <c r="K29" s="35"/>
      <c r="L29" s="36"/>
    </row>
    <row r="30" spans="2:16" ht="20.149999999999999" customHeight="1" thickBot="1" x14ac:dyDescent="0.5">
      <c r="B30" s="37"/>
      <c r="C30" s="38"/>
      <c r="D30" s="509"/>
      <c r="E30" s="509"/>
      <c r="F30" s="509"/>
      <c r="G30" s="38"/>
      <c r="H30" s="38"/>
      <c r="I30" s="38"/>
      <c r="J30" s="38"/>
      <c r="K30" s="39"/>
      <c r="L30" s="40"/>
    </row>
    <row r="31" spans="2:16" ht="20.149999999999999" customHeight="1" thickBot="1" x14ac:dyDescent="0.5">
      <c r="B31" s="41"/>
      <c r="L31" s="42"/>
    </row>
    <row r="32" spans="2:16" ht="20.149999999999999" customHeight="1" x14ac:dyDescent="0.45">
      <c r="B32" s="11" t="s">
        <v>18</v>
      </c>
      <c r="C32" s="7"/>
      <c r="D32" s="7"/>
      <c r="E32" s="7"/>
      <c r="F32" s="7"/>
      <c r="G32" s="7"/>
      <c r="H32" s="7"/>
      <c r="I32" s="7"/>
      <c r="J32" s="510" t="s">
        <v>15</v>
      </c>
      <c r="K32" s="511"/>
      <c r="L32" s="43">
        <f>SUM(L17:L30)</f>
        <v>99</v>
      </c>
      <c r="M32" s="76">
        <f>SUM(P18:P30)-L32*0.02</f>
        <v>20.62</v>
      </c>
      <c r="N32" s="201">
        <f>M32/L32</f>
        <v>0.20828282828282829</v>
      </c>
    </row>
    <row r="33" spans="2:12" ht="20.149999999999999" customHeight="1" x14ac:dyDescent="0.45">
      <c r="B33" s="11" t="s">
        <v>19</v>
      </c>
      <c r="C33" s="7"/>
      <c r="D33" s="7"/>
      <c r="E33" s="7"/>
      <c r="F33" s="7"/>
      <c r="G33" s="7"/>
      <c r="H33" s="7"/>
      <c r="I33" s="7"/>
      <c r="J33" s="44" t="s">
        <v>22</v>
      </c>
      <c r="K33" s="45"/>
      <c r="L33" s="46">
        <f>L32*K33</f>
        <v>0</v>
      </c>
    </row>
    <row r="34" spans="2:12" ht="20.149999999999999" customHeight="1" x14ac:dyDescent="0.45">
      <c r="B34" s="11" t="s">
        <v>20</v>
      </c>
      <c r="C34" s="7"/>
      <c r="D34" s="7"/>
      <c r="E34" s="7"/>
      <c r="F34" s="7"/>
      <c r="G34" s="7"/>
      <c r="H34" s="7"/>
      <c r="I34" s="7"/>
      <c r="J34" s="486" t="s">
        <v>21</v>
      </c>
      <c r="K34" s="487"/>
      <c r="L34" s="46">
        <f>L32-L33</f>
        <v>99</v>
      </c>
    </row>
    <row r="35" spans="2:12" ht="20.149999999999999" customHeight="1" x14ac:dyDescent="0.45">
      <c r="B35" s="11" t="s">
        <v>24</v>
      </c>
      <c r="C35" s="7"/>
      <c r="D35" s="7"/>
      <c r="E35" s="7"/>
      <c r="F35" s="7"/>
      <c r="G35" s="7"/>
      <c r="H35" s="7"/>
      <c r="I35" s="7"/>
      <c r="J35" s="150" t="s">
        <v>17</v>
      </c>
      <c r="K35" s="151">
        <v>7.0000000000000007E-2</v>
      </c>
      <c r="L35" s="47">
        <f>L34*K35</f>
        <v>6.9300000000000006</v>
      </c>
    </row>
    <row r="36" spans="2:12" ht="20.149999999999999" customHeight="1" thickBot="1" x14ac:dyDescent="0.5">
      <c r="B36" s="11" t="s">
        <v>25</v>
      </c>
      <c r="C36" s="7"/>
      <c r="D36" s="7"/>
      <c r="E36" s="7"/>
      <c r="F36" s="7"/>
      <c r="G36" s="7"/>
      <c r="H36" s="7"/>
      <c r="I36" s="7"/>
      <c r="J36" s="488" t="s">
        <v>23</v>
      </c>
      <c r="K36" s="489"/>
      <c r="L36" s="48">
        <f>L34+L35</f>
        <v>105.93</v>
      </c>
    </row>
    <row r="37" spans="2:12" ht="20.149999999999999" customHeight="1" x14ac:dyDescent="0.45">
      <c r="B37" s="11" t="s">
        <v>26</v>
      </c>
      <c r="C37" s="7"/>
      <c r="D37" s="7"/>
      <c r="E37" s="7"/>
      <c r="F37" s="7"/>
      <c r="G37" s="7"/>
      <c r="H37" s="7"/>
      <c r="I37" s="7"/>
      <c r="L37" s="42"/>
    </row>
    <row r="38" spans="2:12" ht="20.149999999999999" customHeight="1" x14ac:dyDescent="0.45">
      <c r="B38" s="41"/>
      <c r="L38" s="42"/>
    </row>
    <row r="39" spans="2:12" ht="20.149999999999999" customHeight="1" x14ac:dyDescent="0.45">
      <c r="B39" s="41"/>
      <c r="L39" s="42"/>
    </row>
    <row r="40" spans="2:12" ht="20.149999999999999" customHeight="1" x14ac:dyDescent="0.45">
      <c r="B40" s="41"/>
      <c r="L40" s="42"/>
    </row>
    <row r="41" spans="2:12" ht="20.149999999999999" customHeight="1" x14ac:dyDescent="0.45">
      <c r="B41" s="41"/>
      <c r="L41" s="42"/>
    </row>
    <row r="42" spans="2:12" ht="20.149999999999999" customHeight="1" x14ac:dyDescent="0.45">
      <c r="B42" s="49"/>
      <c r="C42" s="50"/>
      <c r="D42" s="50"/>
      <c r="J42" s="50"/>
      <c r="K42" s="50"/>
      <c r="L42" s="51"/>
    </row>
    <row r="43" spans="2:12" ht="20.149999999999999" customHeight="1" x14ac:dyDescent="0.45">
      <c r="B43" s="41" t="s">
        <v>27</v>
      </c>
      <c r="J43" s="24" t="s">
        <v>28</v>
      </c>
      <c r="L43" s="42"/>
    </row>
    <row r="44" spans="2:12" ht="19" thickBot="1" x14ac:dyDescent="0.5">
      <c r="B44" s="52"/>
      <c r="C44" s="53"/>
      <c r="D44" s="53"/>
      <c r="E44" s="53"/>
      <c r="F44" s="53"/>
      <c r="G44" s="53"/>
      <c r="H44" s="53"/>
      <c r="I44" s="53"/>
      <c r="J44" s="53"/>
      <c r="K44" s="53"/>
      <c r="L44" s="54"/>
    </row>
    <row r="45" spans="2:12" ht="20.5" x14ac:dyDescent="0.45">
      <c r="F45" s="427"/>
    </row>
  </sheetData>
  <mergeCells count="37">
    <mergeCell ref="D17:F17"/>
    <mergeCell ref="I17:J1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  <mergeCell ref="J34:K34"/>
    <mergeCell ref="J36:K36"/>
    <mergeCell ref="I24:J24"/>
    <mergeCell ref="I25:J25"/>
    <mergeCell ref="I26:J26"/>
    <mergeCell ref="I27:J27"/>
    <mergeCell ref="I28:J28"/>
    <mergeCell ref="B1:L8"/>
    <mergeCell ref="D29:F29"/>
    <mergeCell ref="D30:F30"/>
    <mergeCell ref="J32:K32"/>
    <mergeCell ref="D20:F20"/>
    <mergeCell ref="I20:J20"/>
    <mergeCell ref="D21:F21"/>
    <mergeCell ref="I21:J21"/>
    <mergeCell ref="D22:F22"/>
    <mergeCell ref="I22:J22"/>
    <mergeCell ref="D23:F23"/>
    <mergeCell ref="I23:J23"/>
    <mergeCell ref="D19:F19"/>
    <mergeCell ref="I19:J19"/>
    <mergeCell ref="D18:F18"/>
    <mergeCell ref="I18:J18"/>
  </mergeCells>
  <pageMargins left="0.70866141732283472" right="0.31496062992125984" top="0.59055118110236227" bottom="0" header="0.31496062992125984" footer="0.31496062992125984"/>
  <pageSetup paperSize="9" scale="79" orientation="portrait" horizontalDpi="300" verticalDpi="300" r:id="rId1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E8293A-9525-415D-A3B9-935637B9C073}">
  <sheetPr codeName="Sheet132">
    <tabColor rgb="FF996600"/>
    <pageSetUpPr fitToPage="1"/>
  </sheetPr>
  <dimension ref="B1:P51"/>
  <sheetViews>
    <sheetView topLeftCell="A10" workbookViewId="0">
      <selection activeCell="B48" sqref="B48:B49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4.54296875" style="24" customWidth="1"/>
    <col min="7" max="7" width="8.54296875" style="24" customWidth="1"/>
    <col min="8" max="8" width="17.1796875" style="24" customWidth="1"/>
    <col min="9" max="9" width="1.54296875" style="24" customWidth="1"/>
    <col min="10" max="10" width="15.54296875" style="24" customWidth="1"/>
    <col min="11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990</v>
      </c>
      <c r="J10" s="29" t="s">
        <v>29</v>
      </c>
      <c r="K10" s="452">
        <v>202208007</v>
      </c>
      <c r="L10" s="453"/>
    </row>
    <row r="11" spans="2:12" ht="20.149999999999999" customHeight="1" x14ac:dyDescent="0.45">
      <c r="B11" s="454" t="s">
        <v>2037</v>
      </c>
      <c r="C11" s="455"/>
      <c r="D11" s="456"/>
      <c r="E11" s="30"/>
      <c r="F11" s="457" t="str">
        <f>VLOOKUP(H10,'Delivery Location'!A$4:N$416,2,0)</f>
        <v>Happy Hawkers Kopitiam                   622D Punggol Central,                       Singapore 824622.                                  Drink Counter</v>
      </c>
      <c r="G11" s="458"/>
      <c r="H11" s="459"/>
      <c r="J11" s="31" t="s">
        <v>11</v>
      </c>
      <c r="K11" s="466">
        <v>44774</v>
      </c>
      <c r="L11" s="467"/>
    </row>
    <row r="12" spans="2:12" ht="20.149999999999999" customHeight="1" x14ac:dyDescent="0.45">
      <c r="B12" s="468" t="s">
        <v>2139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36</v>
      </c>
      <c r="L12" s="472"/>
    </row>
    <row r="13" spans="2:12" ht="20.149999999999999" customHeight="1" x14ac:dyDescent="0.45">
      <c r="B13" s="468" t="s">
        <v>2024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14</v>
      </c>
      <c r="L13" s="472"/>
    </row>
    <row r="14" spans="2:12" ht="20.149999999999999" customHeight="1" x14ac:dyDescent="0.45">
      <c r="B14" s="468" t="s">
        <v>2025</v>
      </c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463" t="s">
        <v>2026</v>
      </c>
      <c r="C15" s="464"/>
      <c r="D15" s="465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16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16" ht="20.149999999999999" customHeight="1" x14ac:dyDescent="0.45">
      <c r="B18" s="34"/>
      <c r="C18" s="22" t="s">
        <v>1532</v>
      </c>
      <c r="D18" s="508" t="str">
        <f>VLOOKUP(C18,'Sales Master'!B$3:D$499,2,)</f>
        <v>Sweet Potato Powder番薯粉</v>
      </c>
      <c r="E18" s="508"/>
      <c r="F18" s="508"/>
      <c r="G18" s="22">
        <v>1</v>
      </c>
      <c r="H18" s="68" t="str">
        <f>VLOOKUP(C18,'Sales Master'!$B$3:$F$3247,5,0)</f>
        <v>(500gm x 20Pkt)包</v>
      </c>
      <c r="I18" s="481" t="str">
        <f>VLOOKUP(C18,'Sales Master'!$B$3:$E$3247,4,0)</f>
        <v>RE-PACK</v>
      </c>
      <c r="J18" s="481"/>
      <c r="K18" s="35">
        <f>VLOOKUP(C18,'Sales Master'!$B$3:$J$583,9,0)</f>
        <v>32</v>
      </c>
      <c r="L18" s="36">
        <f>K18*G18</f>
        <v>32</v>
      </c>
      <c r="N18" s="225">
        <f>VLOOKUP(C18,'Sales Master'!$B$3:$DA$3038,104,0)</f>
        <v>24.8</v>
      </c>
      <c r="O18" s="225">
        <f>K18-N18</f>
        <v>7.1999999999999993</v>
      </c>
      <c r="P18" s="225">
        <f>O18*G18</f>
        <v>7.1999999999999993</v>
      </c>
    </row>
    <row r="19" spans="2:16" ht="20.149999999999999" customHeight="1" x14ac:dyDescent="0.45">
      <c r="B19" s="34"/>
      <c r="C19" s="22" t="s">
        <v>1566</v>
      </c>
      <c r="D19" s="508" t="str">
        <f>VLOOKUP(C19,'Sales Master'!B$3:D$499,2,)</f>
        <v>Chin Chow  仙草</v>
      </c>
      <c r="E19" s="508"/>
      <c r="F19" s="508"/>
      <c r="G19" s="22">
        <v>2</v>
      </c>
      <c r="H19" s="68" t="str">
        <f>VLOOKUP(C19,'Sales Master'!$B$3:$F$3247,5,0)</f>
        <v>5KGS/PKT</v>
      </c>
      <c r="I19" s="481" t="str">
        <f>VLOOKUP(C19,'Sales Master'!$B$3:$E$3247,4,0)</f>
        <v>TSM</v>
      </c>
      <c r="J19" s="481"/>
      <c r="K19" s="35">
        <f>VLOOKUP(C19,'Sales Master'!$B$3:$J$583,9,0)</f>
        <v>4.5</v>
      </c>
      <c r="L19" s="36">
        <f t="shared" ref="L19:L20" si="0">K19*G19</f>
        <v>9</v>
      </c>
      <c r="N19" s="225">
        <f>VLOOKUP(C19,'Sales Master'!$B$3:$DA$3038,104,0)</f>
        <v>4</v>
      </c>
      <c r="O19" s="225">
        <f t="shared" ref="O19:O20" si="1">K19-N19</f>
        <v>0.5</v>
      </c>
      <c r="P19" s="225">
        <f t="shared" ref="P19:P20" si="2">O19*G19</f>
        <v>1</v>
      </c>
    </row>
    <row r="20" spans="2:16" ht="20.149999999999999" customHeight="1" x14ac:dyDescent="0.45">
      <c r="B20" s="34"/>
      <c r="C20" s="22" t="s">
        <v>1585</v>
      </c>
      <c r="D20" s="508" t="str">
        <f>VLOOKUP(C20,'Sales Master'!B$3:D$499,2,)</f>
        <v>Green Bean 绿豆</v>
      </c>
      <c r="E20" s="508"/>
      <c r="F20" s="508"/>
      <c r="G20" s="22">
        <v>2</v>
      </c>
      <c r="H20" s="68" t="str">
        <f>VLOOKUP(C20,'Sales Master'!$B$3:$F$3247,5,0)</f>
        <v>5 kgs</v>
      </c>
      <c r="I20" s="481" t="str">
        <f>VLOOKUP(C20,'Sales Master'!$B$3:$E$3247,4,0)</f>
        <v>-</v>
      </c>
      <c r="J20" s="481"/>
      <c r="K20" s="35">
        <f>VLOOKUP(C20,'Sales Master'!$B$3:$J$583,9,0)</f>
        <v>13</v>
      </c>
      <c r="L20" s="36">
        <f t="shared" si="0"/>
        <v>26</v>
      </c>
      <c r="N20" s="225">
        <f>VLOOKUP(C20,'Sales Master'!$B$3:$DA$3038,104,0)</f>
        <v>9.3999999999999986</v>
      </c>
      <c r="O20" s="225">
        <f t="shared" si="1"/>
        <v>3.6000000000000014</v>
      </c>
      <c r="P20" s="225">
        <f t="shared" si="2"/>
        <v>7.2000000000000028</v>
      </c>
    </row>
    <row r="21" spans="2:16" ht="20.149999999999999" customHeight="1" x14ac:dyDescent="0.45">
      <c r="B21" s="34"/>
      <c r="C21" s="22"/>
      <c r="D21" s="508"/>
      <c r="E21" s="508"/>
      <c r="F21" s="508"/>
      <c r="G21" s="22"/>
      <c r="H21" s="68"/>
      <c r="I21" s="481"/>
      <c r="J21" s="481"/>
      <c r="K21" s="35"/>
      <c r="L21" s="36"/>
    </row>
    <row r="22" spans="2:16" ht="20.149999999999999" customHeight="1" x14ac:dyDescent="0.45">
      <c r="B22" s="34"/>
      <c r="C22" s="22"/>
      <c r="D22" s="508"/>
      <c r="E22" s="508"/>
      <c r="F22" s="508"/>
      <c r="G22" s="22"/>
      <c r="H22" s="68"/>
      <c r="I22" s="450"/>
      <c r="J22" s="450"/>
      <c r="K22" s="35"/>
      <c r="L22" s="36"/>
    </row>
    <row r="23" spans="2:16" ht="20.149999999999999" customHeight="1" x14ac:dyDescent="0.45">
      <c r="B23" s="34"/>
      <c r="C23" s="22"/>
      <c r="D23" s="508"/>
      <c r="E23" s="508"/>
      <c r="F23" s="508"/>
      <c r="G23" s="22"/>
      <c r="H23" s="68"/>
      <c r="I23" s="450"/>
      <c r="J23" s="450"/>
      <c r="K23" s="35"/>
      <c r="L23" s="36"/>
    </row>
    <row r="24" spans="2:16" ht="20.149999999999999" customHeight="1" x14ac:dyDescent="0.45">
      <c r="B24" s="34"/>
      <c r="C24" s="22"/>
      <c r="D24" s="508"/>
      <c r="E24" s="508"/>
      <c r="F24" s="508"/>
      <c r="G24" s="22"/>
      <c r="H24" s="68"/>
      <c r="I24" s="450"/>
      <c r="J24" s="450"/>
      <c r="K24" s="35"/>
      <c r="L24" s="36"/>
    </row>
    <row r="25" spans="2:16" ht="20.149999999999999" customHeight="1" x14ac:dyDescent="0.45">
      <c r="B25" s="34"/>
      <c r="C25" s="22"/>
      <c r="D25" s="508"/>
      <c r="E25" s="508"/>
      <c r="F25" s="508"/>
      <c r="G25" s="22"/>
      <c r="H25" s="68"/>
      <c r="I25" s="450"/>
      <c r="J25" s="450"/>
      <c r="K25" s="35"/>
      <c r="L25" s="36"/>
    </row>
    <row r="26" spans="2:16" ht="20.149999999999999" customHeight="1" x14ac:dyDescent="0.45">
      <c r="B26" s="34"/>
      <c r="C26" s="22"/>
      <c r="G26" s="22"/>
      <c r="H26" s="68"/>
      <c r="I26" s="450"/>
      <c r="J26" s="450"/>
      <c r="K26" s="35"/>
      <c r="L26" s="36"/>
    </row>
    <row r="27" spans="2:16" ht="20.149999999999999" customHeight="1" x14ac:dyDescent="0.45">
      <c r="B27" s="34"/>
      <c r="C27" s="22"/>
      <c r="G27" s="22"/>
      <c r="H27" s="68"/>
      <c r="I27" s="450"/>
      <c r="J27" s="450"/>
      <c r="K27" s="35"/>
      <c r="L27" s="36"/>
    </row>
    <row r="28" spans="2:16" ht="20.149999999999999" customHeight="1" x14ac:dyDescent="0.45">
      <c r="B28" s="34"/>
      <c r="C28" s="22"/>
      <c r="G28" s="22"/>
      <c r="H28" s="68"/>
      <c r="I28" s="450"/>
      <c r="J28" s="450"/>
      <c r="K28" s="35"/>
      <c r="L28" s="36"/>
    </row>
    <row r="29" spans="2:16" ht="20.149999999999999" customHeight="1" x14ac:dyDescent="0.45">
      <c r="B29" s="34"/>
      <c r="C29" s="22"/>
      <c r="G29" s="22"/>
      <c r="H29" s="68"/>
      <c r="I29" s="450"/>
      <c r="J29" s="450"/>
      <c r="K29" s="35"/>
      <c r="L29" s="36"/>
    </row>
    <row r="30" spans="2:16" ht="20.149999999999999" customHeight="1" x14ac:dyDescent="0.45">
      <c r="B30" s="34"/>
      <c r="C30" s="22"/>
      <c r="G30" s="22"/>
      <c r="H30" s="68"/>
      <c r="I30" s="450"/>
      <c r="J30" s="450"/>
      <c r="K30" s="35"/>
      <c r="L30" s="36"/>
    </row>
    <row r="31" spans="2:16" ht="20.149999999999999" customHeight="1" x14ac:dyDescent="0.45">
      <c r="B31" s="34"/>
      <c r="C31" s="22"/>
      <c r="G31" s="22"/>
      <c r="H31" s="68"/>
      <c r="I31" s="22"/>
      <c r="J31" s="22"/>
      <c r="K31" s="35"/>
      <c r="L31" s="36"/>
    </row>
    <row r="32" spans="2:16" ht="20.149999999999999" customHeight="1" x14ac:dyDescent="0.45">
      <c r="B32" s="34"/>
      <c r="C32" s="22"/>
      <c r="G32" s="22"/>
      <c r="H32" s="68"/>
      <c r="I32" s="22"/>
      <c r="J32" s="22"/>
      <c r="K32" s="35"/>
      <c r="L32" s="36"/>
    </row>
    <row r="33" spans="2:13" ht="20.149999999999999" customHeight="1" x14ac:dyDescent="0.45">
      <c r="B33" s="34"/>
      <c r="C33" s="22"/>
      <c r="G33" s="22"/>
      <c r="H33" s="68"/>
      <c r="I33" s="22"/>
      <c r="J33" s="22"/>
      <c r="K33" s="35"/>
      <c r="L33" s="36"/>
    </row>
    <row r="34" spans="2:13" ht="20.149999999999999" customHeight="1" x14ac:dyDescent="0.45">
      <c r="B34" s="34"/>
      <c r="C34" s="22"/>
      <c r="D34" s="508"/>
      <c r="E34" s="508"/>
      <c r="F34" s="508"/>
      <c r="G34" s="22"/>
      <c r="H34" s="68"/>
      <c r="I34" s="68"/>
      <c r="J34" s="22"/>
      <c r="K34" s="35"/>
      <c r="L34" s="36"/>
    </row>
    <row r="35" spans="2:13" ht="20.149999999999999" customHeight="1" x14ac:dyDescent="0.45">
      <c r="B35" s="34"/>
      <c r="C35" s="22"/>
      <c r="D35" s="508"/>
      <c r="E35" s="508"/>
      <c r="F35" s="508"/>
      <c r="G35" s="22"/>
      <c r="H35" s="68"/>
      <c r="I35" s="68"/>
      <c r="J35" s="22"/>
      <c r="K35" s="35"/>
      <c r="L35" s="36"/>
    </row>
    <row r="36" spans="2:13" ht="20.149999999999999" customHeight="1" x14ac:dyDescent="0.45">
      <c r="B36" s="34"/>
      <c r="C36" s="22"/>
      <c r="D36" s="508"/>
      <c r="E36" s="508"/>
      <c r="F36" s="508"/>
      <c r="G36" s="22"/>
      <c r="H36" s="22"/>
      <c r="I36" s="22"/>
      <c r="J36" s="22"/>
      <c r="K36" s="35"/>
      <c r="L36" s="36"/>
    </row>
    <row r="37" spans="2:13" ht="20.149999999999999" customHeight="1" thickBot="1" x14ac:dyDescent="0.5">
      <c r="B37" s="37"/>
      <c r="C37" s="38"/>
      <c r="D37" s="509"/>
      <c r="E37" s="509"/>
      <c r="F37" s="509"/>
      <c r="G37" s="38"/>
      <c r="H37" s="38"/>
      <c r="I37" s="38"/>
      <c r="J37" s="38"/>
      <c r="K37" s="39"/>
      <c r="L37" s="40"/>
    </row>
    <row r="38" spans="2:13" ht="20.149999999999999" customHeight="1" thickBot="1" x14ac:dyDescent="0.5">
      <c r="B38" s="41"/>
      <c r="L38" s="42"/>
    </row>
    <row r="39" spans="2:13" ht="20.149999999999999" customHeight="1" x14ac:dyDescent="0.45">
      <c r="B39" s="11" t="s">
        <v>18</v>
      </c>
      <c r="C39" s="7"/>
      <c r="D39" s="7"/>
      <c r="E39" s="7"/>
      <c r="F39" s="7"/>
      <c r="G39" s="7"/>
      <c r="H39" s="7"/>
      <c r="I39" s="7"/>
      <c r="J39" s="510" t="s">
        <v>15</v>
      </c>
      <c r="K39" s="511"/>
      <c r="L39" s="43">
        <f>SUM(L17:L37)</f>
        <v>67</v>
      </c>
      <c r="M39" s="76">
        <f>SUM(P18:P28)-L39*0.02</f>
        <v>14.060000000000002</v>
      </c>
    </row>
    <row r="40" spans="2:13" ht="20.149999999999999" customHeight="1" x14ac:dyDescent="0.45">
      <c r="B40" s="11" t="s">
        <v>19</v>
      </c>
      <c r="C40" s="7"/>
      <c r="D40" s="7"/>
      <c r="E40" s="7"/>
      <c r="F40" s="7"/>
      <c r="G40" s="7"/>
      <c r="H40" s="7"/>
      <c r="I40" s="7"/>
      <c r="J40" s="44" t="s">
        <v>22</v>
      </c>
      <c r="K40" s="45"/>
      <c r="L40" s="46">
        <f>L39*K40</f>
        <v>0</v>
      </c>
    </row>
    <row r="41" spans="2:13" ht="20.149999999999999" customHeight="1" x14ac:dyDescent="0.45">
      <c r="B41" s="11" t="s">
        <v>20</v>
      </c>
      <c r="C41" s="7"/>
      <c r="D41" s="7"/>
      <c r="E41" s="7"/>
      <c r="F41" s="7"/>
      <c r="G41" s="7"/>
      <c r="H41" s="7"/>
      <c r="I41" s="7"/>
      <c r="J41" s="486" t="s">
        <v>21</v>
      </c>
      <c r="K41" s="487"/>
      <c r="L41" s="46">
        <f>L39-L40</f>
        <v>67</v>
      </c>
    </row>
    <row r="42" spans="2:13" ht="20.149999999999999" customHeight="1" x14ac:dyDescent="0.45">
      <c r="B42" s="11" t="s">
        <v>24</v>
      </c>
      <c r="C42" s="7"/>
      <c r="D42" s="7"/>
      <c r="E42" s="7"/>
      <c r="F42" s="7"/>
      <c r="G42" s="7"/>
      <c r="H42" s="7"/>
      <c r="I42" s="7"/>
      <c r="J42" s="150" t="s">
        <v>17</v>
      </c>
      <c r="K42" s="151">
        <v>7.0000000000000007E-2</v>
      </c>
      <c r="L42" s="47">
        <f>L41*K42</f>
        <v>4.6900000000000004</v>
      </c>
    </row>
    <row r="43" spans="2:13" ht="20.149999999999999" customHeight="1" thickBot="1" x14ac:dyDescent="0.5">
      <c r="B43" s="11" t="s">
        <v>25</v>
      </c>
      <c r="C43" s="7"/>
      <c r="D43" s="7"/>
      <c r="E43" s="7"/>
      <c r="F43" s="7"/>
      <c r="G43" s="7"/>
      <c r="H43" s="7"/>
      <c r="I43" s="7"/>
      <c r="J43" s="488" t="s">
        <v>23</v>
      </c>
      <c r="K43" s="489"/>
      <c r="L43" s="48">
        <f>L41+L42</f>
        <v>71.69</v>
      </c>
    </row>
    <row r="44" spans="2:13" ht="20.149999999999999" customHeight="1" x14ac:dyDescent="0.45">
      <c r="B44" s="11" t="s">
        <v>26</v>
      </c>
      <c r="C44" s="7"/>
      <c r="D44" s="7"/>
      <c r="E44" s="7"/>
      <c r="F44" s="7"/>
      <c r="G44" s="7"/>
      <c r="H44" s="7"/>
      <c r="I44" s="7"/>
      <c r="L44" s="42"/>
    </row>
    <row r="45" spans="2:13" ht="20.149999999999999" customHeight="1" x14ac:dyDescent="0.45">
      <c r="B45" s="41"/>
      <c r="L45" s="42"/>
    </row>
    <row r="46" spans="2:13" ht="20.149999999999999" customHeight="1" x14ac:dyDescent="0.45">
      <c r="B46" s="41"/>
      <c r="L46" s="42"/>
    </row>
    <row r="47" spans="2:13" ht="20.149999999999999" customHeight="1" x14ac:dyDescent="0.45">
      <c r="B47" s="41"/>
      <c r="L47" s="42"/>
    </row>
    <row r="48" spans="2:13" ht="20.149999999999999" customHeight="1" x14ac:dyDescent="0.45">
      <c r="B48" s="41"/>
      <c r="L48" s="42"/>
    </row>
    <row r="49" spans="2:12" ht="20.149999999999999" customHeight="1" x14ac:dyDescent="0.45">
      <c r="B49" s="49"/>
      <c r="C49" s="50"/>
      <c r="D49" s="50"/>
      <c r="J49" s="50"/>
      <c r="K49" s="50"/>
      <c r="L49" s="51"/>
    </row>
    <row r="50" spans="2:12" ht="20.149999999999999" customHeight="1" x14ac:dyDescent="0.45">
      <c r="B50" s="41" t="s">
        <v>27</v>
      </c>
      <c r="J50" s="24" t="s">
        <v>28</v>
      </c>
      <c r="L50" s="42"/>
    </row>
    <row r="51" spans="2:12" ht="19" thickBot="1" x14ac:dyDescent="0.5">
      <c r="B51" s="52"/>
      <c r="C51" s="53"/>
      <c r="D51" s="53"/>
      <c r="E51" s="53"/>
      <c r="F51" s="53"/>
      <c r="G51" s="53"/>
      <c r="H51" s="53"/>
      <c r="I51" s="53"/>
      <c r="J51" s="53"/>
      <c r="K51" s="53"/>
      <c r="L51" s="54"/>
    </row>
  </sheetData>
  <mergeCells count="43">
    <mergeCell ref="B15:D15"/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18:J18"/>
    <mergeCell ref="D20:F20"/>
    <mergeCell ref="I20:J20"/>
    <mergeCell ref="D21:F21"/>
    <mergeCell ref="I21:J21"/>
    <mergeCell ref="D19:F19"/>
    <mergeCell ref="I19:J19"/>
    <mergeCell ref="D22:F22"/>
    <mergeCell ref="I22:J22"/>
    <mergeCell ref="D34:F34"/>
    <mergeCell ref="D23:F23"/>
    <mergeCell ref="I23:J23"/>
    <mergeCell ref="D24:F24"/>
    <mergeCell ref="I24:J24"/>
    <mergeCell ref="D25:F25"/>
    <mergeCell ref="I25:J25"/>
    <mergeCell ref="J43:K43"/>
    <mergeCell ref="I26:J26"/>
    <mergeCell ref="I27:J27"/>
    <mergeCell ref="I28:J28"/>
    <mergeCell ref="I29:J29"/>
    <mergeCell ref="I30:J30"/>
    <mergeCell ref="D35:F35"/>
    <mergeCell ref="D36:F36"/>
    <mergeCell ref="D37:F37"/>
    <mergeCell ref="J39:K39"/>
    <mergeCell ref="J41:K41"/>
  </mergeCells>
  <pageMargins left="0.70866141732283472" right="0.31496062992125984" top="0.59055118110236227" bottom="0" header="0.31496062992125984" footer="0.31496062992125984"/>
  <pageSetup paperSize="9" scale="77" orientation="portrait" horizontalDpi="300" verticalDpi="300" r:id="rId1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10196-6DFA-43BC-85EC-D6909BCBFEF6}">
  <sheetPr codeName="Sheet115">
    <tabColor rgb="FF00B050"/>
    <pageSetUpPr fitToPage="1"/>
  </sheetPr>
  <dimension ref="B1:V43"/>
  <sheetViews>
    <sheetView topLeftCell="B4" workbookViewId="0">
      <selection activeCell="B1" sqref="B1:L43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4.54296875" style="24" customWidth="1"/>
    <col min="7" max="7" width="8.54296875" style="24" customWidth="1"/>
    <col min="8" max="8" width="15.54296875" style="24" customWidth="1"/>
    <col min="9" max="9" width="2.54296875" style="24" customWidth="1"/>
    <col min="10" max="10" width="15.54296875" style="24" customWidth="1"/>
    <col min="11" max="11" width="10.54296875" style="24" customWidth="1"/>
    <col min="12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8.5" customHeight="1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202</v>
      </c>
      <c r="J10" s="29" t="s">
        <v>29</v>
      </c>
      <c r="K10" s="452">
        <v>202206014</v>
      </c>
      <c r="L10" s="453"/>
    </row>
    <row r="11" spans="2:12" ht="20.149999999999999" customHeight="1" x14ac:dyDescent="0.45">
      <c r="B11" s="454" t="s">
        <v>2037</v>
      </c>
      <c r="C11" s="455"/>
      <c r="D11" s="456"/>
      <c r="E11" s="30"/>
      <c r="F11" s="457" t="str">
        <f>VLOOKUP(H10,'Delivery Location'!A$4:N$416,2,0)</f>
        <v xml:space="preserve">Koufu - Fruit                                            535 Clementi Road Block 51, Level 2 Ngee Ann Polythenic NIC Singapore 599489                    </v>
      </c>
      <c r="G11" s="458"/>
      <c r="H11" s="459"/>
      <c r="J11" s="31" t="s">
        <v>11</v>
      </c>
      <c r="K11" s="551">
        <v>44713</v>
      </c>
      <c r="L11" s="472"/>
    </row>
    <row r="12" spans="2:12" ht="20.149999999999999" customHeight="1" x14ac:dyDescent="0.45">
      <c r="B12" s="468" t="s">
        <v>2139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533</v>
      </c>
      <c r="L12" s="472"/>
    </row>
    <row r="13" spans="2:12" ht="20.149999999999999" customHeight="1" x14ac:dyDescent="0.45">
      <c r="B13" s="468" t="s">
        <v>2024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14</v>
      </c>
      <c r="L13" s="472"/>
    </row>
    <row r="14" spans="2:12" ht="20.149999999999999" customHeight="1" x14ac:dyDescent="0.45">
      <c r="B14" s="468" t="s">
        <v>2025</v>
      </c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463" t="s">
        <v>2026</v>
      </c>
      <c r="C15" s="464"/>
      <c r="D15" s="465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22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22" ht="20.149999999999999" customHeight="1" x14ac:dyDescent="0.45">
      <c r="B18" s="34"/>
      <c r="C18" s="22" t="s">
        <v>1505</v>
      </c>
      <c r="D18" s="508" t="str">
        <f>VLOOKUP(C18,'Sales Master'!B$3:D$499,2,)</f>
        <v>Agar Powder菜燕粉</v>
      </c>
      <c r="E18" s="508"/>
      <c r="F18" s="508"/>
      <c r="G18" s="22">
        <v>3</v>
      </c>
      <c r="H18" s="68" t="str">
        <f>VLOOKUP(C18,'Sales Master'!$B$3:$F$3247,5,0)</f>
        <v>(12g x 12pkt)/盒</v>
      </c>
      <c r="I18" s="481" t="str">
        <f>VLOOKUP(C18,'Sales Master'!$B$3:$E$3247,4,0)</f>
        <v>Rose</v>
      </c>
      <c r="J18" s="481"/>
      <c r="K18" s="35">
        <f>VLOOKUP(C18,'Sales Master'!$B$3:$BB$583,53,0)</f>
        <v>11</v>
      </c>
      <c r="L18" s="36">
        <f>K18*G18</f>
        <v>33</v>
      </c>
      <c r="N18" s="225">
        <f>VLOOKUP(C18,'Sales Master'!$B$3:$DA$3038,104,0)</f>
        <v>9</v>
      </c>
      <c r="O18" s="225">
        <f>K18-N18</f>
        <v>2</v>
      </c>
      <c r="P18" s="225">
        <f>O18*G18</f>
        <v>6</v>
      </c>
      <c r="R18" s="24">
        <v>2</v>
      </c>
      <c r="S18" s="24" t="s">
        <v>140</v>
      </c>
      <c r="T18" s="24" t="s">
        <v>668</v>
      </c>
      <c r="V18" s="24">
        <v>11</v>
      </c>
    </row>
    <row r="19" spans="2:22" ht="20.149999999999999" customHeight="1" x14ac:dyDescent="0.45">
      <c r="B19" s="34"/>
      <c r="C19" s="22"/>
      <c r="D19" s="508"/>
      <c r="E19" s="508"/>
      <c r="F19" s="508"/>
      <c r="G19" s="22"/>
      <c r="H19" s="68"/>
      <c r="I19" s="481"/>
      <c r="J19" s="481"/>
      <c r="K19" s="35"/>
      <c r="L19" s="36"/>
      <c r="R19" s="24">
        <v>2</v>
      </c>
      <c r="S19" s="24" t="s">
        <v>36</v>
      </c>
      <c r="T19" s="24" t="s">
        <v>100</v>
      </c>
      <c r="V19" s="24">
        <v>10</v>
      </c>
    </row>
    <row r="20" spans="2:22" ht="20.149999999999999" customHeight="1" x14ac:dyDescent="0.45">
      <c r="B20" s="34"/>
      <c r="C20" s="22"/>
      <c r="D20" s="508"/>
      <c r="E20" s="508"/>
      <c r="F20" s="508"/>
      <c r="G20" s="22"/>
      <c r="H20" s="68"/>
      <c r="I20" s="481"/>
      <c r="J20" s="481"/>
      <c r="K20" s="35"/>
      <c r="L20" s="36"/>
    </row>
    <row r="21" spans="2:22" ht="20.149999999999999" customHeight="1" x14ac:dyDescent="0.45">
      <c r="B21" s="34"/>
      <c r="C21" s="22"/>
      <c r="G21" s="22"/>
      <c r="H21" s="68"/>
      <c r="I21" s="450"/>
      <c r="J21" s="450"/>
      <c r="K21" s="35"/>
      <c r="L21" s="36"/>
    </row>
    <row r="22" spans="2:22" ht="20.149999999999999" customHeight="1" x14ac:dyDescent="0.45">
      <c r="B22" s="34"/>
      <c r="C22" s="22"/>
      <c r="G22" s="22"/>
      <c r="H22" s="68"/>
      <c r="I22" s="450"/>
      <c r="J22" s="450"/>
      <c r="K22" s="35"/>
      <c r="L22" s="36"/>
    </row>
    <row r="23" spans="2:22" ht="20.149999999999999" customHeight="1" x14ac:dyDescent="0.45">
      <c r="B23" s="34"/>
      <c r="C23" s="22"/>
      <c r="G23" s="22"/>
      <c r="H23" s="68"/>
      <c r="I23" s="450"/>
      <c r="J23" s="450"/>
      <c r="K23" s="35"/>
      <c r="L23" s="36"/>
    </row>
    <row r="24" spans="2:22" ht="20.149999999999999" customHeight="1" x14ac:dyDescent="0.45">
      <c r="B24" s="34"/>
      <c r="C24" s="22"/>
      <c r="G24" s="22"/>
      <c r="H24" s="68"/>
      <c r="I24" s="450"/>
      <c r="J24" s="450"/>
      <c r="K24" s="35"/>
      <c r="L24" s="36"/>
    </row>
    <row r="25" spans="2:22" ht="20.149999999999999" customHeight="1" x14ac:dyDescent="0.45">
      <c r="B25" s="34"/>
      <c r="C25" s="22"/>
      <c r="G25" s="22"/>
      <c r="H25" s="68"/>
      <c r="I25" s="450"/>
      <c r="J25" s="450"/>
      <c r="K25" s="35"/>
      <c r="L25" s="36"/>
    </row>
    <row r="26" spans="2:22" ht="20.149999999999999" customHeight="1" x14ac:dyDescent="0.45">
      <c r="B26" s="34"/>
      <c r="C26" s="22"/>
      <c r="G26" s="22"/>
      <c r="H26" s="68"/>
      <c r="I26" s="450"/>
      <c r="J26" s="450"/>
      <c r="K26" s="35"/>
      <c r="L26" s="36"/>
    </row>
    <row r="27" spans="2:22" ht="20.149999999999999" customHeight="1" x14ac:dyDescent="0.45">
      <c r="B27" s="34"/>
      <c r="C27" s="22"/>
      <c r="D27" s="508"/>
      <c r="E27" s="508"/>
      <c r="F27" s="508"/>
      <c r="G27" s="22"/>
      <c r="H27" s="68"/>
      <c r="I27" s="68"/>
      <c r="J27" s="22"/>
      <c r="K27" s="35"/>
      <c r="L27" s="36"/>
    </row>
    <row r="28" spans="2:22" ht="20.149999999999999" customHeight="1" x14ac:dyDescent="0.45">
      <c r="B28" s="34"/>
      <c r="C28" s="22"/>
      <c r="D28" s="508"/>
      <c r="E28" s="508"/>
      <c r="F28" s="508"/>
      <c r="G28" s="22"/>
      <c r="H28" s="22"/>
      <c r="I28" s="22"/>
      <c r="J28" s="22"/>
      <c r="K28" s="35"/>
      <c r="L28" s="36"/>
    </row>
    <row r="29" spans="2:22" ht="20.149999999999999" customHeight="1" thickBot="1" x14ac:dyDescent="0.5">
      <c r="B29" s="37"/>
      <c r="C29" s="38"/>
      <c r="D29" s="509"/>
      <c r="E29" s="509"/>
      <c r="F29" s="509"/>
      <c r="G29" s="38"/>
      <c r="H29" s="38"/>
      <c r="I29" s="38"/>
      <c r="J29" s="38"/>
      <c r="K29" s="39"/>
      <c r="L29" s="40"/>
    </row>
    <row r="30" spans="2:22" ht="20.149999999999999" customHeight="1" thickBot="1" x14ac:dyDescent="0.5">
      <c r="B30" s="41"/>
      <c r="L30" s="42"/>
    </row>
    <row r="31" spans="2:22" ht="20.149999999999999" customHeight="1" x14ac:dyDescent="0.45">
      <c r="B31" s="11" t="s">
        <v>18</v>
      </c>
      <c r="C31" s="7"/>
      <c r="D31" s="7"/>
      <c r="E31" s="7"/>
      <c r="F31" s="7"/>
      <c r="G31" s="7"/>
      <c r="H31" s="7"/>
      <c r="I31" s="7"/>
      <c r="J31" s="510" t="s">
        <v>15</v>
      </c>
      <c r="K31" s="511"/>
      <c r="L31" s="43">
        <f>SUM(L17:L28)</f>
        <v>33</v>
      </c>
    </row>
    <row r="32" spans="2:22" ht="20.149999999999999" customHeight="1" x14ac:dyDescent="0.45">
      <c r="B32" s="11" t="s">
        <v>19</v>
      </c>
      <c r="C32" s="7"/>
      <c r="D32" s="7"/>
      <c r="E32" s="7"/>
      <c r="F32" s="7"/>
      <c r="G32" s="7"/>
      <c r="H32" s="7"/>
      <c r="I32" s="7"/>
      <c r="J32" s="44" t="s">
        <v>22</v>
      </c>
      <c r="K32" s="45"/>
      <c r="L32" s="46">
        <f>L31*K32</f>
        <v>0</v>
      </c>
    </row>
    <row r="33" spans="2:12" ht="20.149999999999999" customHeight="1" x14ac:dyDescent="0.45">
      <c r="B33" s="11" t="s">
        <v>20</v>
      </c>
      <c r="C33" s="7"/>
      <c r="D33" s="7"/>
      <c r="E33" s="7"/>
      <c r="F33" s="7"/>
      <c r="G33" s="7"/>
      <c r="H33" s="7"/>
      <c r="I33" s="7"/>
      <c r="J33" s="486" t="s">
        <v>21</v>
      </c>
      <c r="K33" s="487"/>
      <c r="L33" s="46">
        <f>L31-L32</f>
        <v>33</v>
      </c>
    </row>
    <row r="34" spans="2:12" ht="20.149999999999999" customHeight="1" x14ac:dyDescent="0.45">
      <c r="B34" s="11" t="s">
        <v>24</v>
      </c>
      <c r="C34" s="7"/>
      <c r="D34" s="7"/>
      <c r="E34" s="7"/>
      <c r="F34" s="7"/>
      <c r="G34" s="7"/>
      <c r="H34" s="7"/>
      <c r="I34" s="7"/>
      <c r="J34" s="150" t="s">
        <v>17</v>
      </c>
      <c r="K34" s="151">
        <v>7.0000000000000007E-2</v>
      </c>
      <c r="L34" s="47">
        <f>L33*K34</f>
        <v>2.31</v>
      </c>
    </row>
    <row r="35" spans="2:12" ht="20.149999999999999" customHeight="1" thickBot="1" x14ac:dyDescent="0.5">
      <c r="B35" s="11" t="s">
        <v>25</v>
      </c>
      <c r="C35" s="7"/>
      <c r="D35" s="7"/>
      <c r="E35" s="7"/>
      <c r="F35" s="7"/>
      <c r="G35" s="7"/>
      <c r="H35" s="7"/>
      <c r="I35" s="7"/>
      <c r="J35" s="488" t="s">
        <v>23</v>
      </c>
      <c r="K35" s="489"/>
      <c r="L35" s="48">
        <f>L33+L34</f>
        <v>35.31</v>
      </c>
    </row>
    <row r="36" spans="2:12" ht="20.149999999999999" customHeight="1" x14ac:dyDescent="0.45">
      <c r="B36" s="11" t="s">
        <v>26</v>
      </c>
      <c r="C36" s="7"/>
      <c r="D36" s="7"/>
      <c r="E36" s="7"/>
      <c r="F36" s="7"/>
      <c r="G36" s="7"/>
      <c r="H36" s="7"/>
      <c r="I36" s="7"/>
      <c r="L36" s="42"/>
    </row>
    <row r="37" spans="2:12" ht="20.149999999999999" customHeight="1" x14ac:dyDescent="0.45">
      <c r="B37" s="41"/>
      <c r="L37" s="42"/>
    </row>
    <row r="38" spans="2:12" ht="20.149999999999999" customHeight="1" x14ac:dyDescent="0.45">
      <c r="B38" s="41"/>
      <c r="L38" s="42"/>
    </row>
    <row r="39" spans="2:12" ht="20.149999999999999" customHeight="1" x14ac:dyDescent="0.45">
      <c r="B39" s="41"/>
      <c r="L39" s="42"/>
    </row>
    <row r="40" spans="2:12" ht="20.149999999999999" customHeight="1" x14ac:dyDescent="0.45">
      <c r="B40" s="41"/>
      <c r="L40" s="42"/>
    </row>
    <row r="41" spans="2:12" ht="20.149999999999999" customHeight="1" x14ac:dyDescent="0.45">
      <c r="B41" s="49"/>
      <c r="C41" s="50"/>
      <c r="D41" s="50"/>
      <c r="J41" s="50"/>
      <c r="K41" s="50"/>
      <c r="L41" s="51"/>
    </row>
    <row r="42" spans="2:12" ht="20.149999999999999" customHeight="1" x14ac:dyDescent="0.45">
      <c r="B42" s="41" t="s">
        <v>27</v>
      </c>
      <c r="J42" s="24" t="s">
        <v>28</v>
      </c>
      <c r="L42" s="42"/>
    </row>
    <row r="43" spans="2:12" ht="19" thickBot="1" x14ac:dyDescent="0.5">
      <c r="B43" s="52"/>
      <c r="C43" s="53"/>
      <c r="D43" s="53"/>
      <c r="E43" s="53"/>
      <c r="F43" s="53"/>
      <c r="G43" s="53"/>
      <c r="H43" s="53"/>
      <c r="I43" s="53"/>
      <c r="J43" s="53"/>
      <c r="K43" s="53"/>
      <c r="L43" s="54"/>
    </row>
  </sheetData>
  <mergeCells count="33">
    <mergeCell ref="D29:F29"/>
    <mergeCell ref="J31:K31"/>
    <mergeCell ref="J33:K33"/>
    <mergeCell ref="J35:K35"/>
    <mergeCell ref="D28:F28"/>
    <mergeCell ref="D27:F27"/>
    <mergeCell ref="I24:J24"/>
    <mergeCell ref="K15:L15"/>
    <mergeCell ref="D17:F17"/>
    <mergeCell ref="I17:J17"/>
    <mergeCell ref="D18:F18"/>
    <mergeCell ref="I18:J18"/>
    <mergeCell ref="D19:F19"/>
    <mergeCell ref="I19:J19"/>
    <mergeCell ref="D20:F20"/>
    <mergeCell ref="I20:J20"/>
    <mergeCell ref="I21:J21"/>
    <mergeCell ref="I22:J22"/>
    <mergeCell ref="I23:J23"/>
    <mergeCell ref="I25:J25"/>
    <mergeCell ref="I26:J26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</mergeCells>
  <pageMargins left="0.70866141732283472" right="0.31496062992125984" top="0.59055118110236227" bottom="0" header="0.31496062992125984" footer="0.31496062992125984"/>
  <pageSetup paperSize="9" scale="79" orientation="portrait" horizontalDpi="300" verticalDpi="300" r:id="rId1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911B22-AD55-4741-A6E8-737591941B51}">
  <sheetPr codeName="Sheet99">
    <tabColor rgb="FFFFFF00"/>
    <pageSetUpPr fitToPage="1"/>
  </sheetPr>
  <dimension ref="B1:O51"/>
  <sheetViews>
    <sheetView topLeftCell="B1" workbookViewId="0">
      <selection activeCell="B1" sqref="B1:L8"/>
    </sheetView>
  </sheetViews>
  <sheetFormatPr defaultColWidth="12.54296875" defaultRowHeight="18.5" x14ac:dyDescent="0.45"/>
  <cols>
    <col min="1" max="1" width="12.54296875" style="24"/>
    <col min="2" max="3" width="12.54296875" style="24" customWidth="1"/>
    <col min="4" max="4" width="14.54296875" style="24" customWidth="1"/>
    <col min="5" max="5" width="1.54296875" style="24" customWidth="1"/>
    <col min="6" max="6" width="14.54296875" style="24" customWidth="1"/>
    <col min="7" max="7" width="8.54296875" style="24" customWidth="1"/>
    <col min="8" max="8" width="16" style="24" customWidth="1"/>
    <col min="9" max="9" width="1.1796875" style="81" customWidth="1"/>
    <col min="10" max="10" width="15.54296875" style="81" customWidth="1"/>
    <col min="11" max="12" width="12.54296875" style="24" customWidth="1"/>
    <col min="13" max="16384" width="12.54296875" style="24"/>
  </cols>
  <sheetData>
    <row r="1" spans="2:15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5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5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5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5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5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5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5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5" ht="19" thickBot="1" x14ac:dyDescent="0.5">
      <c r="B9" s="23"/>
    </row>
    <row r="10" spans="2:15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860</v>
      </c>
      <c r="J10" s="82" t="s">
        <v>29</v>
      </c>
      <c r="K10" s="452">
        <v>202201009</v>
      </c>
      <c r="L10" s="453"/>
    </row>
    <row r="11" spans="2:15" ht="20.149999999999999" customHeight="1" x14ac:dyDescent="0.45">
      <c r="B11" s="569"/>
      <c r="C11" s="570"/>
      <c r="D11" s="571"/>
      <c r="E11" s="30"/>
      <c r="F11" s="457" t="str">
        <f>VLOOKUP(H10,'Delivery Location'!A$4:N$416,2,0)</f>
        <v xml:space="preserve">Tel: 90294611                                   Block 417  Yishun Avenue 11. Singapore                                                       </v>
      </c>
      <c r="G11" s="458"/>
      <c r="H11" s="459"/>
      <c r="J11" s="83" t="s">
        <v>11</v>
      </c>
      <c r="K11" s="551">
        <v>44621</v>
      </c>
      <c r="L11" s="472"/>
    </row>
    <row r="12" spans="2:15" ht="20.149999999999999" customHeight="1" x14ac:dyDescent="0.45">
      <c r="B12" s="468"/>
      <c r="C12" s="469"/>
      <c r="D12" s="470"/>
      <c r="E12" s="30"/>
      <c r="F12" s="460"/>
      <c r="G12" s="461"/>
      <c r="H12" s="462"/>
      <c r="J12" s="83" t="s">
        <v>171</v>
      </c>
      <c r="K12" s="471" t="s">
        <v>533</v>
      </c>
      <c r="L12" s="472"/>
      <c r="N12" s="24" t="s">
        <v>1696</v>
      </c>
      <c r="O12" s="24">
        <v>24</v>
      </c>
    </row>
    <row r="13" spans="2:15" ht="20.149999999999999" customHeight="1" x14ac:dyDescent="0.45">
      <c r="B13" s="468"/>
      <c r="C13" s="469"/>
      <c r="D13" s="470"/>
      <c r="E13" s="30"/>
      <c r="F13" s="460"/>
      <c r="G13" s="461"/>
      <c r="H13" s="462"/>
      <c r="J13" s="83" t="s">
        <v>12</v>
      </c>
      <c r="K13" s="471" t="s">
        <v>688</v>
      </c>
      <c r="L13" s="472"/>
      <c r="N13" s="24" t="s">
        <v>1567</v>
      </c>
      <c r="O13" s="24">
        <v>8</v>
      </c>
    </row>
    <row r="14" spans="2:15" ht="20.149999999999999" customHeight="1" x14ac:dyDescent="0.45">
      <c r="B14" s="468"/>
      <c r="C14" s="469"/>
      <c r="D14" s="470"/>
      <c r="E14" s="30"/>
      <c r="F14" s="460"/>
      <c r="G14" s="461"/>
      <c r="H14" s="462"/>
      <c r="J14" s="83" t="s">
        <v>30</v>
      </c>
      <c r="K14" s="471" t="s">
        <v>16</v>
      </c>
      <c r="L14" s="472"/>
    </row>
    <row r="15" spans="2:15" ht="18" customHeight="1" thickBot="1" x14ac:dyDescent="0.5">
      <c r="B15" s="55"/>
      <c r="C15" s="56"/>
      <c r="D15" s="57"/>
      <c r="E15" s="26"/>
      <c r="F15" s="463"/>
      <c r="G15" s="464"/>
      <c r="H15" s="465"/>
      <c r="J15" s="84" t="s">
        <v>13</v>
      </c>
      <c r="K15" s="476"/>
      <c r="L15" s="477"/>
    </row>
    <row r="16" spans="2:15" ht="19" thickBot="1" x14ac:dyDescent="0.5">
      <c r="J16" s="85"/>
    </row>
    <row r="17" spans="2:15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3"/>
      <c r="O17" s="33"/>
    </row>
    <row r="18" spans="2:15" ht="20.149999999999999" customHeight="1" x14ac:dyDescent="0.45">
      <c r="B18" s="34"/>
      <c r="C18" s="22" t="s">
        <v>1567</v>
      </c>
      <c r="D18" s="508" t="str">
        <f>VLOOKUP(C18,'Sales Master'!B$3:D$499,2,)</f>
        <v>Selaseh (Basil Seed) 青蛙蛋</v>
      </c>
      <c r="E18" s="508"/>
      <c r="F18" s="508"/>
      <c r="G18" s="90">
        <v>2</v>
      </c>
      <c r="H18" s="68" t="str">
        <f>VLOOKUP(C18,'Sales Master'!$B$3:$F$3179,5,0)</f>
        <v>500 gm</v>
      </c>
      <c r="I18" s="481" t="str">
        <f>VLOOKUP(C18,'Sales Master'!$B$3:$E$3179,4,0)</f>
        <v>Tukhmaria</v>
      </c>
      <c r="J18" s="481"/>
      <c r="K18" s="94">
        <v>8</v>
      </c>
      <c r="L18" s="77">
        <f>K18*G18</f>
        <v>16</v>
      </c>
      <c r="M18" s="78"/>
    </row>
    <row r="19" spans="2:15" ht="20.149999999999999" customHeight="1" x14ac:dyDescent="0.45">
      <c r="B19" s="34"/>
      <c r="C19" s="22" t="s">
        <v>1696</v>
      </c>
      <c r="D19" s="508" t="str">
        <f>VLOOKUP(C19,'Sales Master'!B$3:D$499,2,)</f>
        <v>Longan in Syrup龙眼</v>
      </c>
      <c r="E19" s="508"/>
      <c r="F19" s="508"/>
      <c r="G19" s="90">
        <v>3</v>
      </c>
      <c r="H19" s="68" t="str">
        <f>VLOOKUP(C19,'Sales Master'!$B$3:$F$3179,5,0)</f>
        <v>(565gm x 12)/箱</v>
      </c>
      <c r="I19" s="481" t="str">
        <f>VLOOKUP(C19,'Sales Master'!$B$3:$E$3179,4,0)</f>
        <v>YiFong</v>
      </c>
      <c r="J19" s="481"/>
      <c r="K19" s="94">
        <v>24</v>
      </c>
      <c r="L19" s="77">
        <f>K19*G19</f>
        <v>72</v>
      </c>
      <c r="M19" s="78"/>
    </row>
    <row r="20" spans="2:15" ht="20.149999999999999" customHeight="1" x14ac:dyDescent="0.45">
      <c r="B20" s="34"/>
      <c r="C20" s="22"/>
      <c r="D20" s="508"/>
      <c r="E20" s="508"/>
      <c r="F20" s="508"/>
      <c r="G20" s="90"/>
      <c r="H20" s="68"/>
      <c r="I20" s="604"/>
      <c r="J20" s="604"/>
      <c r="K20" s="35"/>
      <c r="L20" s="77"/>
      <c r="M20" s="78"/>
    </row>
    <row r="21" spans="2:15" ht="20.149999999999999" customHeight="1" x14ac:dyDescent="0.45">
      <c r="B21" s="34"/>
      <c r="C21" s="22"/>
      <c r="D21" s="508"/>
      <c r="E21" s="508"/>
      <c r="F21" s="508"/>
      <c r="G21" s="90"/>
      <c r="H21" s="68"/>
      <c r="I21" s="604"/>
      <c r="J21" s="604"/>
      <c r="K21" s="35"/>
      <c r="L21" s="77"/>
      <c r="M21" s="78"/>
    </row>
    <row r="22" spans="2:15" ht="20.149999999999999" customHeight="1" x14ac:dyDescent="0.45">
      <c r="B22" s="80"/>
      <c r="C22" s="22"/>
      <c r="D22" s="508"/>
      <c r="E22" s="508"/>
      <c r="F22" s="508"/>
      <c r="G22" s="90"/>
      <c r="H22" s="68"/>
      <c r="I22" s="604"/>
      <c r="J22" s="604"/>
      <c r="K22" s="35"/>
      <c r="L22" s="77"/>
      <c r="M22" s="78"/>
    </row>
    <row r="23" spans="2:15" ht="20.149999999999999" customHeight="1" x14ac:dyDescent="0.45">
      <c r="B23" s="34"/>
      <c r="C23" s="22"/>
      <c r="D23" s="508"/>
      <c r="E23" s="508"/>
      <c r="F23" s="508"/>
      <c r="G23" s="90"/>
      <c r="H23" s="68"/>
      <c r="I23" s="604"/>
      <c r="J23" s="604"/>
      <c r="K23" s="35"/>
      <c r="L23" s="77"/>
      <c r="M23" s="78"/>
    </row>
    <row r="24" spans="2:15" ht="20.149999999999999" customHeight="1" x14ac:dyDescent="0.45">
      <c r="B24" s="34"/>
      <c r="C24" s="22"/>
      <c r="D24" s="508"/>
      <c r="E24" s="508"/>
      <c r="F24" s="508"/>
      <c r="G24" s="90"/>
      <c r="H24" s="68"/>
      <c r="I24" s="604"/>
      <c r="J24" s="604"/>
      <c r="K24" s="35"/>
      <c r="L24" s="77"/>
      <c r="M24" s="78"/>
    </row>
    <row r="25" spans="2:15" ht="20.149999999999999" customHeight="1" x14ac:dyDescent="0.45">
      <c r="B25" s="34"/>
      <c r="C25" s="22"/>
      <c r="D25" s="508"/>
      <c r="E25" s="508"/>
      <c r="F25" s="508"/>
      <c r="G25" s="90"/>
      <c r="H25" s="68"/>
      <c r="I25" s="604"/>
      <c r="J25" s="604"/>
      <c r="K25" s="35"/>
      <c r="L25" s="77"/>
      <c r="M25" s="78"/>
    </row>
    <row r="26" spans="2:15" ht="20.149999999999999" customHeight="1" x14ac:dyDescent="0.45">
      <c r="B26" s="34"/>
      <c r="C26" s="22"/>
      <c r="D26" s="508"/>
      <c r="E26" s="508"/>
      <c r="F26" s="508"/>
      <c r="G26" s="90"/>
      <c r="H26" s="68"/>
      <c r="I26" s="604"/>
      <c r="J26" s="604"/>
      <c r="K26" s="35"/>
      <c r="L26" s="77"/>
      <c r="M26" s="78"/>
    </row>
    <row r="27" spans="2:15" ht="20.149999999999999" customHeight="1" x14ac:dyDescent="0.45">
      <c r="B27" s="34"/>
      <c r="C27" s="22"/>
      <c r="D27" s="508"/>
      <c r="E27" s="508"/>
      <c r="F27" s="508"/>
      <c r="G27" s="90"/>
      <c r="H27" s="68"/>
      <c r="I27" s="604"/>
      <c r="J27" s="604"/>
      <c r="K27" s="35"/>
      <c r="L27" s="77"/>
      <c r="M27" s="78"/>
    </row>
    <row r="28" spans="2:15" ht="20.149999999999999" customHeight="1" x14ac:dyDescent="0.45">
      <c r="B28" s="34"/>
      <c r="C28" s="22"/>
      <c r="D28" s="508"/>
      <c r="E28" s="508"/>
      <c r="F28" s="508"/>
      <c r="G28" s="91"/>
      <c r="H28" s="68"/>
      <c r="I28" s="604"/>
      <c r="J28" s="604"/>
      <c r="K28" s="35"/>
      <c r="L28" s="77"/>
      <c r="M28" s="78"/>
    </row>
    <row r="29" spans="2:15" ht="20.149999999999999" customHeight="1" x14ac:dyDescent="0.45">
      <c r="B29" s="34"/>
      <c r="C29" s="22"/>
      <c r="D29" s="508"/>
      <c r="E29" s="508"/>
      <c r="F29" s="508"/>
      <c r="G29" s="91"/>
      <c r="H29" s="68"/>
      <c r="I29" s="604"/>
      <c r="J29" s="604"/>
      <c r="K29" s="35"/>
      <c r="L29" s="77"/>
      <c r="M29" s="78"/>
    </row>
    <row r="30" spans="2:15" ht="20.149999999999999" customHeight="1" x14ac:dyDescent="0.45">
      <c r="B30" s="34"/>
      <c r="C30" s="22"/>
      <c r="D30" s="508"/>
      <c r="E30" s="508"/>
      <c r="F30" s="508"/>
      <c r="G30" s="91"/>
      <c r="H30" s="68"/>
      <c r="I30" s="604"/>
      <c r="J30" s="604"/>
      <c r="K30" s="35"/>
      <c r="L30" s="77"/>
      <c r="M30" s="78"/>
    </row>
    <row r="31" spans="2:15" ht="20.149999999999999" customHeight="1" x14ac:dyDescent="0.45">
      <c r="B31" s="34"/>
      <c r="C31" s="22"/>
      <c r="D31" s="508"/>
      <c r="E31" s="508"/>
      <c r="F31" s="508"/>
      <c r="G31" s="91"/>
      <c r="H31" s="68"/>
      <c r="I31" s="604"/>
      <c r="J31" s="604"/>
      <c r="K31" s="35"/>
      <c r="L31" s="77"/>
      <c r="M31" s="78"/>
    </row>
    <row r="32" spans="2:15" ht="20.149999999999999" customHeight="1" x14ac:dyDescent="0.45">
      <c r="B32" s="34"/>
      <c r="C32" s="22"/>
      <c r="D32" s="508"/>
      <c r="E32" s="508"/>
      <c r="F32" s="508"/>
      <c r="G32" s="91"/>
      <c r="H32" s="68"/>
      <c r="I32" s="604"/>
      <c r="J32" s="604"/>
      <c r="K32" s="35"/>
      <c r="L32" s="77"/>
      <c r="M32" s="78"/>
    </row>
    <row r="33" spans="2:13" ht="20.149999999999999" customHeight="1" x14ac:dyDescent="0.45">
      <c r="B33" s="34"/>
      <c r="C33" s="22"/>
      <c r="D33" s="508"/>
      <c r="E33" s="508"/>
      <c r="F33" s="508"/>
      <c r="G33" s="91"/>
      <c r="H33" s="68"/>
      <c r="I33" s="604"/>
      <c r="J33" s="604"/>
      <c r="K33" s="35"/>
      <c r="L33" s="77"/>
      <c r="M33" s="78"/>
    </row>
    <row r="34" spans="2:13" ht="20.149999999999999" customHeight="1" x14ac:dyDescent="0.45">
      <c r="B34" s="34"/>
      <c r="C34" s="22"/>
      <c r="D34" s="508"/>
      <c r="E34" s="508"/>
      <c r="F34" s="508"/>
      <c r="G34" s="91"/>
      <c r="H34" s="68"/>
      <c r="I34" s="604"/>
      <c r="J34" s="604"/>
      <c r="K34" s="35"/>
      <c r="L34" s="77"/>
      <c r="M34" s="78"/>
    </row>
    <row r="35" spans="2:13" ht="20.149999999999999" customHeight="1" x14ac:dyDescent="0.45">
      <c r="B35" s="34"/>
      <c r="C35" s="22"/>
      <c r="G35" s="91"/>
      <c r="H35" s="68"/>
      <c r="I35" s="604"/>
      <c r="J35" s="604"/>
      <c r="K35" s="35"/>
      <c r="L35" s="77"/>
      <c r="M35" s="78"/>
    </row>
    <row r="36" spans="2:13" ht="20.149999999999999" customHeight="1" x14ac:dyDescent="0.45">
      <c r="B36" s="34"/>
      <c r="C36" s="22"/>
      <c r="D36" s="508"/>
      <c r="E36" s="508"/>
      <c r="F36" s="508"/>
      <c r="G36" s="91"/>
      <c r="H36" s="68"/>
      <c r="I36" s="604"/>
      <c r="J36" s="604"/>
      <c r="K36" s="35"/>
      <c r="L36" s="77"/>
    </row>
    <row r="37" spans="2:13" ht="20.149999999999999" customHeight="1" thickBot="1" x14ac:dyDescent="0.5">
      <c r="B37" s="37"/>
      <c r="C37" s="38"/>
      <c r="D37" s="509"/>
      <c r="E37" s="509"/>
      <c r="F37" s="509"/>
      <c r="G37" s="38"/>
      <c r="H37" s="69"/>
      <c r="I37" s="588"/>
      <c r="J37" s="588"/>
      <c r="K37" s="39"/>
      <c r="L37" s="40"/>
    </row>
    <row r="38" spans="2:13" ht="20.149999999999999" customHeight="1" thickBot="1" x14ac:dyDescent="0.5">
      <c r="B38" s="41"/>
      <c r="L38" s="42"/>
    </row>
    <row r="39" spans="2:13" ht="20.149999999999999" customHeight="1" x14ac:dyDescent="0.45">
      <c r="B39" s="11" t="s">
        <v>18</v>
      </c>
      <c r="C39" s="7"/>
      <c r="D39" s="7"/>
      <c r="E39" s="7"/>
      <c r="F39" s="7"/>
      <c r="G39" s="7"/>
      <c r="H39" s="7"/>
      <c r="I39" s="86"/>
      <c r="J39" s="510" t="s">
        <v>15</v>
      </c>
      <c r="K39" s="511"/>
      <c r="L39" s="43">
        <f>SUM(L17:L37)</f>
        <v>88</v>
      </c>
      <c r="M39" s="76">
        <f>166+26</f>
        <v>192</v>
      </c>
    </row>
    <row r="40" spans="2:13" ht="20.149999999999999" customHeight="1" x14ac:dyDescent="0.45">
      <c r="B40" s="11" t="s">
        <v>19</v>
      </c>
      <c r="C40" s="7"/>
      <c r="D40" s="7"/>
      <c r="E40" s="7"/>
      <c r="F40" s="7"/>
      <c r="G40" s="7"/>
      <c r="H40" s="7"/>
      <c r="I40" s="86"/>
      <c r="J40" s="44" t="s">
        <v>22</v>
      </c>
      <c r="K40" s="45"/>
      <c r="L40" s="46">
        <f>L42</f>
        <v>5.7570093457943923</v>
      </c>
    </row>
    <row r="41" spans="2:13" ht="20.149999999999999" customHeight="1" x14ac:dyDescent="0.45">
      <c r="B41" s="11" t="s">
        <v>20</v>
      </c>
      <c r="C41" s="7"/>
      <c r="D41" s="7"/>
      <c r="E41" s="7"/>
      <c r="F41" s="7"/>
      <c r="G41" s="7"/>
      <c r="H41" s="7"/>
      <c r="I41" s="86"/>
      <c r="J41" s="486" t="s">
        <v>21</v>
      </c>
      <c r="K41" s="487"/>
      <c r="L41" s="46">
        <f>L39/107*100</f>
        <v>82.242990654205599</v>
      </c>
    </row>
    <row r="42" spans="2:13" ht="20.149999999999999" customHeight="1" x14ac:dyDescent="0.45">
      <c r="B42" s="11" t="s">
        <v>24</v>
      </c>
      <c r="C42" s="7"/>
      <c r="D42" s="7"/>
      <c r="E42" s="7"/>
      <c r="F42" s="7"/>
      <c r="G42" s="7"/>
      <c r="H42" s="7"/>
      <c r="I42" s="86"/>
      <c r="J42" s="150" t="s">
        <v>17</v>
      </c>
      <c r="K42" s="151">
        <v>7.0000000000000007E-2</v>
      </c>
      <c r="L42" s="47">
        <f>L41*K42</f>
        <v>5.7570093457943923</v>
      </c>
    </row>
    <row r="43" spans="2:13" ht="20.149999999999999" customHeight="1" thickBot="1" x14ac:dyDescent="0.5">
      <c r="B43" s="11" t="s">
        <v>1400</v>
      </c>
      <c r="C43" s="7"/>
      <c r="D43" s="7"/>
      <c r="E43" s="7"/>
      <c r="F43" s="7"/>
      <c r="G43" s="7"/>
      <c r="H43" s="7"/>
      <c r="I43" s="86"/>
      <c r="J43" s="488" t="s">
        <v>23</v>
      </c>
      <c r="K43" s="489"/>
      <c r="L43" s="48">
        <f>L41+L42</f>
        <v>87.999999999999986</v>
      </c>
    </row>
    <row r="44" spans="2:13" ht="20.149999999999999" customHeight="1" x14ac:dyDescent="0.45">
      <c r="B44" s="11" t="s">
        <v>26</v>
      </c>
      <c r="C44" s="7"/>
      <c r="D44" s="7"/>
      <c r="E44" s="7"/>
      <c r="F44" s="7"/>
      <c r="G44" s="7"/>
      <c r="H44" s="7"/>
      <c r="I44" s="86"/>
      <c r="L44" s="42"/>
    </row>
    <row r="45" spans="2:13" ht="20.149999999999999" customHeight="1" x14ac:dyDescent="0.45">
      <c r="B45" s="224" t="s">
        <v>1379</v>
      </c>
      <c r="L45" s="42"/>
    </row>
    <row r="46" spans="2:13" ht="20.149999999999999" customHeight="1" x14ac:dyDescent="0.45">
      <c r="B46" s="41"/>
      <c r="L46" s="42"/>
    </row>
    <row r="47" spans="2:13" ht="20.149999999999999" customHeight="1" x14ac:dyDescent="0.45">
      <c r="B47" s="41"/>
      <c r="L47" s="42"/>
    </row>
    <row r="48" spans="2:13" ht="20.149999999999999" customHeight="1" x14ac:dyDescent="0.45">
      <c r="B48" s="41"/>
      <c r="L48" s="42"/>
    </row>
    <row r="49" spans="2:12" ht="20.149999999999999" customHeight="1" x14ac:dyDescent="0.45">
      <c r="B49" s="49"/>
      <c r="C49" s="50"/>
      <c r="D49" s="50"/>
      <c r="J49" s="87"/>
      <c r="K49" s="50"/>
      <c r="L49" s="51"/>
    </row>
    <row r="50" spans="2:12" ht="20.149999999999999" customHeight="1" x14ac:dyDescent="0.45">
      <c r="B50" s="41" t="s">
        <v>27</v>
      </c>
      <c r="J50" s="81" t="s">
        <v>28</v>
      </c>
      <c r="L50" s="42"/>
    </row>
    <row r="51" spans="2:12" ht="19" thickBot="1" x14ac:dyDescent="0.5">
      <c r="B51" s="52"/>
      <c r="C51" s="53"/>
      <c r="D51" s="53"/>
      <c r="E51" s="53"/>
      <c r="F51" s="53"/>
      <c r="G51" s="53"/>
      <c r="H51" s="53"/>
      <c r="I51" s="88"/>
      <c r="J51" s="88"/>
      <c r="K51" s="53"/>
      <c r="L51" s="54"/>
    </row>
  </sheetData>
  <mergeCells count="56"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18:J18"/>
    <mergeCell ref="D20:F20"/>
    <mergeCell ref="I20:J20"/>
    <mergeCell ref="D21:F21"/>
    <mergeCell ref="I21:J21"/>
    <mergeCell ref="D19:F19"/>
    <mergeCell ref="I19:J19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I33:J33"/>
    <mergeCell ref="D28:F28"/>
    <mergeCell ref="I28:J28"/>
    <mergeCell ref="D29:F29"/>
    <mergeCell ref="I29:J29"/>
    <mergeCell ref="D30:F30"/>
    <mergeCell ref="I30:J30"/>
    <mergeCell ref="B1:L8"/>
    <mergeCell ref="D34:F34"/>
    <mergeCell ref="I34:J34"/>
    <mergeCell ref="J41:K41"/>
    <mergeCell ref="J43:K43"/>
    <mergeCell ref="I35:J35"/>
    <mergeCell ref="D36:F36"/>
    <mergeCell ref="I36:J36"/>
    <mergeCell ref="D37:F37"/>
    <mergeCell ref="I37:J37"/>
    <mergeCell ref="J39:K39"/>
    <mergeCell ref="D31:F31"/>
    <mergeCell ref="I31:J31"/>
    <mergeCell ref="D32:F32"/>
    <mergeCell ref="I32:J32"/>
    <mergeCell ref="D33:F33"/>
  </mergeCells>
  <pageMargins left="0.70866141732283505" right="0.31496062992126" top="0.59055118110236204" bottom="0" header="0.31496062992126" footer="0.31496062992126"/>
  <pageSetup paperSize="9" scale="76" orientation="portrait" horizontalDpi="300" verticalDpi="300" r:id="rId1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B52076-F6ED-4A92-927E-4AF5160FFD76}">
  <sheetPr codeName="Sheet62">
    <tabColor rgb="FFFFFF00"/>
    <pageSetUpPr fitToPage="1"/>
  </sheetPr>
  <dimension ref="B1:O45"/>
  <sheetViews>
    <sheetView workbookViewId="0">
      <selection activeCell="F11" sqref="F11:H15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7.453125" style="24" customWidth="1"/>
    <col min="7" max="7" width="8.54296875" style="24" customWidth="1"/>
    <col min="8" max="8" width="18.81640625" style="24" customWidth="1"/>
    <col min="9" max="9" width="2.54296875" style="24" customWidth="1"/>
    <col min="10" max="10" width="15.54296875" style="24" customWidth="1"/>
    <col min="11" max="11" width="10.54296875" style="24" customWidth="1"/>
    <col min="12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1934</v>
      </c>
      <c r="J10" s="29" t="s">
        <v>29</v>
      </c>
      <c r="K10" s="452">
        <v>202107506</v>
      </c>
      <c r="L10" s="453"/>
    </row>
    <row r="11" spans="2:12" ht="20.149999999999999" customHeight="1" x14ac:dyDescent="0.45">
      <c r="B11" s="454" t="s">
        <v>1935</v>
      </c>
      <c r="C11" s="455"/>
      <c r="D11" s="456"/>
      <c r="E11" s="30"/>
      <c r="F11" s="457" t="str">
        <f>VLOOKUP(H10,'Delivery Location'!A$4:N$416,2,0)</f>
        <v xml:space="preserve">Foodgle Hub Pte Ltd                                               2 Ang Mo Kio Drive                                         Singapore 567720   </v>
      </c>
      <c r="G11" s="458"/>
      <c r="H11" s="459"/>
      <c r="J11" s="31" t="s">
        <v>11</v>
      </c>
      <c r="K11" s="551">
        <v>44408</v>
      </c>
      <c r="L11" s="472"/>
    </row>
    <row r="12" spans="2:12" ht="20.149999999999999" customHeight="1" x14ac:dyDescent="0.45">
      <c r="B12" s="468" t="s">
        <v>1936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36</v>
      </c>
      <c r="L12" s="472"/>
    </row>
    <row r="13" spans="2:12" ht="20.149999999999999" customHeight="1" x14ac:dyDescent="0.45">
      <c r="B13" s="468" t="s">
        <v>1937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14</v>
      </c>
      <c r="L13" s="472"/>
    </row>
    <row r="14" spans="2:12" ht="20.149999999999999" customHeight="1" x14ac:dyDescent="0.45">
      <c r="B14" s="468" t="s">
        <v>1938</v>
      </c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552" t="s">
        <v>1940</v>
      </c>
      <c r="C15" s="474"/>
      <c r="D15" s="475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15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3"/>
      <c r="O17" s="33"/>
    </row>
    <row r="18" spans="2:15" ht="20.149999999999999" customHeight="1" x14ac:dyDescent="0.45">
      <c r="B18" s="70"/>
      <c r="C18" s="22" t="s">
        <v>1832</v>
      </c>
      <c r="D18" s="508" t="str">
        <f>VLOOKUP(C18,'Sales Master'!B$3:D$499,2,)</f>
        <v>TOW SUAN</v>
      </c>
      <c r="E18" s="508"/>
      <c r="F18" s="508"/>
      <c r="G18" s="312">
        <v>1</v>
      </c>
      <c r="H18" s="68" t="str">
        <f>VLOOKUP(C18,'Sales Master'!$B$3:$F$3179,5,0)</f>
        <v>4 KGS</v>
      </c>
      <c r="I18" s="481" t="str">
        <f>VLOOKUP(C18,'Sales Master'!$B$3:$E$3179,4,0)</f>
        <v>DO!</v>
      </c>
      <c r="J18" s="481"/>
      <c r="K18" s="98">
        <f>VLOOKUP(C18,'Sales Master'!$B$3:$CA$3077,78,0)</f>
        <v>9.6999999999999993</v>
      </c>
      <c r="L18" s="99">
        <f t="shared" ref="L18:L23" si="0">K18*G18</f>
        <v>9.6999999999999993</v>
      </c>
      <c r="M18" s="78"/>
      <c r="N18" s="24" t="s">
        <v>1648</v>
      </c>
      <c r="O18" s="24" t="s">
        <v>1872</v>
      </c>
    </row>
    <row r="19" spans="2:15" ht="20.149999999999999" customHeight="1" x14ac:dyDescent="0.45">
      <c r="B19" s="70"/>
      <c r="C19" s="22" t="s">
        <v>1921</v>
      </c>
      <c r="D19" s="508" t="str">
        <f>VLOOKUP(C19,'Sales Master'!B$3:D$499,2,)</f>
        <v>BUBOR HITAM</v>
      </c>
      <c r="E19" s="508"/>
      <c r="F19" s="508"/>
      <c r="G19" s="312">
        <v>1</v>
      </c>
      <c r="H19" s="68" t="str">
        <f>VLOOKUP(C19,'Sales Master'!$B$3:$F$3179,5,0)</f>
        <v>4 KGS</v>
      </c>
      <c r="I19" s="481" t="str">
        <f>VLOOKUP(C19,'Sales Master'!$B$3:$E$3179,4,0)</f>
        <v>DO!</v>
      </c>
      <c r="J19" s="481"/>
      <c r="K19" s="98">
        <f>VLOOKUP(C19,'Sales Master'!$B$3:$CA$3077,78,0)</f>
        <v>9.6999999999999993</v>
      </c>
      <c r="L19" s="99">
        <f t="shared" si="0"/>
        <v>9.6999999999999993</v>
      </c>
      <c r="M19" s="78"/>
    </row>
    <row r="20" spans="2:15" ht="20.149999999999999" customHeight="1" x14ac:dyDescent="0.45">
      <c r="B20" s="70"/>
      <c r="C20" s="22" t="s">
        <v>1922</v>
      </c>
      <c r="D20" s="508" t="str">
        <f>VLOOKUP(C20,'Sales Master'!B$3:D$499,2,)</f>
        <v>BUBOR TERIGU</v>
      </c>
      <c r="E20" s="508"/>
      <c r="F20" s="508"/>
      <c r="G20" s="312">
        <v>0</v>
      </c>
      <c r="H20" s="68" t="str">
        <f>VLOOKUP(C20,'Sales Master'!$B$3:$F$3179,5,0)</f>
        <v>4 KGS</v>
      </c>
      <c r="I20" s="481" t="str">
        <f>VLOOKUP(C20,'Sales Master'!$B$3:$E$3179,4,0)</f>
        <v>DO!</v>
      </c>
      <c r="J20" s="481"/>
      <c r="K20" s="98">
        <f>VLOOKUP(C20,'Sales Master'!$B$3:$CA$3077,78,0)</f>
        <v>9.6999999999999993</v>
      </c>
      <c r="L20" s="99">
        <f t="shared" si="0"/>
        <v>0</v>
      </c>
      <c r="M20" s="78"/>
    </row>
    <row r="21" spans="2:15" ht="20.149999999999999" customHeight="1" x14ac:dyDescent="0.45">
      <c r="B21" s="70"/>
      <c r="C21" s="22" t="s">
        <v>1923</v>
      </c>
      <c r="D21" s="508" t="str">
        <f>VLOOKUP(C21,'Sales Master'!B$3:D$499,2,)</f>
        <v>Green Bean Soup 绿豆</v>
      </c>
      <c r="E21" s="508"/>
      <c r="F21" s="508"/>
      <c r="G21" s="312">
        <v>2</v>
      </c>
      <c r="H21" s="68" t="str">
        <f>VLOOKUP(C21,'Sales Master'!$B$3:$F$3179,5,0)</f>
        <v>4 KGS</v>
      </c>
      <c r="I21" s="481" t="str">
        <f>VLOOKUP(C21,'Sales Master'!$B$3:$E$3179,4,0)</f>
        <v>DO!</v>
      </c>
      <c r="J21" s="481"/>
      <c r="K21" s="98">
        <f>VLOOKUP(C21,'Sales Master'!$B$3:$CA$3077,78,0)</f>
        <v>9.6999999999999993</v>
      </c>
      <c r="L21" s="99">
        <f t="shared" si="0"/>
        <v>19.399999999999999</v>
      </c>
      <c r="M21" s="78"/>
    </row>
    <row r="22" spans="2:15" ht="20.149999999999999" customHeight="1" x14ac:dyDescent="0.45">
      <c r="B22" s="70"/>
      <c r="C22" s="22" t="s">
        <v>1926</v>
      </c>
      <c r="D22" s="508" t="str">
        <f>VLOOKUP(C22,'Sales Master'!B$3:D$499,2,)</f>
        <v>Red Beam Soup</v>
      </c>
      <c r="E22" s="508"/>
      <c r="F22" s="508"/>
      <c r="G22" s="312">
        <v>2</v>
      </c>
      <c r="H22" s="68" t="str">
        <f>VLOOKUP(C22,'Sales Master'!$B$3:$F$3179,5,0)</f>
        <v>4 KGS</v>
      </c>
      <c r="I22" s="481" t="str">
        <f>VLOOKUP(C22,'Sales Master'!$B$3:$E$3179,4,0)</f>
        <v>DO!</v>
      </c>
      <c r="J22" s="481"/>
      <c r="K22" s="98">
        <f>VLOOKUP(C22,'Sales Master'!$B$3:$CA$3077,78,0)</f>
        <v>9.6999999999999993</v>
      </c>
      <c r="L22" s="99">
        <f t="shared" si="0"/>
        <v>19.399999999999999</v>
      </c>
      <c r="M22" s="78"/>
    </row>
    <row r="23" spans="2:15" ht="20.149999999999999" customHeight="1" x14ac:dyDescent="0.45">
      <c r="B23" s="70"/>
      <c r="C23" s="22" t="s">
        <v>1929</v>
      </c>
      <c r="D23" s="508" t="str">
        <f>VLOOKUP(C23,'Sales Master'!B$3:D$499,2,)</f>
        <v>Dessert Syrup</v>
      </c>
      <c r="E23" s="508"/>
      <c r="F23" s="508"/>
      <c r="G23" s="312">
        <v>2</v>
      </c>
      <c r="H23" s="68" t="str">
        <f>VLOOKUP(C23,'Sales Master'!$B$3:$F$3179,5,0)</f>
        <v>4 kgs</v>
      </c>
      <c r="I23" s="481" t="str">
        <f>VLOOKUP(C23,'Sales Master'!$B$3:$E$3179,4,0)</f>
        <v>DO!</v>
      </c>
      <c r="J23" s="481"/>
      <c r="K23" s="98">
        <f>VLOOKUP(C23,'Sales Master'!$B$3:$CA$3077,78,0)</f>
        <v>6</v>
      </c>
      <c r="L23" s="99">
        <f t="shared" si="0"/>
        <v>12</v>
      </c>
      <c r="M23" s="78"/>
    </row>
    <row r="24" spans="2:15" ht="20.149999999999999" customHeight="1" x14ac:dyDescent="0.45">
      <c r="B24" s="70"/>
      <c r="C24" s="22" t="s">
        <v>1931</v>
      </c>
      <c r="D24" s="508" t="str">
        <f>VLOOKUP(C24,'Sales Master'!B$3:D$499,2,)</f>
        <v xml:space="preserve">Steam Sweet Potato </v>
      </c>
      <c r="E24" s="508"/>
      <c r="F24" s="508"/>
      <c r="G24" s="312">
        <v>1</v>
      </c>
      <c r="H24" s="68" t="str">
        <f>VLOOKUP(C24,'Sales Master'!$B$3:$F$3179,5,0)</f>
        <v>1 kg</v>
      </c>
      <c r="I24" s="481" t="str">
        <f>VLOOKUP(C24,'Sales Master'!$B$3:$E$3179,4,0)</f>
        <v>DO!</v>
      </c>
      <c r="J24" s="481"/>
      <c r="K24" s="98">
        <f>VLOOKUP(C24,'Sales Master'!$B$3:$CA$3077,78,0)</f>
        <v>4</v>
      </c>
      <c r="L24" s="99">
        <f>K24*G24</f>
        <v>4</v>
      </c>
      <c r="M24" s="78"/>
    </row>
    <row r="25" spans="2:15" ht="20.149999999999999" customHeight="1" x14ac:dyDescent="0.45">
      <c r="B25" s="70"/>
      <c r="C25" s="22" t="s">
        <v>1797</v>
      </c>
      <c r="D25" s="508" t="str">
        <f>VLOOKUP(C25,'Sales Master'!B$3:D$499,2,)</f>
        <v>Yu Tiao 油条</v>
      </c>
      <c r="E25" s="508"/>
      <c r="F25" s="508"/>
      <c r="G25" s="312">
        <v>1</v>
      </c>
      <c r="H25" s="68" t="str">
        <f>VLOOKUP(C25,'Sales Master'!$B$3:$F$3179,5,0)</f>
        <v>1 pc</v>
      </c>
      <c r="I25" s="481" t="str">
        <f>VLOOKUP(C25,'Sales Master'!$B$3:$E$3179,4,0)</f>
        <v>-</v>
      </c>
      <c r="J25" s="481"/>
      <c r="K25" s="98">
        <f>VLOOKUP(C25,'Sales Master'!$B$3:$CA$3077,78,0)</f>
        <v>0.7</v>
      </c>
      <c r="L25" s="99">
        <f>K25*G25</f>
        <v>0.7</v>
      </c>
      <c r="M25" s="78"/>
    </row>
    <row r="26" spans="2:15" ht="20.149999999999999" customHeight="1" x14ac:dyDescent="0.45">
      <c r="B26" s="70"/>
      <c r="C26" s="22"/>
      <c r="D26" s="508"/>
      <c r="E26" s="508"/>
      <c r="F26" s="508"/>
      <c r="G26" s="310"/>
      <c r="H26" s="68"/>
      <c r="I26" s="481"/>
      <c r="J26" s="481"/>
      <c r="K26" s="98"/>
      <c r="L26" s="99"/>
      <c r="M26" s="78"/>
    </row>
    <row r="27" spans="2:15" ht="20.149999999999999" customHeight="1" x14ac:dyDescent="0.45">
      <c r="B27" s="70"/>
      <c r="C27" s="22"/>
      <c r="D27" s="508"/>
      <c r="E27" s="508"/>
      <c r="F27" s="508"/>
      <c r="G27" s="310"/>
      <c r="H27" s="68"/>
      <c r="I27" s="481"/>
      <c r="J27" s="481"/>
      <c r="K27" s="98"/>
      <c r="L27" s="99"/>
      <c r="M27" s="78"/>
    </row>
    <row r="28" spans="2:15" ht="20.149999999999999" customHeight="1" x14ac:dyDescent="0.45">
      <c r="B28" s="70"/>
      <c r="C28" s="22"/>
      <c r="D28" s="508"/>
      <c r="E28" s="508"/>
      <c r="F28" s="508"/>
      <c r="G28" s="310"/>
      <c r="H28" s="68"/>
      <c r="I28" s="481"/>
      <c r="J28" s="481"/>
      <c r="K28" s="98"/>
      <c r="L28" s="99"/>
      <c r="M28" s="78"/>
    </row>
    <row r="29" spans="2:15" ht="20.149999999999999" customHeight="1" x14ac:dyDescent="0.45">
      <c r="B29" s="70"/>
      <c r="C29" s="22"/>
      <c r="D29" s="508"/>
      <c r="E29" s="508"/>
      <c r="F29" s="508"/>
      <c r="G29" s="310"/>
      <c r="H29" s="68"/>
      <c r="I29" s="481"/>
      <c r="J29" s="481"/>
      <c r="K29" s="98"/>
      <c r="L29" s="99"/>
      <c r="M29" s="78"/>
    </row>
    <row r="30" spans="2:15" ht="20.149999999999999" customHeight="1" x14ac:dyDescent="0.45">
      <c r="B30" s="70"/>
      <c r="C30" s="22"/>
      <c r="D30" s="508"/>
      <c r="E30" s="508"/>
      <c r="F30" s="508"/>
      <c r="G30" s="310"/>
      <c r="H30" s="68"/>
      <c r="I30" s="481"/>
      <c r="J30" s="481"/>
      <c r="K30" s="98"/>
      <c r="L30" s="99"/>
      <c r="M30" s="78"/>
    </row>
    <row r="31" spans="2:15" ht="20.149999999999999" customHeight="1" x14ac:dyDescent="0.45">
      <c r="B31" s="70"/>
      <c r="C31" s="22"/>
      <c r="D31" s="508"/>
      <c r="E31" s="508"/>
      <c r="F31" s="508"/>
      <c r="G31" s="310"/>
      <c r="H31" s="68"/>
      <c r="I31" s="481"/>
      <c r="J31" s="481"/>
      <c r="K31" s="98"/>
      <c r="L31" s="99"/>
      <c r="M31" s="78"/>
    </row>
    <row r="32" spans="2:15" ht="20.149999999999999" customHeight="1" thickBot="1" x14ac:dyDescent="0.5">
      <c r="B32" s="52"/>
      <c r="C32" s="53"/>
      <c r="D32" s="53"/>
      <c r="E32" s="53"/>
      <c r="F32" s="53"/>
      <c r="G32" s="53"/>
      <c r="H32" s="53"/>
      <c r="I32" s="53"/>
      <c r="J32" s="53"/>
      <c r="K32" s="53"/>
      <c r="L32" s="54"/>
    </row>
    <row r="33" spans="2:13" ht="20.149999999999999" customHeight="1" x14ac:dyDescent="0.45">
      <c r="B33" s="11" t="s">
        <v>18</v>
      </c>
      <c r="C33" s="7"/>
      <c r="D33" s="7"/>
      <c r="E33" s="7"/>
      <c r="F33" s="7"/>
      <c r="G33" s="7"/>
      <c r="H33" s="7"/>
      <c r="I33" s="7"/>
      <c r="J33" s="510" t="s">
        <v>15</v>
      </c>
      <c r="K33" s="511"/>
      <c r="L33" s="43">
        <f>SUM(L17:L32)</f>
        <v>74.899999999999991</v>
      </c>
      <c r="M33" s="76">
        <f>L33-316.5</f>
        <v>-241.60000000000002</v>
      </c>
    </row>
    <row r="34" spans="2:13" ht="20.149999999999999" customHeight="1" x14ac:dyDescent="0.45">
      <c r="B34" s="11" t="s">
        <v>19</v>
      </c>
      <c r="C34" s="7"/>
      <c r="D34" s="7"/>
      <c r="E34" s="7"/>
      <c r="F34" s="7"/>
      <c r="G34" s="7"/>
      <c r="H34" s="7"/>
      <c r="I34" s="7"/>
      <c r="J34" s="44" t="s">
        <v>22</v>
      </c>
      <c r="K34" s="45"/>
      <c r="L34" s="46">
        <f>L33*K34</f>
        <v>0</v>
      </c>
    </row>
    <row r="35" spans="2:13" ht="20.149999999999999" customHeight="1" x14ac:dyDescent="0.45">
      <c r="B35" s="11" t="s">
        <v>20</v>
      </c>
      <c r="C35" s="7"/>
      <c r="D35" s="7"/>
      <c r="E35" s="7"/>
      <c r="F35" s="7"/>
      <c r="G35" s="7"/>
      <c r="H35" s="7"/>
      <c r="I35" s="7"/>
      <c r="J35" s="486" t="s">
        <v>21</v>
      </c>
      <c r="K35" s="487"/>
      <c r="L35" s="46">
        <f>L33-L34</f>
        <v>74.899999999999991</v>
      </c>
    </row>
    <row r="36" spans="2:13" ht="20.149999999999999" customHeight="1" x14ac:dyDescent="0.45">
      <c r="B36" s="11" t="s">
        <v>24</v>
      </c>
      <c r="C36" s="7"/>
      <c r="D36" s="7"/>
      <c r="E36" s="7"/>
      <c r="F36" s="7"/>
      <c r="G36" s="7"/>
      <c r="H36" s="7"/>
      <c r="I36" s="7"/>
      <c r="J36" s="150" t="s">
        <v>17</v>
      </c>
      <c r="K36" s="151">
        <v>7.0000000000000007E-2</v>
      </c>
      <c r="L36" s="47">
        <f>L35*K36</f>
        <v>5.2430000000000003</v>
      </c>
    </row>
    <row r="37" spans="2:13" ht="20.149999999999999" customHeight="1" thickBot="1" x14ac:dyDescent="0.5">
      <c r="B37" s="11" t="s">
        <v>25</v>
      </c>
      <c r="C37" s="7"/>
      <c r="D37" s="7"/>
      <c r="E37" s="7"/>
      <c r="F37" s="7"/>
      <c r="G37" s="7"/>
      <c r="H37" s="7"/>
      <c r="I37" s="7"/>
      <c r="J37" s="488" t="s">
        <v>23</v>
      </c>
      <c r="K37" s="489"/>
      <c r="L37" s="48">
        <f>L35+L36</f>
        <v>80.142999999999986</v>
      </c>
    </row>
    <row r="38" spans="2:13" ht="20.149999999999999" customHeight="1" x14ac:dyDescent="0.45">
      <c r="B38" s="11" t="s">
        <v>26</v>
      </c>
      <c r="C38" s="7"/>
      <c r="D38" s="7"/>
      <c r="E38" s="7"/>
      <c r="F38" s="7"/>
      <c r="G38" s="7"/>
      <c r="H38" s="7"/>
      <c r="I38" s="7"/>
      <c r="L38" s="42"/>
    </row>
    <row r="39" spans="2:13" ht="20.149999999999999" customHeight="1" x14ac:dyDescent="0.45">
      <c r="B39" s="224" t="s">
        <v>1379</v>
      </c>
      <c r="L39" s="42"/>
    </row>
    <row r="40" spans="2:13" ht="20.149999999999999" customHeight="1" x14ac:dyDescent="0.45">
      <c r="B40" s="41"/>
      <c r="L40" s="42"/>
    </row>
    <row r="41" spans="2:13" ht="20.149999999999999" customHeight="1" x14ac:dyDescent="0.45">
      <c r="B41" s="41"/>
      <c r="L41" s="42"/>
    </row>
    <row r="42" spans="2:13" ht="20.149999999999999" customHeight="1" x14ac:dyDescent="0.45">
      <c r="B42" s="41"/>
      <c r="L42" s="42"/>
    </row>
    <row r="43" spans="2:13" ht="20.149999999999999" customHeight="1" x14ac:dyDescent="0.45">
      <c r="B43" s="49"/>
      <c r="C43" s="50"/>
      <c r="D43" s="50"/>
      <c r="J43" s="50"/>
      <c r="K43" s="50"/>
      <c r="L43" s="51"/>
    </row>
    <row r="44" spans="2:13" ht="20.149999999999999" customHeight="1" x14ac:dyDescent="0.45">
      <c r="B44" s="41" t="s">
        <v>27</v>
      </c>
      <c r="J44" s="24" t="s">
        <v>28</v>
      </c>
      <c r="L44" s="42"/>
    </row>
    <row r="45" spans="2:13" ht="19" thickBot="1" x14ac:dyDescent="0.5">
      <c r="B45" s="52"/>
      <c r="C45" s="53"/>
      <c r="D45" s="53"/>
      <c r="E45" s="53"/>
      <c r="F45" s="53"/>
      <c r="G45" s="53"/>
      <c r="H45" s="53"/>
      <c r="I45" s="53"/>
      <c r="J45" s="53"/>
      <c r="K45" s="53"/>
      <c r="L45" s="54"/>
    </row>
  </sheetData>
  <mergeCells count="46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21:F21"/>
    <mergeCell ref="I21:J21"/>
    <mergeCell ref="D22:F22"/>
    <mergeCell ref="I22:J22"/>
    <mergeCell ref="I17:J17"/>
    <mergeCell ref="D19:F19"/>
    <mergeCell ref="I19:J19"/>
    <mergeCell ref="D20:F20"/>
    <mergeCell ref="I20:J20"/>
    <mergeCell ref="D18:F18"/>
    <mergeCell ref="I18:J18"/>
    <mergeCell ref="D17:F17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D28:F28"/>
    <mergeCell ref="I28:J28"/>
    <mergeCell ref="D29:F29"/>
    <mergeCell ref="I29:J29"/>
    <mergeCell ref="J37:K37"/>
    <mergeCell ref="D30:F30"/>
    <mergeCell ref="I30:J30"/>
    <mergeCell ref="D31:F31"/>
    <mergeCell ref="I31:J31"/>
    <mergeCell ref="J33:K33"/>
    <mergeCell ref="J35:K35"/>
  </mergeCells>
  <pageMargins left="0.70866141732283472" right="0.31496062992125984" top="0.59055118110236227" bottom="0" header="0.31496062992125984" footer="0.31496062992125984"/>
  <pageSetup paperSize="9" scale="73" orientation="portrait" verticalDpi="300" r:id="rId1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320827-F999-413A-BB84-25BEC0375FDA}">
  <sheetPr codeName="Sheet63">
    <tabColor rgb="FFFFFF00"/>
    <pageSetUpPr fitToPage="1"/>
  </sheetPr>
  <dimension ref="B1:O45"/>
  <sheetViews>
    <sheetView workbookViewId="0">
      <selection activeCell="B1" sqref="B1:L8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7.453125" style="24" customWidth="1"/>
    <col min="7" max="7" width="8.54296875" style="24" customWidth="1"/>
    <col min="8" max="8" width="18.81640625" style="24" customWidth="1"/>
    <col min="9" max="9" width="2.54296875" style="24" customWidth="1"/>
    <col min="10" max="10" width="15.54296875" style="24" customWidth="1"/>
    <col min="11" max="11" width="10.54296875" style="24" customWidth="1"/>
    <col min="12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1948</v>
      </c>
      <c r="J10" s="29" t="s">
        <v>29</v>
      </c>
      <c r="K10" s="452">
        <v>202109433</v>
      </c>
      <c r="L10" s="453"/>
    </row>
    <row r="11" spans="2:12" ht="20.149999999999999" customHeight="1" x14ac:dyDescent="0.45">
      <c r="B11" s="454"/>
      <c r="C11" s="455"/>
      <c r="D11" s="456"/>
      <c r="E11" s="30"/>
      <c r="F11" s="457" t="str">
        <f>VLOOKUP(H10,'Delivery Location'!A$4:N$416,2,0)</f>
        <v>Comme Me Das                                                                                   2 Venture Drive, Vision Exchange #01-40          Singapore 608526</v>
      </c>
      <c r="G11" s="458"/>
      <c r="H11" s="459"/>
      <c r="J11" s="31" t="s">
        <v>11</v>
      </c>
      <c r="K11" s="551">
        <v>44467</v>
      </c>
      <c r="L11" s="472"/>
    </row>
    <row r="12" spans="2:12" ht="20.149999999999999" customHeight="1" x14ac:dyDescent="0.45">
      <c r="B12" s="468"/>
      <c r="C12" s="469"/>
      <c r="D12" s="470"/>
      <c r="E12" s="30"/>
      <c r="F12" s="460"/>
      <c r="G12" s="461"/>
      <c r="H12" s="462"/>
      <c r="J12" s="31" t="s">
        <v>171</v>
      </c>
      <c r="K12" s="471" t="s">
        <v>36</v>
      </c>
      <c r="L12" s="472"/>
    </row>
    <row r="13" spans="2:12" ht="20.149999999999999" customHeight="1" x14ac:dyDescent="0.45">
      <c r="B13" s="468"/>
      <c r="C13" s="469"/>
      <c r="D13" s="470"/>
      <c r="E13" s="30"/>
      <c r="F13" s="460"/>
      <c r="G13" s="461"/>
      <c r="H13" s="462"/>
      <c r="J13" s="31" t="s">
        <v>12</v>
      </c>
      <c r="K13" s="471" t="s">
        <v>1258</v>
      </c>
      <c r="L13" s="472"/>
    </row>
    <row r="14" spans="2:12" ht="20.149999999999999" customHeight="1" x14ac:dyDescent="0.45">
      <c r="B14" s="468"/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552"/>
      <c r="C15" s="474"/>
      <c r="D15" s="475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15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3"/>
      <c r="O17" s="33"/>
    </row>
    <row r="18" spans="2:15" ht="20.149999999999999" customHeight="1" x14ac:dyDescent="0.45">
      <c r="B18" s="70"/>
      <c r="C18" s="22" t="s">
        <v>1458</v>
      </c>
      <c r="D18" s="508" t="str">
        <f>VLOOKUP(C18,'Sales Master'!B$3:D$499,2,)</f>
        <v>Chendol浆咯</v>
      </c>
      <c r="E18" s="508"/>
      <c r="F18" s="508"/>
      <c r="G18" s="90">
        <v>1</v>
      </c>
      <c r="H18" s="68" t="str">
        <f>VLOOKUP(C18,'Sales Master'!$B$3:$F$3179,5,0)</f>
        <v>NW(2.2:0.8) 3 KG/BAG</v>
      </c>
      <c r="I18" s="481" t="str">
        <f>VLOOKUP(C18,'Sales Master'!$B$3:$E$3179,4,0)</f>
        <v>DO!</v>
      </c>
      <c r="J18" s="481"/>
      <c r="K18" s="98">
        <f>VLOOKUP(C18,'Sales Master'!$B$3:$CB$3077,79,0)</f>
        <v>7</v>
      </c>
      <c r="L18" s="99">
        <f>K18*G18</f>
        <v>7</v>
      </c>
      <c r="M18" s="78"/>
      <c r="N18" s="24" t="s">
        <v>1648</v>
      </c>
      <c r="O18" s="24" t="s">
        <v>1872</v>
      </c>
    </row>
    <row r="19" spans="2:15" ht="20.149999999999999" customHeight="1" x14ac:dyDescent="0.45">
      <c r="B19" s="70"/>
      <c r="C19" s="22" t="s">
        <v>1720</v>
      </c>
      <c r="D19" s="508" t="str">
        <f>VLOOKUP(C19,'Sales Master'!B$3:D$499,2,)</f>
        <v>Sweetened Creamer 练奶</v>
      </c>
      <c r="E19" s="508"/>
      <c r="F19" s="508"/>
      <c r="G19" s="90">
        <v>1</v>
      </c>
      <c r="H19" s="68" t="str">
        <f>VLOOKUP(C19,'Sales Master'!$B$3:$F$3179,5,0)</f>
        <v>380 gm x 48 can/Ctn</v>
      </c>
      <c r="I19" s="481" t="str">
        <f>VLOOKUP(C19,'Sales Master'!$B$3:$E$3179,4,0)</f>
        <v>Dawn牛</v>
      </c>
      <c r="J19" s="481"/>
      <c r="K19" s="98">
        <f>VLOOKUP(C19,'Sales Master'!$B$3:$CB$3077,79,0)</f>
        <v>44</v>
      </c>
      <c r="L19" s="99">
        <f>K19*G19</f>
        <v>44</v>
      </c>
      <c r="M19" s="78"/>
    </row>
    <row r="20" spans="2:15" ht="20.149999999999999" customHeight="1" x14ac:dyDescent="0.45">
      <c r="B20" s="70"/>
      <c r="C20" s="22" t="s">
        <v>1805</v>
      </c>
      <c r="D20" s="508" t="str">
        <f>VLOOKUP(C20,'Sales Master'!B$3:D$499,2,)</f>
        <v>Food Coloring - Liquid)颜色-水</v>
      </c>
      <c r="E20" s="508"/>
      <c r="F20" s="508"/>
      <c r="G20" s="90">
        <v>2</v>
      </c>
      <c r="H20" s="68" t="str">
        <f>VLOOKUP(C20,'Sales Master'!$B$3:$F$3179,5,0)</f>
        <v>500 ML/BTL</v>
      </c>
      <c r="I20" s="481" t="str">
        <f>VLOOKUP(C20,'Sales Master'!$B$3:$E$3179,4,0)</f>
        <v>Red/红</v>
      </c>
      <c r="J20" s="481"/>
      <c r="K20" s="98">
        <f>VLOOKUP(C20,'Sales Master'!$B$3:$CB$3077,79,0)</f>
        <v>3</v>
      </c>
      <c r="L20" s="99">
        <f>K20*G20</f>
        <v>6</v>
      </c>
      <c r="M20" s="78"/>
    </row>
    <row r="21" spans="2:15" ht="20.149999999999999" customHeight="1" x14ac:dyDescent="0.45">
      <c r="B21" s="70"/>
      <c r="C21" s="22"/>
      <c r="D21" s="508"/>
      <c r="E21" s="508"/>
      <c r="F21" s="508"/>
      <c r="G21" s="90"/>
      <c r="H21" s="68"/>
      <c r="I21" s="481"/>
      <c r="J21" s="481"/>
      <c r="K21" s="98"/>
      <c r="L21" s="99"/>
      <c r="M21" s="78"/>
    </row>
    <row r="22" spans="2:15" ht="20.149999999999999" customHeight="1" x14ac:dyDescent="0.45">
      <c r="B22" s="70"/>
      <c r="C22" s="22"/>
      <c r="D22" s="508"/>
      <c r="E22" s="508"/>
      <c r="F22" s="508"/>
      <c r="G22" s="90"/>
      <c r="H22" s="68"/>
      <c r="I22" s="481"/>
      <c r="J22" s="481"/>
      <c r="K22" s="98"/>
      <c r="L22" s="99"/>
      <c r="M22" s="78"/>
    </row>
    <row r="23" spans="2:15" ht="20.149999999999999" customHeight="1" x14ac:dyDescent="0.45">
      <c r="B23" s="70"/>
      <c r="C23" s="22"/>
      <c r="D23" s="508"/>
      <c r="E23" s="508"/>
      <c r="F23" s="508"/>
      <c r="G23" s="90"/>
      <c r="H23" s="68"/>
      <c r="I23" s="481"/>
      <c r="J23" s="481"/>
      <c r="K23" s="98"/>
      <c r="L23" s="99"/>
      <c r="M23" s="78"/>
    </row>
    <row r="24" spans="2:15" ht="20.149999999999999" customHeight="1" x14ac:dyDescent="0.45">
      <c r="B24" s="70"/>
      <c r="C24" s="22"/>
      <c r="D24" s="508"/>
      <c r="E24" s="508"/>
      <c r="F24" s="508"/>
      <c r="G24" s="90"/>
      <c r="H24" s="68"/>
      <c r="I24" s="481"/>
      <c r="J24" s="481"/>
      <c r="K24" s="98"/>
      <c r="L24" s="99"/>
      <c r="M24" s="78"/>
    </row>
    <row r="25" spans="2:15" ht="20.149999999999999" customHeight="1" x14ac:dyDescent="0.45">
      <c r="B25" s="70"/>
      <c r="C25" s="22"/>
      <c r="D25" s="508"/>
      <c r="E25" s="508"/>
      <c r="F25" s="508"/>
      <c r="G25" s="90"/>
      <c r="H25" s="68"/>
      <c r="I25" s="481"/>
      <c r="J25" s="481"/>
      <c r="K25" s="98"/>
      <c r="L25" s="99"/>
      <c r="M25" s="78"/>
    </row>
    <row r="26" spans="2:15" ht="20.149999999999999" customHeight="1" x14ac:dyDescent="0.45">
      <c r="B26" s="70"/>
      <c r="C26" s="22"/>
      <c r="D26" s="508"/>
      <c r="E26" s="508"/>
      <c r="F26" s="508"/>
      <c r="G26" s="90"/>
      <c r="H26" s="68"/>
      <c r="I26" s="481"/>
      <c r="J26" s="481"/>
      <c r="K26" s="98"/>
      <c r="L26" s="99"/>
      <c r="M26" s="78"/>
    </row>
    <row r="27" spans="2:15" ht="20.149999999999999" customHeight="1" x14ac:dyDescent="0.45">
      <c r="B27" s="70"/>
      <c r="C27" s="22"/>
      <c r="D27" s="508"/>
      <c r="E27" s="508"/>
      <c r="F27" s="508"/>
      <c r="G27" s="90"/>
      <c r="H27" s="68"/>
      <c r="I27" s="481"/>
      <c r="J27" s="481"/>
      <c r="K27" s="98"/>
      <c r="L27" s="99"/>
      <c r="M27" s="78"/>
    </row>
    <row r="28" spans="2:15" ht="20.149999999999999" customHeight="1" x14ac:dyDescent="0.45">
      <c r="B28" s="70"/>
      <c r="C28" s="22"/>
      <c r="D28" s="508"/>
      <c r="E28" s="508"/>
      <c r="F28" s="508"/>
      <c r="G28" s="90"/>
      <c r="H28" s="68"/>
      <c r="I28" s="481"/>
      <c r="J28" s="481"/>
      <c r="K28" s="98"/>
      <c r="L28" s="99"/>
      <c r="M28" s="78"/>
    </row>
    <row r="29" spans="2:15" ht="20.149999999999999" customHeight="1" x14ac:dyDescent="0.45">
      <c r="B29" s="70"/>
      <c r="C29" s="22"/>
      <c r="D29" s="508"/>
      <c r="E29" s="508"/>
      <c r="F29" s="508"/>
      <c r="G29" s="90"/>
      <c r="H29" s="68"/>
      <c r="I29" s="481"/>
      <c r="J29" s="481"/>
      <c r="K29" s="98"/>
      <c r="L29" s="99"/>
      <c r="M29" s="78"/>
    </row>
    <row r="30" spans="2:15" ht="20.149999999999999" customHeight="1" x14ac:dyDescent="0.45">
      <c r="B30" s="70"/>
      <c r="C30" s="22"/>
      <c r="D30" s="508"/>
      <c r="E30" s="508"/>
      <c r="F30" s="508"/>
      <c r="G30" s="310"/>
      <c r="H30" s="68"/>
      <c r="I30" s="481"/>
      <c r="J30" s="481"/>
      <c r="K30" s="98"/>
      <c r="L30" s="99"/>
      <c r="M30" s="78"/>
    </row>
    <row r="31" spans="2:15" ht="20.149999999999999" customHeight="1" x14ac:dyDescent="0.45">
      <c r="B31" s="70"/>
      <c r="C31" s="22"/>
      <c r="D31" s="508"/>
      <c r="E31" s="508"/>
      <c r="F31" s="508"/>
      <c r="G31" s="310"/>
      <c r="H31" s="68"/>
      <c r="I31" s="481"/>
      <c r="J31" s="481"/>
      <c r="K31" s="98"/>
      <c r="L31" s="99"/>
      <c r="M31" s="78"/>
    </row>
    <row r="32" spans="2:15" ht="20.149999999999999" customHeight="1" thickBot="1" x14ac:dyDescent="0.5">
      <c r="B32" s="52"/>
      <c r="C32" s="53"/>
      <c r="D32" s="53"/>
      <c r="E32" s="53"/>
      <c r="F32" s="53"/>
      <c r="G32" s="53"/>
      <c r="H32" s="53"/>
      <c r="I32" s="53"/>
      <c r="J32" s="53"/>
      <c r="K32" s="53"/>
      <c r="L32" s="54"/>
    </row>
    <row r="33" spans="2:13" ht="20.149999999999999" customHeight="1" x14ac:dyDescent="0.45">
      <c r="B33" s="11" t="s">
        <v>18</v>
      </c>
      <c r="C33" s="7"/>
      <c r="D33" s="7"/>
      <c r="E33" s="7"/>
      <c r="F33" s="7"/>
      <c r="G33" s="7"/>
      <c r="H33" s="7"/>
      <c r="I33" s="7"/>
      <c r="J33" s="510" t="s">
        <v>15</v>
      </c>
      <c r="K33" s="511"/>
      <c r="L33" s="43">
        <f>SUM(L17:L32)</f>
        <v>57</v>
      </c>
      <c r="M33" s="76"/>
    </row>
    <row r="34" spans="2:13" ht="20.149999999999999" customHeight="1" x14ac:dyDescent="0.45">
      <c r="B34" s="11" t="s">
        <v>19</v>
      </c>
      <c r="C34" s="7"/>
      <c r="D34" s="7"/>
      <c r="E34" s="7"/>
      <c r="F34" s="7"/>
      <c r="G34" s="7"/>
      <c r="H34" s="7"/>
      <c r="I34" s="7"/>
      <c r="J34" s="44" t="s">
        <v>22</v>
      </c>
      <c r="K34" s="45"/>
      <c r="L34" s="46">
        <f>L33*K34</f>
        <v>0</v>
      </c>
    </row>
    <row r="35" spans="2:13" ht="20.149999999999999" customHeight="1" x14ac:dyDescent="0.45">
      <c r="B35" s="11" t="s">
        <v>20</v>
      </c>
      <c r="C35" s="7"/>
      <c r="D35" s="7"/>
      <c r="E35" s="7"/>
      <c r="F35" s="7"/>
      <c r="G35" s="7"/>
      <c r="H35" s="7"/>
      <c r="I35" s="7"/>
      <c r="J35" s="486" t="s">
        <v>21</v>
      </c>
      <c r="K35" s="487"/>
      <c r="L35" s="46">
        <f>L33-L34</f>
        <v>57</v>
      </c>
    </row>
    <row r="36" spans="2:13" ht="20.149999999999999" customHeight="1" x14ac:dyDescent="0.45">
      <c r="B36" s="11" t="s">
        <v>24</v>
      </c>
      <c r="C36" s="7"/>
      <c r="D36" s="7"/>
      <c r="E36" s="7"/>
      <c r="F36" s="7"/>
      <c r="G36" s="7"/>
      <c r="H36" s="7"/>
      <c r="I36" s="7"/>
      <c r="J36" s="150" t="s">
        <v>17</v>
      </c>
      <c r="K36" s="151">
        <v>7.0000000000000007E-2</v>
      </c>
      <c r="L36" s="47">
        <f>L35*K36</f>
        <v>3.99</v>
      </c>
    </row>
    <row r="37" spans="2:13" ht="20.149999999999999" customHeight="1" thickBot="1" x14ac:dyDescent="0.5">
      <c r="B37" s="11" t="s">
        <v>25</v>
      </c>
      <c r="C37" s="7"/>
      <c r="D37" s="7"/>
      <c r="E37" s="7"/>
      <c r="F37" s="7"/>
      <c r="G37" s="7"/>
      <c r="H37" s="7"/>
      <c r="I37" s="7"/>
      <c r="J37" s="488" t="s">
        <v>23</v>
      </c>
      <c r="K37" s="489"/>
      <c r="L37" s="48">
        <f>L35+L36</f>
        <v>60.99</v>
      </c>
    </row>
    <row r="38" spans="2:13" ht="20.149999999999999" customHeight="1" x14ac:dyDescent="0.45">
      <c r="B38" s="11" t="s">
        <v>26</v>
      </c>
      <c r="C38" s="7"/>
      <c r="D38" s="7"/>
      <c r="E38" s="7"/>
      <c r="F38" s="7"/>
      <c r="G38" s="7"/>
      <c r="H38" s="7"/>
      <c r="I38" s="7"/>
      <c r="L38" s="42"/>
    </row>
    <row r="39" spans="2:13" ht="20.149999999999999" customHeight="1" x14ac:dyDescent="0.45">
      <c r="B39" s="224" t="s">
        <v>1379</v>
      </c>
      <c r="L39" s="42"/>
    </row>
    <row r="40" spans="2:13" ht="20.149999999999999" customHeight="1" x14ac:dyDescent="0.45">
      <c r="B40" s="41"/>
      <c r="L40" s="42"/>
    </row>
    <row r="41" spans="2:13" ht="20.149999999999999" customHeight="1" x14ac:dyDescent="0.45">
      <c r="B41" s="41"/>
      <c r="L41" s="42"/>
    </row>
    <row r="42" spans="2:13" ht="20.149999999999999" customHeight="1" x14ac:dyDescent="0.45">
      <c r="B42" s="41"/>
      <c r="L42" s="42"/>
    </row>
    <row r="43" spans="2:13" ht="20.149999999999999" customHeight="1" x14ac:dyDescent="0.45">
      <c r="B43" s="49"/>
      <c r="C43" s="50"/>
      <c r="D43" s="50"/>
      <c r="J43" s="50"/>
      <c r="K43" s="50"/>
      <c r="L43" s="51"/>
    </row>
    <row r="44" spans="2:13" ht="20.149999999999999" customHeight="1" x14ac:dyDescent="0.45">
      <c r="B44" s="41" t="s">
        <v>27</v>
      </c>
      <c r="J44" s="24" t="s">
        <v>28</v>
      </c>
      <c r="L44" s="42"/>
    </row>
    <row r="45" spans="2:13" ht="19" thickBot="1" x14ac:dyDescent="0.5">
      <c r="B45" s="52"/>
      <c r="C45" s="53"/>
      <c r="D45" s="53"/>
      <c r="E45" s="53"/>
      <c r="F45" s="53"/>
      <c r="G45" s="53"/>
      <c r="H45" s="53"/>
      <c r="I45" s="53"/>
      <c r="J45" s="53"/>
      <c r="K45" s="53"/>
      <c r="L45" s="54"/>
    </row>
  </sheetData>
  <mergeCells count="46">
    <mergeCell ref="J35:K35"/>
    <mergeCell ref="J37:K37"/>
    <mergeCell ref="D30:F30"/>
    <mergeCell ref="I30:J30"/>
    <mergeCell ref="D31:F31"/>
    <mergeCell ref="I31:J31"/>
    <mergeCell ref="J33:K33"/>
    <mergeCell ref="D27:F27"/>
    <mergeCell ref="I27:J27"/>
    <mergeCell ref="D28:F28"/>
    <mergeCell ref="I28:J28"/>
    <mergeCell ref="D29:F29"/>
    <mergeCell ref="I29:J29"/>
    <mergeCell ref="D24:F24"/>
    <mergeCell ref="I24:J24"/>
    <mergeCell ref="D25:F25"/>
    <mergeCell ref="I25:J25"/>
    <mergeCell ref="D26:F26"/>
    <mergeCell ref="I26:J26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3" orientation="portrait" verticalDpi="300" r:id="rId1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B5485-8895-4FE9-948C-79387CEC5E75}">
  <sheetPr codeName="Sheet64">
    <tabColor rgb="FFFFFF00"/>
    <pageSetUpPr fitToPage="1"/>
  </sheetPr>
  <dimension ref="B1:V51"/>
  <sheetViews>
    <sheetView workbookViewId="0">
      <selection activeCell="B1" sqref="B1:L51"/>
    </sheetView>
  </sheetViews>
  <sheetFormatPr defaultColWidth="12.54296875" defaultRowHeight="18.5" x14ac:dyDescent="0.45"/>
  <cols>
    <col min="1" max="1" width="12.54296875" style="24"/>
    <col min="2" max="3" width="12.54296875" style="24" customWidth="1"/>
    <col min="4" max="4" width="14.54296875" style="24" customWidth="1"/>
    <col min="5" max="5" width="1.54296875" style="24" customWidth="1"/>
    <col min="6" max="6" width="17.1796875" style="24" customWidth="1"/>
    <col min="7" max="7" width="8.54296875" style="24" customWidth="1"/>
    <col min="8" max="8" width="15.54296875" style="24" customWidth="1"/>
    <col min="9" max="9" width="2.1796875" style="81" customWidth="1"/>
    <col min="10" max="10" width="15.54296875" style="81" customWidth="1"/>
    <col min="11" max="11" width="10.54296875" style="24" customWidth="1"/>
    <col min="12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969</v>
      </c>
      <c r="J10" s="82" t="s">
        <v>29</v>
      </c>
      <c r="K10" s="452">
        <v>202108341</v>
      </c>
      <c r="L10" s="453"/>
    </row>
    <row r="11" spans="2:12" ht="20.149999999999999" customHeight="1" x14ac:dyDescent="0.45">
      <c r="B11" s="454" t="s">
        <v>971</v>
      </c>
      <c r="C11" s="455"/>
      <c r="D11" s="456"/>
      <c r="E11" s="30"/>
      <c r="F11" s="457" t="str">
        <f>VLOOKUP(H10,'Delivery Location'!A$4:N$416,2,0)</f>
        <v>BB Tea House                                          Block 640, Yishun #01-200 Singapore</v>
      </c>
      <c r="G11" s="458"/>
      <c r="H11" s="459"/>
      <c r="J11" s="83" t="s">
        <v>11</v>
      </c>
      <c r="K11" s="551">
        <v>44432</v>
      </c>
      <c r="L11" s="472"/>
    </row>
    <row r="12" spans="2:12" ht="20.149999999999999" customHeight="1" x14ac:dyDescent="0.45">
      <c r="B12" s="468" t="s">
        <v>972</v>
      </c>
      <c r="C12" s="469"/>
      <c r="D12" s="470"/>
      <c r="E12" s="30"/>
      <c r="F12" s="460"/>
      <c r="G12" s="461"/>
      <c r="H12" s="462"/>
      <c r="J12" s="83" t="s">
        <v>171</v>
      </c>
      <c r="K12" s="471" t="s">
        <v>533</v>
      </c>
      <c r="L12" s="472"/>
    </row>
    <row r="13" spans="2:12" ht="20.149999999999999" customHeight="1" x14ac:dyDescent="0.45">
      <c r="B13" s="468"/>
      <c r="C13" s="469"/>
      <c r="D13" s="470"/>
      <c r="E13" s="30"/>
      <c r="F13" s="460"/>
      <c r="G13" s="461"/>
      <c r="H13" s="462"/>
      <c r="J13" s="83" t="s">
        <v>12</v>
      </c>
      <c r="K13" s="471" t="s">
        <v>14</v>
      </c>
      <c r="L13" s="472"/>
    </row>
    <row r="14" spans="2:12" ht="20.149999999999999" customHeight="1" x14ac:dyDescent="0.45">
      <c r="B14" s="468"/>
      <c r="C14" s="469"/>
      <c r="D14" s="470"/>
      <c r="E14" s="30"/>
      <c r="F14" s="460"/>
      <c r="G14" s="461"/>
      <c r="H14" s="462"/>
      <c r="J14" s="83" t="s">
        <v>30</v>
      </c>
      <c r="K14" s="471" t="s">
        <v>16</v>
      </c>
      <c r="L14" s="472"/>
    </row>
    <row r="15" spans="2:12" ht="18" customHeight="1" thickBot="1" x14ac:dyDescent="0.5">
      <c r="B15" s="55"/>
      <c r="C15" s="56"/>
      <c r="D15" s="57"/>
      <c r="E15" s="26"/>
      <c r="F15" s="463"/>
      <c r="G15" s="464"/>
      <c r="H15" s="465"/>
      <c r="J15" s="84" t="s">
        <v>13</v>
      </c>
      <c r="K15" s="476"/>
      <c r="L15" s="477"/>
    </row>
    <row r="16" spans="2:12" ht="19" thickBot="1" x14ac:dyDescent="0.5">
      <c r="J16" s="85"/>
    </row>
    <row r="17" spans="2:22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3"/>
      <c r="O17" s="33"/>
    </row>
    <row r="18" spans="2:22" ht="20.149999999999999" customHeight="1" x14ac:dyDescent="0.45">
      <c r="B18" s="34"/>
      <c r="C18" s="90" t="s">
        <v>1446</v>
      </c>
      <c r="D18" s="505" t="str">
        <f>VLOOKUP(C18,'Sales Master'!B$3:D$499,2,)</f>
        <v>Fresh Soursop 红毛榴莲(无)</v>
      </c>
      <c r="E18" s="505"/>
      <c r="F18" s="505"/>
      <c r="G18" s="90">
        <v>3</v>
      </c>
      <c r="H18" s="97" t="str">
        <f>VLOOKUP(C18,'Sales Master'!$B$3:$F$755,5,0)</f>
        <v>BOX/盒</v>
      </c>
      <c r="I18" s="506" t="str">
        <f>VLOOKUP(C18,'Sales Master'!$B$3:$E$755,4,0)</f>
        <v>DO!</v>
      </c>
      <c r="J18" s="506"/>
      <c r="K18" s="98">
        <f>VLOOKUP(C18,'Sales Master'!$B$3:$BT$3171,71,0)</f>
        <v>7</v>
      </c>
      <c r="L18" s="99">
        <f>K18*G18</f>
        <v>21</v>
      </c>
      <c r="M18" s="78"/>
      <c r="N18" s="125" t="s">
        <v>444</v>
      </c>
      <c r="O18" s="24" t="s">
        <v>676</v>
      </c>
      <c r="R18" s="24">
        <v>1</v>
      </c>
      <c r="S18" s="24" t="s">
        <v>684</v>
      </c>
      <c r="T18" s="24" t="s">
        <v>677</v>
      </c>
      <c r="V18" s="24">
        <v>52.8</v>
      </c>
    </row>
    <row r="19" spans="2:22" ht="20.149999999999999" customHeight="1" x14ac:dyDescent="0.45">
      <c r="B19" s="34"/>
      <c r="C19" s="90" t="s">
        <v>1447</v>
      </c>
      <c r="D19" s="505" t="str">
        <f>VLOOKUP(C19,'Sales Master'!B$3:D$499,2,)</f>
        <v>Durian Puree 榴莲</v>
      </c>
      <c r="E19" s="505"/>
      <c r="F19" s="505"/>
      <c r="G19" s="90">
        <v>2</v>
      </c>
      <c r="H19" s="97" t="str">
        <f>VLOOKUP(C19,'Sales Master'!$B$3:$F$755,5,0)</f>
        <v>BOX/盒</v>
      </c>
      <c r="I19" s="506" t="str">
        <f>VLOOKUP(C19,'Sales Master'!$B$3:$E$755,4,0)</f>
        <v>DO!</v>
      </c>
      <c r="J19" s="506"/>
      <c r="K19" s="98">
        <f>VLOOKUP(C19,'Sales Master'!$B$3:$BT$3171,71,0)</f>
        <v>7</v>
      </c>
      <c r="L19" s="99">
        <f>K19*G19</f>
        <v>14</v>
      </c>
    </row>
    <row r="20" spans="2:22" ht="20.149999999999999" customHeight="1" x14ac:dyDescent="0.45">
      <c r="B20" s="34"/>
      <c r="C20" s="90" t="s">
        <v>1716</v>
      </c>
      <c r="D20" s="505" t="str">
        <f>VLOOKUP(C20,'Sales Master'!B$3:D$499,2,)</f>
        <v>Carnation Milk三花淡奶水</v>
      </c>
      <c r="E20" s="505"/>
      <c r="F20" s="505"/>
      <c r="G20" s="90">
        <v>24</v>
      </c>
      <c r="H20" s="97" t="str">
        <f>VLOOKUP(C20,'Sales Master'!$B$3:$F$755,5,0)</f>
        <v>405gm/can/罐</v>
      </c>
      <c r="I20" s="506" t="str">
        <f>VLOOKUP(C20,'Sales Master'!$B$3:$E$755,4,0)</f>
        <v>Threeflower</v>
      </c>
      <c r="J20" s="506"/>
      <c r="K20" s="98">
        <f>VLOOKUP(C20,'Sales Master'!$B$3:$BT$3171,71,0)</f>
        <v>1.1499999999999999</v>
      </c>
      <c r="L20" s="99">
        <f>K20*G20</f>
        <v>27.599999999999998</v>
      </c>
      <c r="M20" s="78"/>
    </row>
    <row r="21" spans="2:22" ht="20.149999999999999" customHeight="1" x14ac:dyDescent="0.45">
      <c r="B21" s="34"/>
      <c r="C21" s="90" t="s">
        <v>1771</v>
      </c>
      <c r="D21" s="505" t="str">
        <f>VLOOKUP(C21,'Sales Master'!B$3:D$499,2,)</f>
        <v>Fine Sugar 白糖</v>
      </c>
      <c r="E21" s="505"/>
      <c r="F21" s="505"/>
      <c r="G21" s="90">
        <v>1</v>
      </c>
      <c r="H21" s="97" t="str">
        <f>VLOOKUP(C21,'Sales Master'!$B$3:$F$755,5,0)</f>
        <v>25 KGS</v>
      </c>
      <c r="I21" s="506" t="str">
        <f>VLOOKUP(C21,'Sales Master'!$B$3:$E$755,4,0)</f>
        <v>MITRPHOL</v>
      </c>
      <c r="J21" s="506"/>
      <c r="K21" s="98">
        <f>VLOOKUP(C21,'Sales Master'!$B$3:$BT$3171,71,0)</f>
        <v>24.5</v>
      </c>
      <c r="L21" s="99">
        <f>K21*G21</f>
        <v>24.5</v>
      </c>
      <c r="M21" s="78"/>
    </row>
    <row r="22" spans="2:22" ht="20.149999999999999" customHeight="1" x14ac:dyDescent="0.45">
      <c r="B22" s="80"/>
      <c r="C22" s="90" t="s">
        <v>1946</v>
      </c>
      <c r="D22" s="505" t="str">
        <f>VLOOKUP(C22,'Sales Master'!B$3:D$499,2,)</f>
        <v>WHEAT FLOUR</v>
      </c>
      <c r="E22" s="505"/>
      <c r="F22" s="505"/>
      <c r="G22" s="90">
        <v>1</v>
      </c>
      <c r="H22" s="97" t="str">
        <f>VLOOKUP(C22,'Sales Master'!$B$3:$F$755,5,0)</f>
        <v>25 KGS</v>
      </c>
      <c r="I22" s="506" t="str">
        <f>VLOOKUP(C22,'Sales Master'!$B$3:$E$755,4,0)</f>
        <v>FISH BRAND</v>
      </c>
      <c r="J22" s="506"/>
      <c r="K22" s="98">
        <f>VLOOKUP(C22,'Sales Master'!$B$3:$BT$3171,71,0)</f>
        <v>36</v>
      </c>
      <c r="L22" s="99">
        <f>K22*G22</f>
        <v>36</v>
      </c>
      <c r="M22" s="78"/>
    </row>
    <row r="23" spans="2:22" ht="20.149999999999999" customHeight="1" x14ac:dyDescent="0.45">
      <c r="B23" s="34"/>
      <c r="C23" s="90"/>
      <c r="D23" s="505"/>
      <c r="E23" s="505"/>
      <c r="F23" s="505"/>
      <c r="G23" s="90"/>
      <c r="H23" s="97"/>
      <c r="I23" s="506"/>
      <c r="J23" s="506"/>
      <c r="K23" s="98"/>
      <c r="L23" s="321"/>
      <c r="M23" s="78"/>
    </row>
    <row r="24" spans="2:22" ht="20.149999999999999" customHeight="1" x14ac:dyDescent="0.45">
      <c r="B24" s="34"/>
      <c r="C24" s="90"/>
      <c r="D24" s="505"/>
      <c r="E24" s="505"/>
      <c r="F24" s="505"/>
      <c r="G24" s="90"/>
      <c r="H24" s="97"/>
      <c r="I24" s="506"/>
      <c r="J24" s="506"/>
      <c r="K24" s="98"/>
      <c r="L24" s="321"/>
      <c r="M24" s="78"/>
    </row>
    <row r="25" spans="2:22" ht="20.149999999999999" customHeight="1" x14ac:dyDescent="0.45">
      <c r="B25" s="34"/>
      <c r="C25" s="22"/>
      <c r="D25" s="508"/>
      <c r="E25" s="508"/>
      <c r="F25" s="508"/>
      <c r="G25" s="22"/>
      <c r="H25" s="68"/>
      <c r="I25" s="481"/>
      <c r="J25" s="481"/>
      <c r="K25" s="35"/>
      <c r="L25" s="123"/>
      <c r="M25" s="78"/>
    </row>
    <row r="26" spans="2:22" ht="20.149999999999999" customHeight="1" x14ac:dyDescent="0.45">
      <c r="B26" s="34"/>
      <c r="C26" s="22"/>
      <c r="D26" s="508"/>
      <c r="E26" s="508"/>
      <c r="F26" s="508"/>
      <c r="G26" s="22"/>
      <c r="H26" s="68"/>
      <c r="I26" s="481"/>
      <c r="J26" s="481"/>
      <c r="K26" s="35"/>
      <c r="L26" s="123"/>
      <c r="M26" s="78"/>
    </row>
    <row r="27" spans="2:22" ht="20.149999999999999" customHeight="1" x14ac:dyDescent="0.45">
      <c r="B27" s="34"/>
      <c r="C27" s="22"/>
      <c r="D27" s="508"/>
      <c r="E27" s="508"/>
      <c r="F27" s="508"/>
      <c r="G27" s="22"/>
      <c r="H27" s="68"/>
      <c r="I27" s="481"/>
      <c r="J27" s="481"/>
      <c r="K27" s="35"/>
      <c r="L27" s="123"/>
      <c r="M27" s="78"/>
    </row>
    <row r="28" spans="2:22" ht="20.149999999999999" customHeight="1" x14ac:dyDescent="0.45">
      <c r="B28" s="34"/>
      <c r="C28" s="22"/>
      <c r="D28" s="508"/>
      <c r="E28" s="508"/>
      <c r="F28" s="508"/>
      <c r="G28" s="22"/>
      <c r="H28" s="68"/>
      <c r="I28" s="481"/>
      <c r="J28" s="481"/>
      <c r="K28" s="35"/>
      <c r="L28" s="123"/>
      <c r="M28" s="78"/>
    </row>
    <row r="29" spans="2:22" ht="20.149999999999999" customHeight="1" x14ac:dyDescent="0.45">
      <c r="B29" s="34"/>
      <c r="C29" s="22"/>
      <c r="D29" s="508"/>
      <c r="E29" s="508"/>
      <c r="F29" s="508"/>
      <c r="G29" s="22"/>
      <c r="H29" s="68"/>
      <c r="I29" s="481"/>
      <c r="J29" s="481"/>
      <c r="K29" s="35"/>
      <c r="L29" s="123"/>
      <c r="M29" s="78"/>
    </row>
    <row r="30" spans="2:22" ht="20.149999999999999" customHeight="1" x14ac:dyDescent="0.45">
      <c r="B30" s="34"/>
      <c r="C30" s="22"/>
      <c r="D30" s="508"/>
      <c r="E30" s="508"/>
      <c r="F30" s="508"/>
      <c r="G30" s="22"/>
      <c r="H30" s="68"/>
      <c r="I30" s="481"/>
      <c r="J30" s="481"/>
      <c r="K30" s="35"/>
      <c r="L30" s="123"/>
    </row>
    <row r="31" spans="2:22" ht="20.149999999999999" customHeight="1" x14ac:dyDescent="0.45">
      <c r="B31" s="34"/>
      <c r="C31" s="22"/>
      <c r="D31" s="508"/>
      <c r="E31" s="508"/>
      <c r="F31" s="508"/>
      <c r="G31" s="22"/>
      <c r="H31" s="68"/>
      <c r="I31" s="481"/>
      <c r="J31" s="481"/>
      <c r="K31" s="35"/>
      <c r="L31" s="123"/>
      <c r="M31" s="78"/>
    </row>
    <row r="32" spans="2:22" ht="20.149999999999999" customHeight="1" x14ac:dyDescent="0.45">
      <c r="B32" s="34"/>
      <c r="C32" s="22"/>
      <c r="D32" s="508"/>
      <c r="E32" s="508"/>
      <c r="F32" s="508"/>
      <c r="G32" s="22"/>
      <c r="H32" s="68"/>
      <c r="I32" s="481"/>
      <c r="J32" s="481"/>
      <c r="K32" s="35"/>
      <c r="L32" s="123"/>
      <c r="M32" s="78"/>
    </row>
    <row r="33" spans="2:13" ht="20.149999999999999" customHeight="1" x14ac:dyDescent="0.45">
      <c r="B33" s="34"/>
      <c r="C33" s="22"/>
      <c r="D33" s="508"/>
      <c r="E33" s="508"/>
      <c r="F33" s="508"/>
      <c r="G33" s="22"/>
      <c r="H33" s="68"/>
      <c r="I33" s="481"/>
      <c r="J33" s="481"/>
      <c r="K33" s="35"/>
      <c r="L33" s="123"/>
    </row>
    <row r="34" spans="2:13" ht="20.149999999999999" customHeight="1" x14ac:dyDescent="0.45">
      <c r="B34" s="34"/>
      <c r="C34" s="22"/>
      <c r="D34" s="508"/>
      <c r="E34" s="508"/>
      <c r="F34" s="508"/>
      <c r="G34" s="22"/>
      <c r="H34" s="68"/>
      <c r="I34" s="481"/>
      <c r="J34" s="481"/>
      <c r="K34" s="35"/>
      <c r="L34" s="123"/>
    </row>
    <row r="35" spans="2:13" ht="20.149999999999999" customHeight="1" x14ac:dyDescent="0.45">
      <c r="B35" s="34"/>
      <c r="C35" s="22"/>
      <c r="D35" s="508"/>
      <c r="E35" s="508"/>
      <c r="F35" s="508"/>
      <c r="G35" s="22"/>
      <c r="H35" s="68"/>
      <c r="I35" s="481"/>
      <c r="J35" s="481"/>
      <c r="K35" s="35"/>
      <c r="L35" s="123"/>
    </row>
    <row r="36" spans="2:13" ht="20.149999999999999" customHeight="1" x14ac:dyDescent="0.45">
      <c r="B36" s="34"/>
      <c r="C36" s="22"/>
      <c r="D36" s="508"/>
      <c r="E36" s="508"/>
      <c r="F36" s="508"/>
      <c r="G36" s="22"/>
      <c r="H36" s="68"/>
      <c r="I36" s="481"/>
      <c r="J36" s="481"/>
      <c r="K36" s="35"/>
      <c r="L36" s="123"/>
    </row>
    <row r="37" spans="2:13" ht="20.149999999999999" customHeight="1" thickBot="1" x14ac:dyDescent="0.5">
      <c r="B37" s="37"/>
      <c r="C37" s="38"/>
      <c r="D37" s="509"/>
      <c r="E37" s="509"/>
      <c r="F37" s="509"/>
      <c r="G37" s="38"/>
      <c r="H37" s="69"/>
      <c r="I37" s="557"/>
      <c r="J37" s="557"/>
      <c r="K37" s="39"/>
      <c r="L37" s="89"/>
    </row>
    <row r="38" spans="2:13" ht="20.149999999999999" customHeight="1" thickBot="1" x14ac:dyDescent="0.5">
      <c r="B38" s="41"/>
      <c r="L38" s="42"/>
    </row>
    <row r="39" spans="2:13" ht="20.149999999999999" customHeight="1" x14ac:dyDescent="0.45">
      <c r="B39" s="11" t="s">
        <v>18</v>
      </c>
      <c r="C39" s="7"/>
      <c r="D39" s="7"/>
      <c r="E39" s="7"/>
      <c r="F39" s="7"/>
      <c r="G39" s="7"/>
      <c r="H39" s="7"/>
      <c r="I39" s="86"/>
      <c r="J39" s="510" t="s">
        <v>15</v>
      </c>
      <c r="K39" s="511"/>
      <c r="L39" s="43">
        <f>SUM(L17:L36)</f>
        <v>123.1</v>
      </c>
      <c r="M39" s="76">
        <f>166+26</f>
        <v>192</v>
      </c>
    </row>
    <row r="40" spans="2:13" ht="20.149999999999999" customHeight="1" x14ac:dyDescent="0.45">
      <c r="B40" s="11" t="s">
        <v>19</v>
      </c>
      <c r="C40" s="7"/>
      <c r="D40" s="7"/>
      <c r="E40" s="7"/>
      <c r="F40" s="7"/>
      <c r="G40" s="7"/>
      <c r="H40" s="7"/>
      <c r="I40" s="86"/>
      <c r="J40" s="44" t="s">
        <v>22</v>
      </c>
      <c r="K40" s="45"/>
      <c r="L40" s="46">
        <f>L39*K40</f>
        <v>0</v>
      </c>
    </row>
    <row r="41" spans="2:13" ht="20.149999999999999" customHeight="1" x14ac:dyDescent="0.45">
      <c r="B41" s="11" t="s">
        <v>20</v>
      </c>
      <c r="C41" s="7"/>
      <c r="D41" s="7"/>
      <c r="E41" s="7"/>
      <c r="F41" s="7"/>
      <c r="G41" s="7"/>
      <c r="H41" s="7"/>
      <c r="I41" s="86"/>
      <c r="J41" s="486" t="s">
        <v>21</v>
      </c>
      <c r="K41" s="487"/>
      <c r="L41" s="46">
        <f>L39-L40</f>
        <v>123.1</v>
      </c>
    </row>
    <row r="42" spans="2:13" ht="20.149999999999999" customHeight="1" x14ac:dyDescent="0.45">
      <c r="B42" s="11" t="s">
        <v>24</v>
      </c>
      <c r="C42" s="7"/>
      <c r="D42" s="7"/>
      <c r="E42" s="7"/>
      <c r="F42" s="7"/>
      <c r="G42" s="7"/>
      <c r="H42" s="7"/>
      <c r="I42" s="86"/>
      <c r="J42" s="150" t="s">
        <v>17</v>
      </c>
      <c r="K42" s="151">
        <v>7.0000000000000007E-2</v>
      </c>
      <c r="L42" s="47">
        <f>L41*K42</f>
        <v>8.6170000000000009</v>
      </c>
    </row>
    <row r="43" spans="2:13" ht="20.149999999999999" customHeight="1" thickBot="1" x14ac:dyDescent="0.5">
      <c r="B43" s="11" t="s">
        <v>1400</v>
      </c>
      <c r="C43" s="7"/>
      <c r="D43" s="7"/>
      <c r="E43" s="7"/>
      <c r="F43" s="7"/>
      <c r="G43" s="7"/>
      <c r="H43" s="7"/>
      <c r="I43" s="86"/>
      <c r="J43" s="488" t="s">
        <v>23</v>
      </c>
      <c r="K43" s="489"/>
      <c r="L43" s="48">
        <f>L41+L42</f>
        <v>131.71699999999998</v>
      </c>
    </row>
    <row r="44" spans="2:13" ht="20.149999999999999" customHeight="1" x14ac:dyDescent="0.45">
      <c r="B44" s="11" t="s">
        <v>26</v>
      </c>
      <c r="C44" s="7"/>
      <c r="D44" s="7"/>
      <c r="E44" s="7"/>
      <c r="F44" s="7"/>
      <c r="G44" s="7"/>
      <c r="H44" s="7"/>
      <c r="I44" s="86"/>
      <c r="L44" s="42"/>
    </row>
    <row r="45" spans="2:13" ht="20.149999999999999" customHeight="1" x14ac:dyDescent="0.45">
      <c r="B45" s="224" t="s">
        <v>1379</v>
      </c>
      <c r="L45" s="42"/>
    </row>
    <row r="46" spans="2:13" ht="20.149999999999999" customHeight="1" x14ac:dyDescent="0.45">
      <c r="B46" s="41"/>
      <c r="L46" s="42"/>
    </row>
    <row r="47" spans="2:13" ht="20.149999999999999" customHeight="1" x14ac:dyDescent="0.45">
      <c r="B47" s="41"/>
      <c r="L47" s="42"/>
    </row>
    <row r="48" spans="2:13" ht="20.149999999999999" customHeight="1" x14ac:dyDescent="0.45">
      <c r="B48" s="41"/>
      <c r="L48" s="42"/>
    </row>
    <row r="49" spans="2:12" ht="20.149999999999999" customHeight="1" x14ac:dyDescent="0.45">
      <c r="B49" s="49"/>
      <c r="C49" s="50"/>
      <c r="D49" s="50"/>
      <c r="J49" s="87"/>
      <c r="K49" s="50"/>
      <c r="L49" s="51"/>
    </row>
    <row r="50" spans="2:12" x14ac:dyDescent="0.45">
      <c r="B50" s="41" t="s">
        <v>27</v>
      </c>
      <c r="J50" s="81" t="s">
        <v>28</v>
      </c>
      <c r="L50" s="42"/>
    </row>
    <row r="51" spans="2:12" ht="19" thickBot="1" x14ac:dyDescent="0.5">
      <c r="B51" s="52"/>
      <c r="C51" s="53"/>
      <c r="D51" s="53"/>
      <c r="E51" s="53"/>
      <c r="F51" s="53"/>
      <c r="G51" s="53"/>
      <c r="H51" s="53"/>
      <c r="I51" s="88"/>
      <c r="J51" s="88"/>
      <c r="K51" s="53"/>
      <c r="L51" s="54"/>
    </row>
  </sheetData>
  <mergeCells count="57">
    <mergeCell ref="B1:L8"/>
    <mergeCell ref="J41:K41"/>
    <mergeCell ref="J43:K43"/>
    <mergeCell ref="D36:F36"/>
    <mergeCell ref="I36:J36"/>
    <mergeCell ref="D37:F37"/>
    <mergeCell ref="I37:J37"/>
    <mergeCell ref="J39:K39"/>
    <mergeCell ref="D35:F35"/>
    <mergeCell ref="I35:J35"/>
    <mergeCell ref="D34:F34"/>
    <mergeCell ref="I34:J34"/>
    <mergeCell ref="D31:F31"/>
    <mergeCell ref="I31:J31"/>
    <mergeCell ref="D32:F32"/>
    <mergeCell ref="I32:J32"/>
    <mergeCell ref="D33:F33"/>
    <mergeCell ref="I33:J33"/>
    <mergeCell ref="D28:F28"/>
    <mergeCell ref="I28:J28"/>
    <mergeCell ref="D29:F29"/>
    <mergeCell ref="I29:J29"/>
    <mergeCell ref="D30:F30"/>
    <mergeCell ref="I30:J30"/>
    <mergeCell ref="D25:F25"/>
    <mergeCell ref="I25:J25"/>
    <mergeCell ref="D26:F26"/>
    <mergeCell ref="I26:J26"/>
    <mergeCell ref="D27:F27"/>
    <mergeCell ref="I27:J27"/>
    <mergeCell ref="D22:F22"/>
    <mergeCell ref="I22:J22"/>
    <mergeCell ref="D23:F23"/>
    <mergeCell ref="I23:J23"/>
    <mergeCell ref="D24:F24"/>
    <mergeCell ref="I24:J24"/>
    <mergeCell ref="D20:F20"/>
    <mergeCell ref="I20:J20"/>
    <mergeCell ref="D21:F21"/>
    <mergeCell ref="I21:J21"/>
    <mergeCell ref="D19:F19"/>
    <mergeCell ref="I19:J19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18:J18"/>
  </mergeCells>
  <pageMargins left="0.70866141732283472" right="0.31496062992125984" top="0.59055118110236227" bottom="0" header="0.31496062992125984" footer="0.31496062992125984"/>
  <pageSetup paperSize="9" scale="74" orientation="portrait" verticalDpi="300" r:id="rId1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E2B3BE-5A3D-48E2-A038-116A1C4F974B}">
  <sheetPr codeName="Sheet65">
    <tabColor rgb="FFFFFF00"/>
    <pageSetUpPr fitToPage="1"/>
  </sheetPr>
  <dimension ref="B1:P42"/>
  <sheetViews>
    <sheetView workbookViewId="0">
      <selection activeCell="M5" sqref="M5"/>
    </sheetView>
  </sheetViews>
  <sheetFormatPr defaultColWidth="12.54296875" defaultRowHeight="18.5" x14ac:dyDescent="0.45"/>
  <cols>
    <col min="1" max="1" width="12.54296875" style="24"/>
    <col min="2" max="2" width="15.54296875" style="24" customWidth="1"/>
    <col min="3" max="4" width="12.54296875" style="24" customWidth="1"/>
    <col min="5" max="5" width="1.54296875" style="24" customWidth="1"/>
    <col min="6" max="6" width="16.54296875" style="24" customWidth="1"/>
    <col min="7" max="7" width="8.54296875" style="24" customWidth="1"/>
    <col min="8" max="8" width="12.54296875" style="24" customWidth="1"/>
    <col min="9" max="9" width="2.54296875" style="24" customWidth="1"/>
    <col min="10" max="10" width="15.54296875" style="24" customWidth="1"/>
    <col min="11" max="12" width="12.54296875" style="24" customWidth="1"/>
    <col min="13" max="14" width="12.54296875" style="24"/>
    <col min="15" max="15" width="12.81640625" style="24" bestFit="1" customWidth="1"/>
    <col min="16" max="16384" width="12.54296875" style="24"/>
  </cols>
  <sheetData>
    <row r="1" spans="2:15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5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5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5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5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5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5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5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5" ht="19" thickBot="1" x14ac:dyDescent="0.5">
      <c r="B9" s="191"/>
      <c r="C9" s="191"/>
      <c r="D9" s="191"/>
      <c r="E9" s="191"/>
      <c r="F9" s="191"/>
      <c r="G9" s="191"/>
      <c r="H9" s="191"/>
      <c r="I9" s="191"/>
      <c r="J9" s="191"/>
      <c r="K9" s="191"/>
      <c r="L9" s="191"/>
    </row>
    <row r="10" spans="2:15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1430</v>
      </c>
      <c r="J10" s="29" t="s">
        <v>29</v>
      </c>
      <c r="K10" s="452">
        <v>202103563</v>
      </c>
      <c r="L10" s="453"/>
      <c r="N10" s="24" t="s">
        <v>465</v>
      </c>
    </row>
    <row r="11" spans="2:15" ht="20.149999999999999" customHeight="1" x14ac:dyDescent="0.45">
      <c r="B11" s="454" t="s">
        <v>1433</v>
      </c>
      <c r="C11" s="455"/>
      <c r="D11" s="456"/>
      <c r="E11" s="30"/>
      <c r="F11" s="457" t="str">
        <f>VLOOKUP(H10,'Delivery Location'!A$4:N$416,2,0)</f>
        <v>YAMMIE TAIWAN SNACK                                11, CANBERRA ROAD #01-05 SEMBAWANG MRT STATION S (759775)</v>
      </c>
      <c r="G11" s="458"/>
      <c r="H11" s="459"/>
      <c r="J11" s="31" t="s">
        <v>11</v>
      </c>
      <c r="K11" s="551">
        <v>44286</v>
      </c>
      <c r="L11" s="472"/>
      <c r="N11" s="24" t="s">
        <v>466</v>
      </c>
    </row>
    <row r="12" spans="2:15" ht="20.149999999999999" customHeight="1" x14ac:dyDescent="0.45">
      <c r="B12" s="468" t="s">
        <v>1434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36</v>
      </c>
      <c r="L12" s="472"/>
      <c r="N12" s="24" t="s">
        <v>468</v>
      </c>
    </row>
    <row r="13" spans="2:15" ht="20.149999999999999" customHeight="1" x14ac:dyDescent="0.45">
      <c r="B13" s="468" t="s">
        <v>1435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14</v>
      </c>
      <c r="L13" s="472"/>
      <c r="N13" s="24" t="s">
        <v>746</v>
      </c>
    </row>
    <row r="14" spans="2:15" ht="20.149999999999999" customHeight="1" x14ac:dyDescent="0.45">
      <c r="B14" s="468"/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  <c r="N14" s="24" t="s">
        <v>479</v>
      </c>
    </row>
    <row r="15" spans="2:15" ht="18" customHeight="1" thickBot="1" x14ac:dyDescent="0.5">
      <c r="B15" s="55"/>
      <c r="C15" s="56"/>
      <c r="D15" s="57"/>
      <c r="E15" s="26"/>
      <c r="F15" s="463"/>
      <c r="G15" s="464"/>
      <c r="H15" s="465"/>
      <c r="J15" s="32" t="s">
        <v>1405</v>
      </c>
      <c r="K15" s="476"/>
      <c r="L15" s="477"/>
    </row>
    <row r="16" spans="2:15" ht="19" thickBot="1" x14ac:dyDescent="0.5">
      <c r="J16" s="22"/>
      <c r="O16" s="230"/>
    </row>
    <row r="17" spans="2:16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8" t="s">
        <v>622</v>
      </c>
      <c r="I17" s="478" t="s">
        <v>621</v>
      </c>
      <c r="J17" s="479"/>
      <c r="K17" s="9" t="s">
        <v>6</v>
      </c>
      <c r="L17" s="10" t="s">
        <v>7</v>
      </c>
      <c r="M17" s="33"/>
      <c r="N17" s="33"/>
      <c r="O17" s="195"/>
      <c r="P17" s="33"/>
    </row>
    <row r="18" spans="2:16" ht="20.149999999999999" customHeight="1" x14ac:dyDescent="0.45">
      <c r="B18" s="34"/>
      <c r="C18" s="22" t="s">
        <v>1789</v>
      </c>
      <c r="D18" s="508" t="str">
        <f>VLOOKUP(C18,'Sales Master'!B$3:D$499,2,)</f>
        <v>Sweet Potato 番薯</v>
      </c>
      <c r="E18" s="508"/>
      <c r="F18" s="508"/>
      <c r="G18" s="22">
        <v>20</v>
      </c>
      <c r="H18" s="68" t="str">
        <f>VLOOKUP(C18,'Sales Master'!$B$3:$E$590,4,0)</f>
        <v>Malaysia</v>
      </c>
      <c r="I18" s="481" t="str">
        <f>VLOOKUP(C18,'Sales Master'!$B$3:F$590,5,0)</f>
        <v>1 KG</v>
      </c>
      <c r="J18" s="481"/>
      <c r="K18" s="94">
        <f>VLOOKUP(C18,'Sales Master'!$B$3:$BW$3161,74)</f>
        <v>2.5</v>
      </c>
      <c r="L18" s="77">
        <f>K18*G18</f>
        <v>50</v>
      </c>
      <c r="M18" s="159">
        <v>69</v>
      </c>
      <c r="N18" s="159">
        <f>(K18-M18)*G18</f>
        <v>-1330</v>
      </c>
    </row>
    <row r="19" spans="2:16" ht="20.149999999999999" customHeight="1" x14ac:dyDescent="0.45">
      <c r="B19" s="34"/>
      <c r="C19" s="22"/>
      <c r="D19" s="508"/>
      <c r="E19" s="508"/>
      <c r="F19" s="508"/>
      <c r="G19" s="22"/>
      <c r="H19" s="68"/>
      <c r="I19" s="481"/>
      <c r="J19" s="481"/>
      <c r="K19" s="94"/>
      <c r="L19" s="77"/>
      <c r="M19" s="159">
        <v>62</v>
      </c>
      <c r="N19" s="159">
        <f>(K19-M19)*G19</f>
        <v>0</v>
      </c>
    </row>
    <row r="20" spans="2:16" ht="20.149999999999999" customHeight="1" x14ac:dyDescent="0.45">
      <c r="B20" s="34"/>
      <c r="C20" s="22"/>
      <c r="D20" s="508"/>
      <c r="E20" s="508"/>
      <c r="F20" s="508"/>
      <c r="G20" s="22"/>
      <c r="H20" s="68"/>
      <c r="I20" s="481"/>
      <c r="J20" s="481"/>
      <c r="K20" s="94"/>
      <c r="L20" s="77"/>
      <c r="M20" s="225">
        <v>37</v>
      </c>
      <c r="N20" s="159">
        <f>(K20-M20)*G20</f>
        <v>0</v>
      </c>
    </row>
    <row r="21" spans="2:16" ht="20.149999999999999" customHeight="1" x14ac:dyDescent="0.45">
      <c r="B21" s="34"/>
      <c r="C21" s="22"/>
      <c r="D21" s="508"/>
      <c r="E21" s="508"/>
      <c r="F21" s="508"/>
      <c r="G21" s="22"/>
      <c r="H21" s="68"/>
      <c r="I21" s="481"/>
      <c r="J21" s="481"/>
      <c r="K21" s="94"/>
      <c r="L21" s="77"/>
      <c r="M21" s="78"/>
      <c r="N21" s="78"/>
    </row>
    <row r="22" spans="2:16" ht="20.149999999999999" customHeight="1" x14ac:dyDescent="0.45">
      <c r="B22" s="34"/>
      <c r="C22" s="22"/>
      <c r="D22" s="508"/>
      <c r="E22" s="508"/>
      <c r="F22" s="508"/>
      <c r="G22" s="22"/>
      <c r="H22" s="68"/>
      <c r="I22" s="481"/>
      <c r="J22" s="481"/>
      <c r="K22" s="94"/>
      <c r="L22" s="77"/>
      <c r="M22" s="78"/>
      <c r="N22" s="78"/>
    </row>
    <row r="23" spans="2:16" ht="20.149999999999999" customHeight="1" x14ac:dyDescent="0.45">
      <c r="B23" s="34"/>
      <c r="C23" s="22"/>
      <c r="D23" s="508"/>
      <c r="E23" s="508"/>
      <c r="F23" s="508"/>
      <c r="G23" s="22"/>
      <c r="H23" s="68"/>
      <c r="I23" s="481"/>
      <c r="J23" s="481"/>
      <c r="K23" s="94"/>
      <c r="L23" s="77"/>
      <c r="M23" s="78"/>
      <c r="N23" s="78"/>
    </row>
    <row r="24" spans="2:16" ht="20.149999999999999" customHeight="1" x14ac:dyDescent="0.45">
      <c r="B24" s="34"/>
      <c r="C24" s="22"/>
      <c r="D24" s="508"/>
      <c r="E24" s="508"/>
      <c r="F24" s="508"/>
      <c r="G24" s="22"/>
      <c r="H24" s="68"/>
      <c r="I24" s="481"/>
      <c r="J24" s="481"/>
      <c r="K24" s="94"/>
      <c r="L24" s="77"/>
      <c r="M24" s="78"/>
      <c r="N24" s="78"/>
    </row>
    <row r="25" spans="2:16" ht="20.149999999999999" customHeight="1" x14ac:dyDescent="0.45">
      <c r="B25" s="34"/>
      <c r="C25" s="22"/>
      <c r="D25" s="508"/>
      <c r="E25" s="508"/>
      <c r="F25" s="508"/>
      <c r="G25" s="22"/>
      <c r="H25" s="68"/>
      <c r="I25" s="481"/>
      <c r="J25" s="481"/>
      <c r="K25" s="94"/>
      <c r="L25" s="77"/>
      <c r="M25" s="78"/>
      <c r="N25" s="78"/>
    </row>
    <row r="26" spans="2:16" ht="20.149999999999999" customHeight="1" x14ac:dyDescent="0.45">
      <c r="B26" s="34"/>
      <c r="C26" s="22"/>
      <c r="D26" s="508"/>
      <c r="E26" s="508"/>
      <c r="F26" s="508"/>
      <c r="G26" s="22"/>
      <c r="H26" s="68"/>
      <c r="I26" s="481"/>
      <c r="J26" s="481"/>
      <c r="K26" s="94"/>
      <c r="L26" s="77"/>
      <c r="M26" s="78"/>
      <c r="N26" s="78"/>
    </row>
    <row r="27" spans="2:16" ht="20.149999999999999" customHeight="1" x14ac:dyDescent="0.45">
      <c r="B27" s="34"/>
      <c r="C27" s="22"/>
      <c r="D27" s="508"/>
      <c r="E27" s="508"/>
      <c r="F27" s="508"/>
      <c r="G27" s="22"/>
      <c r="H27" s="68"/>
      <c r="I27" s="481"/>
      <c r="J27" s="481"/>
      <c r="K27" s="94"/>
      <c r="L27" s="77"/>
    </row>
    <row r="28" spans="2:16" ht="20.149999999999999" customHeight="1" thickBot="1" x14ac:dyDescent="0.5">
      <c r="B28" s="37"/>
      <c r="C28" s="38"/>
      <c r="D28" s="509"/>
      <c r="E28" s="509"/>
      <c r="F28" s="509"/>
      <c r="G28" s="38"/>
      <c r="H28" s="69"/>
      <c r="I28" s="451"/>
      <c r="J28" s="451"/>
      <c r="K28" s="39"/>
      <c r="L28" s="40"/>
    </row>
    <row r="29" spans="2:16" ht="20.149999999999999" customHeight="1" thickBot="1" x14ac:dyDescent="0.5">
      <c r="B29" s="41"/>
      <c r="L29" s="42"/>
    </row>
    <row r="30" spans="2:16" ht="20.149999999999999" customHeight="1" x14ac:dyDescent="0.45">
      <c r="B30" s="11" t="s">
        <v>18</v>
      </c>
      <c r="C30" s="7"/>
      <c r="D30" s="7"/>
      <c r="E30" s="7"/>
      <c r="F30" s="7"/>
      <c r="G30" s="7"/>
      <c r="H30" s="7"/>
      <c r="I30" s="7"/>
      <c r="J30" s="510" t="s">
        <v>15</v>
      </c>
      <c r="K30" s="511"/>
      <c r="L30" s="43">
        <f>SUM(L17:L29)</f>
        <v>50</v>
      </c>
      <c r="M30" s="228">
        <f>SUM(M17:M29)</f>
        <v>168</v>
      </c>
      <c r="N30" s="43">
        <f>SUM(N17:N29)</f>
        <v>-1330</v>
      </c>
    </row>
    <row r="31" spans="2:16" ht="20.149999999999999" customHeight="1" x14ac:dyDescent="0.45">
      <c r="B31" s="11" t="s">
        <v>19</v>
      </c>
      <c r="C31" s="7"/>
      <c r="D31" s="7"/>
      <c r="E31" s="7"/>
      <c r="F31" s="7"/>
      <c r="G31" s="7"/>
      <c r="H31" s="7"/>
      <c r="I31" s="7"/>
      <c r="J31" s="44" t="s">
        <v>22</v>
      </c>
      <c r="K31" s="45"/>
      <c r="L31" s="46">
        <f>L30*K31</f>
        <v>0</v>
      </c>
    </row>
    <row r="32" spans="2:16" ht="20.149999999999999" customHeight="1" x14ac:dyDescent="0.45">
      <c r="B32" s="11" t="s">
        <v>20</v>
      </c>
      <c r="C32" s="7"/>
      <c r="D32" s="7"/>
      <c r="E32" s="7"/>
      <c r="F32" s="7"/>
      <c r="G32" s="7"/>
      <c r="H32" s="7"/>
      <c r="I32" s="7"/>
      <c r="J32" s="486" t="s">
        <v>21</v>
      </c>
      <c r="K32" s="487"/>
      <c r="L32" s="46">
        <f>L30-L31</f>
        <v>50</v>
      </c>
    </row>
    <row r="33" spans="2:16" ht="20.149999999999999" customHeight="1" x14ac:dyDescent="0.45">
      <c r="B33" s="11" t="s">
        <v>24</v>
      </c>
      <c r="C33" s="7"/>
      <c r="D33" s="7"/>
      <c r="E33" s="7"/>
      <c r="F33" s="7"/>
      <c r="G33" s="7"/>
      <c r="H33" s="7"/>
      <c r="I33" s="7"/>
      <c r="J33" s="150" t="s">
        <v>17</v>
      </c>
      <c r="K33" s="151">
        <v>7.0000000000000007E-2</v>
      </c>
      <c r="L33" s="47">
        <f>L32*K33</f>
        <v>3.5000000000000004</v>
      </c>
      <c r="M33" s="76"/>
      <c r="N33" s="76">
        <f>N30*K33</f>
        <v>-93.100000000000009</v>
      </c>
      <c r="O33" s="76">
        <f>L33-N33</f>
        <v>96.600000000000009</v>
      </c>
    </row>
    <row r="34" spans="2:16" ht="20.149999999999999" customHeight="1" thickBot="1" x14ac:dyDescent="0.5">
      <c r="B34" s="11" t="s">
        <v>1400</v>
      </c>
      <c r="C34" s="7"/>
      <c r="D34" s="7"/>
      <c r="E34" s="7"/>
      <c r="F34" s="7"/>
      <c r="G34" s="7"/>
      <c r="H34" s="7"/>
      <c r="I34" s="7"/>
      <c r="J34" s="488" t="s">
        <v>23</v>
      </c>
      <c r="K34" s="489"/>
      <c r="L34" s="48">
        <f>L32+L33</f>
        <v>53.5</v>
      </c>
      <c r="M34" s="76" t="s">
        <v>720</v>
      </c>
      <c r="N34" s="76"/>
      <c r="O34" s="76">
        <f>L34-O33-N30</f>
        <v>1286.9000000000001</v>
      </c>
      <c r="P34" s="201">
        <f>O34/L34</f>
        <v>24.054205607476636</v>
      </c>
    </row>
    <row r="35" spans="2:16" ht="20.149999999999999" customHeight="1" x14ac:dyDescent="0.45">
      <c r="B35" s="11" t="s">
        <v>26</v>
      </c>
      <c r="C35" s="7"/>
      <c r="D35" s="7"/>
      <c r="E35" s="7"/>
      <c r="F35" s="7"/>
      <c r="G35" s="7"/>
      <c r="H35" s="7"/>
      <c r="I35" s="7"/>
      <c r="L35" s="42" t="s">
        <v>720</v>
      </c>
    </row>
    <row r="36" spans="2:16" ht="20.149999999999999" customHeight="1" x14ac:dyDescent="0.45">
      <c r="B36" s="224" t="s">
        <v>1379</v>
      </c>
      <c r="L36" s="42"/>
    </row>
    <row r="37" spans="2:16" ht="20.149999999999999" customHeight="1" x14ac:dyDescent="0.45">
      <c r="B37" s="41"/>
      <c r="L37" s="42"/>
    </row>
    <row r="38" spans="2:16" ht="20.149999999999999" customHeight="1" x14ac:dyDescent="0.45">
      <c r="B38" s="41"/>
      <c r="J38" s="50"/>
      <c r="K38" s="50"/>
      <c r="L38" s="51"/>
    </row>
    <row r="39" spans="2:16" ht="20.149999999999999" customHeight="1" x14ac:dyDescent="0.45">
      <c r="B39" s="41"/>
      <c r="J39" s="24" t="s">
        <v>28</v>
      </c>
      <c r="L39" s="42"/>
    </row>
    <row r="40" spans="2:16" ht="20.149999999999999" customHeight="1" x14ac:dyDescent="0.45">
      <c r="B40" s="49"/>
      <c r="C40" s="50"/>
      <c r="D40" s="50"/>
      <c r="J40" s="24" t="s">
        <v>1419</v>
      </c>
      <c r="L40" s="42"/>
    </row>
    <row r="41" spans="2:16" ht="20.149999999999999" customHeight="1" x14ac:dyDescent="0.45">
      <c r="B41" s="41" t="s">
        <v>27</v>
      </c>
      <c r="J41" s="24" t="s">
        <v>1420</v>
      </c>
      <c r="L41" s="42"/>
    </row>
    <row r="42" spans="2:16" ht="19" thickBot="1" x14ac:dyDescent="0.5">
      <c r="B42" s="52"/>
      <c r="C42" s="53"/>
      <c r="D42" s="53"/>
      <c r="E42" s="53"/>
      <c r="F42" s="53"/>
      <c r="G42" s="53"/>
      <c r="H42" s="53"/>
      <c r="I42" s="53"/>
      <c r="J42" s="53"/>
      <c r="K42" s="53"/>
      <c r="L42" s="54"/>
    </row>
  </sheetData>
  <mergeCells count="39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D17:F17"/>
    <mergeCell ref="I17:J17"/>
    <mergeCell ref="D18:F18"/>
    <mergeCell ref="I18:J18"/>
    <mergeCell ref="D19:F19"/>
    <mergeCell ref="I19:J19"/>
    <mergeCell ref="D20:F20"/>
    <mergeCell ref="I20:J20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J30:K30"/>
    <mergeCell ref="J32:K32"/>
    <mergeCell ref="J34:K34"/>
    <mergeCell ref="D26:F26"/>
    <mergeCell ref="I26:J26"/>
    <mergeCell ref="D27:F27"/>
    <mergeCell ref="I27:J27"/>
    <mergeCell ref="D28:F28"/>
    <mergeCell ref="I28:J28"/>
  </mergeCells>
  <pageMargins left="0.70866141732283472" right="0.31496062992125984" top="0.59055118110236227" bottom="0" header="0.31496062992125984" footer="0.31496062992125984"/>
  <pageSetup paperSize="9" scale="74" orientation="portrait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767B0-F194-49ED-9F11-DEF2EB973A0B}">
  <sheetPr codeName="Sheet6">
    <tabColor theme="9" tint="0.39997558519241921"/>
    <pageSetUpPr fitToPage="1"/>
  </sheetPr>
  <dimension ref="B1:P49"/>
  <sheetViews>
    <sheetView topLeftCell="A12" workbookViewId="0"/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8.36328125" style="24" customWidth="1"/>
    <col min="7" max="7" width="8.54296875" style="24" customWidth="1"/>
    <col min="8" max="8" width="15.7265625" style="24" customWidth="1"/>
    <col min="9" max="9" width="0.7265625" style="24" customWidth="1"/>
    <col min="10" max="10" width="20.26953125" style="24" customWidth="1"/>
    <col min="11" max="11" width="10.54296875" style="24" customWidth="1"/>
    <col min="12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2301</v>
      </c>
      <c r="J10" s="29" t="s">
        <v>29</v>
      </c>
      <c r="K10" s="452">
        <v>202209468</v>
      </c>
      <c r="L10" s="453"/>
    </row>
    <row r="11" spans="2:12" ht="20.149999999999999" customHeight="1" x14ac:dyDescent="0.45">
      <c r="B11" s="454" t="s">
        <v>2302</v>
      </c>
      <c r="C11" s="455"/>
      <c r="D11" s="456"/>
      <c r="E11" s="30"/>
      <c r="F11" s="457" t="str">
        <f>VLOOKUP(H10,'Delivery Location'!A$4:N$416,2,0)</f>
        <v>R&amp;B Tea Singapore                                                         Sun Plaza, 30 Sembawang Drive             #B1-38, Singapore 757713</v>
      </c>
      <c r="G11" s="458"/>
      <c r="H11" s="459"/>
      <c r="J11" s="31" t="s">
        <v>11</v>
      </c>
      <c r="K11" s="466">
        <v>44834</v>
      </c>
      <c r="L11" s="467"/>
    </row>
    <row r="12" spans="2:12" ht="20.149999999999999" customHeight="1" x14ac:dyDescent="0.45">
      <c r="B12" s="468" t="s">
        <v>2303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533</v>
      </c>
      <c r="L12" s="472"/>
    </row>
    <row r="13" spans="2:12" ht="20.149999999999999" customHeight="1" x14ac:dyDescent="0.45">
      <c r="B13" s="468" t="s">
        <v>2024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14</v>
      </c>
      <c r="L13" s="472"/>
    </row>
    <row r="14" spans="2:12" ht="20.149999999999999" customHeight="1" x14ac:dyDescent="0.45">
      <c r="B14" s="468" t="s">
        <v>2025</v>
      </c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463" t="s">
        <v>2026</v>
      </c>
      <c r="C15" s="464"/>
      <c r="D15" s="465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16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16" ht="20.149999999999999" customHeight="1" x14ac:dyDescent="0.45">
      <c r="B18" s="34"/>
      <c r="C18" s="22" t="s">
        <v>2305</v>
      </c>
      <c r="D18" s="508" t="str">
        <f>VLOOKUP(C18,'Sales Master'!B$3:D$499,2,)</f>
        <v>Passion Fruit Puree 百香果浆</v>
      </c>
      <c r="E18" s="508"/>
      <c r="F18" s="508"/>
      <c r="G18" s="90">
        <v>6</v>
      </c>
      <c r="H18" s="389" t="str">
        <f>VLOOKUP(C18,'Sales Master'!$B$3:$F$3247,5,0)</f>
        <v>1 KG/BOX</v>
      </c>
      <c r="I18" s="482" t="str">
        <f>VLOOKUP(C18,'Sales Master'!$B$3:$E$3247,4,0)</f>
        <v>-</v>
      </c>
      <c r="J18" s="482"/>
      <c r="K18" s="35">
        <f>VLOOKUP(C18,'Sales Master'!B$3:AD$498,29,0)</f>
        <v>8.5</v>
      </c>
      <c r="L18" s="77">
        <f>K18*G18</f>
        <v>51</v>
      </c>
      <c r="M18" s="78"/>
      <c r="N18" s="225">
        <f>VLOOKUP(C18,'Sales Master'!$B$3:$DA$3038,104,0)</f>
        <v>4.4000000000000004</v>
      </c>
      <c r="O18" s="225">
        <f>K18-N18</f>
        <v>4.0999999999999996</v>
      </c>
      <c r="P18" s="225">
        <f>O18*G18</f>
        <v>24.599999999999998</v>
      </c>
    </row>
    <row r="19" spans="2:16" ht="20.149999999999999" customHeight="1" x14ac:dyDescent="0.45">
      <c r="B19" s="34"/>
      <c r="C19" s="22"/>
      <c r="D19" s="508"/>
      <c r="E19" s="508"/>
      <c r="F19" s="508"/>
      <c r="G19" s="90"/>
      <c r="H19" s="389"/>
      <c r="I19" s="482"/>
      <c r="J19" s="482"/>
      <c r="K19" s="35"/>
      <c r="L19" s="77"/>
      <c r="M19" s="78"/>
      <c r="N19" s="225"/>
      <c r="O19" s="225"/>
      <c r="P19" s="225"/>
    </row>
    <row r="20" spans="2:16" ht="20.149999999999999" customHeight="1" x14ac:dyDescent="0.45">
      <c r="B20" s="34"/>
      <c r="C20" s="22"/>
      <c r="D20" s="508"/>
      <c r="E20" s="508"/>
      <c r="F20" s="508"/>
      <c r="G20" s="90"/>
      <c r="H20" s="68"/>
      <c r="I20" s="481"/>
      <c r="J20" s="481"/>
      <c r="K20" s="35"/>
      <c r="L20" s="77"/>
      <c r="M20" s="78"/>
      <c r="N20" s="225"/>
      <c r="O20" s="225"/>
      <c r="P20" s="225"/>
    </row>
    <row r="21" spans="2:16" ht="20.149999999999999" customHeight="1" x14ac:dyDescent="0.45">
      <c r="B21" s="34"/>
      <c r="C21" s="22"/>
      <c r="D21" s="508"/>
      <c r="E21" s="508"/>
      <c r="F21" s="508"/>
      <c r="G21" s="90"/>
      <c r="H21" s="68"/>
      <c r="I21" s="481"/>
      <c r="J21" s="481"/>
      <c r="K21" s="35"/>
      <c r="L21" s="77"/>
      <c r="M21" s="78"/>
      <c r="N21" s="225"/>
      <c r="O21" s="225"/>
      <c r="P21" s="225"/>
    </row>
    <row r="22" spans="2:16" ht="20.149999999999999" customHeight="1" x14ac:dyDescent="0.45">
      <c r="B22" s="34"/>
      <c r="C22" s="22"/>
      <c r="D22" s="508"/>
      <c r="E22" s="508"/>
      <c r="F22" s="508"/>
      <c r="G22" s="90"/>
      <c r="H22" s="68"/>
      <c r="I22" s="481"/>
      <c r="J22" s="481"/>
      <c r="K22" s="35"/>
      <c r="L22" s="77"/>
      <c r="M22" s="78"/>
      <c r="N22" s="225"/>
      <c r="O22" s="225"/>
      <c r="P22" s="225"/>
    </row>
    <row r="23" spans="2:16" ht="20.149999999999999" customHeight="1" x14ac:dyDescent="0.45">
      <c r="B23" s="34"/>
      <c r="C23" s="22"/>
      <c r="D23" s="508"/>
      <c r="E23" s="508"/>
      <c r="F23" s="508"/>
      <c r="G23" s="90"/>
      <c r="H23" s="68"/>
      <c r="I23" s="481"/>
      <c r="J23" s="481"/>
      <c r="K23" s="35"/>
      <c r="L23" s="77"/>
      <c r="M23" s="78"/>
      <c r="N23" s="225"/>
      <c r="O23" s="225"/>
      <c r="P23" s="225"/>
    </row>
    <row r="24" spans="2:16" ht="20.149999999999999" customHeight="1" x14ac:dyDescent="0.45">
      <c r="B24" s="34"/>
      <c r="C24" s="22"/>
      <c r="D24" s="508"/>
      <c r="E24" s="508"/>
      <c r="F24" s="508"/>
      <c r="G24" s="90"/>
      <c r="H24" s="68"/>
      <c r="I24" s="481"/>
      <c r="J24" s="481"/>
      <c r="K24" s="35"/>
      <c r="L24" s="77"/>
      <c r="M24" s="78"/>
      <c r="N24" s="225"/>
      <c r="O24" s="225"/>
      <c r="P24" s="225"/>
    </row>
    <row r="25" spans="2:16" ht="20.149999999999999" customHeight="1" x14ac:dyDescent="0.45">
      <c r="B25" s="34"/>
      <c r="C25" s="22"/>
      <c r="D25" s="508"/>
      <c r="E25" s="508"/>
      <c r="F25" s="508"/>
      <c r="G25" s="90"/>
      <c r="H25" s="68"/>
      <c r="I25" s="481"/>
      <c r="J25" s="481"/>
      <c r="K25" s="35"/>
      <c r="L25" s="77"/>
      <c r="M25" s="78"/>
      <c r="N25" s="225"/>
      <c r="O25" s="225"/>
      <c r="P25" s="225"/>
    </row>
    <row r="26" spans="2:16" ht="20.149999999999999" customHeight="1" x14ac:dyDescent="0.45">
      <c r="B26" s="34"/>
      <c r="C26" s="22"/>
      <c r="D26" s="508"/>
      <c r="E26" s="508"/>
      <c r="F26" s="508"/>
      <c r="G26" s="90"/>
      <c r="H26" s="68"/>
      <c r="I26" s="481"/>
      <c r="J26" s="481"/>
      <c r="K26" s="35"/>
      <c r="L26" s="77"/>
      <c r="M26" s="78"/>
      <c r="N26" s="225"/>
      <c r="O26" s="225"/>
      <c r="P26" s="225"/>
    </row>
    <row r="27" spans="2:16" ht="20.149999999999999" customHeight="1" x14ac:dyDescent="0.45">
      <c r="B27" s="34"/>
      <c r="C27" s="22"/>
      <c r="D27" s="508"/>
      <c r="E27" s="508"/>
      <c r="F27" s="508"/>
      <c r="G27" s="90"/>
      <c r="H27" s="68"/>
      <c r="I27" s="481"/>
      <c r="J27" s="481"/>
      <c r="K27" s="35"/>
      <c r="L27" s="77"/>
      <c r="M27" s="78"/>
      <c r="N27" s="225"/>
      <c r="O27" s="225"/>
      <c r="P27" s="225"/>
    </row>
    <row r="28" spans="2:16" ht="20.149999999999999" customHeight="1" x14ac:dyDescent="0.45">
      <c r="B28" s="34"/>
      <c r="C28" s="22"/>
      <c r="D28" s="508"/>
      <c r="E28" s="508"/>
      <c r="F28" s="508"/>
      <c r="G28" s="90"/>
      <c r="H28" s="68"/>
      <c r="I28" s="481"/>
      <c r="J28" s="481"/>
      <c r="K28" s="35"/>
      <c r="L28" s="77"/>
      <c r="M28" s="78"/>
      <c r="N28" s="225"/>
      <c r="O28" s="225"/>
      <c r="P28" s="225"/>
    </row>
    <row r="29" spans="2:16" ht="20.149999999999999" customHeight="1" x14ac:dyDescent="0.45">
      <c r="B29" s="34"/>
      <c r="C29" s="22"/>
      <c r="D29" s="508"/>
      <c r="E29" s="508"/>
      <c r="F29" s="508"/>
      <c r="G29" s="90"/>
      <c r="H29" s="68"/>
      <c r="I29" s="481"/>
      <c r="J29" s="481"/>
      <c r="K29" s="35"/>
      <c r="L29" s="77"/>
      <c r="M29" s="78"/>
      <c r="N29" s="225"/>
      <c r="O29" s="225"/>
      <c r="P29" s="225"/>
    </row>
    <row r="30" spans="2:16" ht="20.149999999999999" customHeight="1" x14ac:dyDescent="0.45">
      <c r="B30" s="34"/>
      <c r="C30" s="22"/>
      <c r="D30" s="508"/>
      <c r="E30" s="508"/>
      <c r="F30" s="508"/>
      <c r="G30" s="90"/>
      <c r="H30" s="68"/>
      <c r="I30" s="481"/>
      <c r="J30" s="481"/>
      <c r="K30" s="35"/>
      <c r="L30" s="77"/>
      <c r="M30" s="78"/>
      <c r="N30" s="225"/>
      <c r="O30" s="225"/>
      <c r="P30" s="225"/>
    </row>
    <row r="31" spans="2:16" ht="20.149999999999999" customHeight="1" x14ac:dyDescent="0.45">
      <c r="B31" s="34"/>
      <c r="C31" s="22"/>
      <c r="D31" s="508"/>
      <c r="E31" s="508"/>
      <c r="F31" s="508"/>
      <c r="G31" s="90"/>
      <c r="H31" s="389"/>
      <c r="I31" s="512"/>
      <c r="J31" s="512"/>
      <c r="K31" s="35"/>
      <c r="L31" s="77"/>
      <c r="M31" s="78"/>
      <c r="N31" s="225"/>
      <c r="O31" s="225"/>
      <c r="P31" s="225"/>
    </row>
    <row r="32" spans="2:16" ht="20.149999999999999" customHeight="1" x14ac:dyDescent="0.45">
      <c r="B32" s="34"/>
      <c r="C32" s="22"/>
      <c r="D32" s="508"/>
      <c r="E32" s="508"/>
      <c r="F32" s="508"/>
      <c r="G32" s="90"/>
      <c r="H32" s="389"/>
      <c r="I32" s="512"/>
      <c r="J32" s="512"/>
      <c r="K32" s="35"/>
      <c r="L32" s="77"/>
      <c r="M32" s="78"/>
      <c r="N32" s="225"/>
      <c r="O32" s="225"/>
      <c r="P32" s="225"/>
    </row>
    <row r="33" spans="2:16" ht="20.149999999999999" customHeight="1" x14ac:dyDescent="0.45">
      <c r="B33" s="34"/>
      <c r="C33" s="22"/>
      <c r="D33" s="508"/>
      <c r="E33" s="508"/>
      <c r="F33" s="508"/>
      <c r="G33" s="90"/>
      <c r="H33" s="346"/>
      <c r="I33" s="481"/>
      <c r="J33" s="481"/>
      <c r="K33" s="35"/>
      <c r="L33" s="77"/>
      <c r="M33" s="78"/>
      <c r="N33" s="225"/>
      <c r="O33" s="225"/>
      <c r="P33" s="225"/>
    </row>
    <row r="34" spans="2:16" ht="20.149999999999999" customHeight="1" x14ac:dyDescent="0.45">
      <c r="B34" s="34"/>
      <c r="C34" s="22"/>
      <c r="G34" s="90"/>
      <c r="H34" s="346"/>
      <c r="I34" s="68"/>
      <c r="J34" s="68"/>
      <c r="K34" s="35"/>
      <c r="L34" s="77"/>
      <c r="M34" s="78"/>
      <c r="N34" s="225"/>
      <c r="O34" s="225"/>
      <c r="P34" s="225"/>
    </row>
    <row r="35" spans="2:16" ht="20.149999999999999" customHeight="1" thickBot="1" x14ac:dyDescent="0.5">
      <c r="B35" s="37"/>
      <c r="C35" s="38"/>
      <c r="D35" s="509"/>
      <c r="E35" s="509"/>
      <c r="F35" s="509"/>
      <c r="G35" s="38"/>
      <c r="H35" s="69"/>
      <c r="I35" s="451"/>
      <c r="J35" s="451"/>
      <c r="K35" s="39"/>
      <c r="L35" s="40"/>
    </row>
    <row r="36" spans="2:16" ht="20.149999999999999" customHeight="1" thickBot="1" x14ac:dyDescent="0.5">
      <c r="B36" s="41"/>
      <c r="L36" s="42"/>
    </row>
    <row r="37" spans="2:16" ht="20.149999999999999" customHeight="1" x14ac:dyDescent="0.45">
      <c r="B37" s="11" t="s">
        <v>18</v>
      </c>
      <c r="C37" s="7"/>
      <c r="D37" s="7"/>
      <c r="E37" s="7"/>
      <c r="F37" s="7"/>
      <c r="G37" s="7"/>
      <c r="H37" s="7"/>
      <c r="I37" s="7"/>
      <c r="J37" s="510" t="s">
        <v>15</v>
      </c>
      <c r="K37" s="511"/>
      <c r="L37" s="43">
        <f>SUM(L14:L33)</f>
        <v>51</v>
      </c>
      <c r="M37" s="76">
        <f>SUM(P18:P33)</f>
        <v>24.599999999999998</v>
      </c>
      <c r="N37" s="201">
        <f>M37/L37</f>
        <v>0.48235294117647054</v>
      </c>
    </row>
    <row r="38" spans="2:16" ht="20.149999999999999" customHeight="1" x14ac:dyDescent="0.45">
      <c r="B38" s="11" t="s">
        <v>19</v>
      </c>
      <c r="C38" s="7"/>
      <c r="D38" s="7"/>
      <c r="E38" s="7"/>
      <c r="F38" s="7"/>
      <c r="G38" s="7"/>
      <c r="H38" s="7"/>
      <c r="I38" s="7"/>
      <c r="J38" s="44" t="s">
        <v>22</v>
      </c>
      <c r="K38" s="45"/>
      <c r="L38" s="46">
        <f>L37*K38</f>
        <v>0</v>
      </c>
    </row>
    <row r="39" spans="2:16" ht="20.149999999999999" customHeight="1" x14ac:dyDescent="0.45">
      <c r="B39" s="11" t="s">
        <v>20</v>
      </c>
      <c r="C39" s="7"/>
      <c r="D39" s="7"/>
      <c r="E39" s="7"/>
      <c r="F39" s="7"/>
      <c r="G39" s="7"/>
      <c r="H39" s="7"/>
      <c r="I39" s="7"/>
      <c r="J39" s="486" t="s">
        <v>21</v>
      </c>
      <c r="K39" s="487"/>
      <c r="L39" s="46">
        <f>L37-L38</f>
        <v>51</v>
      </c>
    </row>
    <row r="40" spans="2:16" ht="20.149999999999999" customHeight="1" x14ac:dyDescent="0.45">
      <c r="B40" s="11" t="s">
        <v>24</v>
      </c>
      <c r="C40" s="7"/>
      <c r="D40" s="7"/>
      <c r="E40" s="7"/>
      <c r="F40" s="7"/>
      <c r="G40" s="7"/>
      <c r="H40" s="7"/>
      <c r="I40" s="7"/>
      <c r="J40" s="150" t="s">
        <v>17</v>
      </c>
      <c r="K40" s="151">
        <v>7.0000000000000007E-2</v>
      </c>
      <c r="L40" s="47">
        <f>L39*K40</f>
        <v>3.5700000000000003</v>
      </c>
    </row>
    <row r="41" spans="2:16" ht="20.149999999999999" customHeight="1" thickBot="1" x14ac:dyDescent="0.5">
      <c r="B41" s="11" t="s">
        <v>25</v>
      </c>
      <c r="C41" s="7"/>
      <c r="D41" s="7"/>
      <c r="E41" s="7"/>
      <c r="F41" s="7"/>
      <c r="G41" s="7"/>
      <c r="H41" s="7"/>
      <c r="I41" s="7"/>
      <c r="J41" s="488" t="s">
        <v>23</v>
      </c>
      <c r="K41" s="489"/>
      <c r="L41" s="48">
        <f>L39+L40</f>
        <v>54.57</v>
      </c>
    </row>
    <row r="42" spans="2:16" ht="20.149999999999999" customHeight="1" x14ac:dyDescent="0.45">
      <c r="B42" s="11" t="s">
        <v>26</v>
      </c>
      <c r="C42" s="7"/>
      <c r="D42" s="7"/>
      <c r="E42" s="7"/>
      <c r="F42" s="7"/>
      <c r="G42" s="7"/>
      <c r="H42" s="7"/>
      <c r="I42" s="7"/>
      <c r="L42" s="42"/>
    </row>
    <row r="43" spans="2:16" ht="20.149999999999999" customHeight="1" x14ac:dyDescent="0.45">
      <c r="B43" s="41"/>
      <c r="L43" s="42"/>
    </row>
    <row r="44" spans="2:16" x14ac:dyDescent="0.45">
      <c r="B44" s="41"/>
      <c r="L44" s="42"/>
    </row>
    <row r="45" spans="2:16" ht="20.149999999999999" customHeight="1" x14ac:dyDescent="0.45">
      <c r="B45" s="41"/>
      <c r="L45" s="42"/>
    </row>
    <row r="46" spans="2:16" ht="20.149999999999999" customHeight="1" x14ac:dyDescent="0.45">
      <c r="B46" s="41"/>
      <c r="L46" s="42"/>
    </row>
    <row r="47" spans="2:16" x14ac:dyDescent="0.45">
      <c r="B47" s="49"/>
      <c r="C47" s="50"/>
      <c r="D47" s="50"/>
      <c r="J47" s="50"/>
      <c r="K47" s="50"/>
      <c r="L47" s="51"/>
    </row>
    <row r="48" spans="2:16" ht="20.149999999999999" customHeight="1" x14ac:dyDescent="0.45">
      <c r="B48" s="41" t="s">
        <v>27</v>
      </c>
      <c r="J48" s="24" t="s">
        <v>28</v>
      </c>
      <c r="L48" s="42"/>
    </row>
    <row r="49" spans="2:12" ht="19" thickBot="1" x14ac:dyDescent="0.5">
      <c r="B49" s="52"/>
      <c r="C49" s="53"/>
      <c r="D49" s="53"/>
      <c r="E49" s="53"/>
      <c r="F49" s="53"/>
      <c r="G49" s="53"/>
      <c r="H49" s="53"/>
      <c r="I49" s="53"/>
      <c r="J49" s="53"/>
      <c r="K49" s="53"/>
      <c r="L49" s="54"/>
    </row>
  </sheetData>
  <mergeCells count="52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D28:F28"/>
    <mergeCell ref="I28:J28"/>
    <mergeCell ref="D29:F29"/>
    <mergeCell ref="I29:J29"/>
    <mergeCell ref="D30:F30"/>
    <mergeCell ref="I30:J30"/>
    <mergeCell ref="D31:F31"/>
    <mergeCell ref="I31:J31"/>
    <mergeCell ref="D32:F32"/>
    <mergeCell ref="I32:J32"/>
    <mergeCell ref="J39:K39"/>
    <mergeCell ref="J41:K41"/>
    <mergeCell ref="D33:F33"/>
    <mergeCell ref="I33:J33"/>
    <mergeCell ref="D35:F35"/>
    <mergeCell ref="I35:J35"/>
    <mergeCell ref="J37:K37"/>
  </mergeCells>
  <pageMargins left="0.70866141732283472" right="0.31496062992125984" top="0.59055118110236227" bottom="0" header="0.31496062992125984" footer="0.31496062992125984"/>
  <pageSetup paperSize="9" scale="74" orientation="portrait" horizontalDpi="300" verticalDpi="300" r:id="rId1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B2D995-A7DC-49CF-BF59-AC0A00DAF1D7}">
  <sheetPr codeName="Sheet66">
    <tabColor rgb="FFFFFF00"/>
    <pageSetUpPr fitToPage="1"/>
  </sheetPr>
  <dimension ref="B1:O41"/>
  <sheetViews>
    <sheetView workbookViewId="0">
      <selection activeCell="B1" sqref="B1:L8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6.54296875" style="24" customWidth="1"/>
    <col min="7" max="7" width="8.54296875" style="24" customWidth="1"/>
    <col min="8" max="8" width="16" style="24" customWidth="1"/>
    <col min="9" max="9" width="2.54296875" style="24" customWidth="1"/>
    <col min="10" max="10" width="15.54296875" style="24" customWidth="1"/>
    <col min="11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1868</v>
      </c>
      <c r="J10" s="29" t="s">
        <v>29</v>
      </c>
      <c r="K10" s="452">
        <v>202104304</v>
      </c>
      <c r="L10" s="453"/>
    </row>
    <row r="11" spans="2:12" ht="20.149999999999999" customHeight="1" x14ac:dyDescent="0.45">
      <c r="B11" s="454" t="s">
        <v>579</v>
      </c>
      <c r="C11" s="455"/>
      <c r="D11" s="456"/>
      <c r="E11" s="30"/>
      <c r="F11" s="457" t="str">
        <f>VLOOKUP(H10,'Delivery Location'!A$4:N$416,2,0)</f>
        <v>RASA RASA @ SENGKANG PTE LTD                                               BLK 278D, Compassvale Bow #01-05 Singapore 544278</v>
      </c>
      <c r="G11" s="458"/>
      <c r="H11" s="459"/>
      <c r="J11" s="31" t="s">
        <v>11</v>
      </c>
      <c r="K11" s="551">
        <v>44302</v>
      </c>
      <c r="L11" s="472"/>
    </row>
    <row r="12" spans="2:12" ht="20.149999999999999" customHeight="1" x14ac:dyDescent="0.45">
      <c r="B12" s="468" t="s">
        <v>580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533</v>
      </c>
      <c r="L12" s="472"/>
    </row>
    <row r="13" spans="2:12" ht="20.149999999999999" customHeight="1" x14ac:dyDescent="0.45">
      <c r="B13" s="468" t="s">
        <v>581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14</v>
      </c>
      <c r="L13" s="472"/>
    </row>
    <row r="14" spans="2:12" ht="20.149999999999999" customHeight="1" x14ac:dyDescent="0.45">
      <c r="B14" s="468" t="s">
        <v>563</v>
      </c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552" t="s">
        <v>582</v>
      </c>
      <c r="C15" s="474"/>
      <c r="D15" s="475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15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3"/>
      <c r="O17" s="33"/>
    </row>
    <row r="18" spans="2:15" ht="20.149999999999999" customHeight="1" x14ac:dyDescent="0.45">
      <c r="B18" s="34"/>
      <c r="C18" s="22" t="s">
        <v>1566</v>
      </c>
      <c r="D18" s="508" t="str">
        <f>VLOOKUP(C18,'Sales Master'!B$3:D$499,2,)</f>
        <v>Chin Chow  仙草</v>
      </c>
      <c r="E18" s="508"/>
      <c r="F18" s="508"/>
      <c r="G18" s="22">
        <v>5</v>
      </c>
      <c r="H18" s="68" t="str">
        <f>VLOOKUP(C18,'Sales Master'!$B$3:$F$3247,5,0)</f>
        <v>5KGS/PKT</v>
      </c>
      <c r="I18" s="481" t="str">
        <f>VLOOKUP(C18,'Sales Master'!$B$3:$E$3247,4,0)</f>
        <v>TSM</v>
      </c>
      <c r="J18" s="481"/>
      <c r="K18" s="94">
        <f>VLOOKUP(C18,'Sales Master'!B$3:T$499,19,0)</f>
        <v>0</v>
      </c>
      <c r="L18" s="77">
        <f>K18*G18</f>
        <v>0</v>
      </c>
      <c r="M18" s="78"/>
    </row>
    <row r="19" spans="2:15" ht="20.149999999999999" customHeight="1" x14ac:dyDescent="0.45">
      <c r="B19" s="34"/>
      <c r="C19" s="22"/>
      <c r="D19" s="508" t="s">
        <v>1870</v>
      </c>
      <c r="E19" s="508"/>
      <c r="F19" s="508"/>
      <c r="G19" s="22"/>
      <c r="H19" s="68"/>
      <c r="I19" s="481"/>
      <c r="J19" s="481"/>
      <c r="K19" s="94"/>
      <c r="L19" s="77">
        <v>10</v>
      </c>
      <c r="M19" s="78"/>
    </row>
    <row r="20" spans="2:15" ht="20.149999999999999" customHeight="1" x14ac:dyDescent="0.45">
      <c r="B20" s="34"/>
      <c r="C20" s="22"/>
      <c r="D20" s="508"/>
      <c r="E20" s="508"/>
      <c r="F20" s="508"/>
      <c r="G20" s="22"/>
      <c r="H20" s="68"/>
      <c r="I20" s="481"/>
      <c r="J20" s="481"/>
      <c r="K20" s="94"/>
      <c r="L20" s="77"/>
      <c r="M20" s="78"/>
    </row>
    <row r="21" spans="2:15" ht="20.149999999999999" customHeight="1" x14ac:dyDescent="0.45">
      <c r="B21" s="34"/>
      <c r="C21" s="22"/>
      <c r="D21" s="508"/>
      <c r="E21" s="508"/>
      <c r="F21" s="508"/>
      <c r="G21" s="22"/>
      <c r="H21" s="68"/>
      <c r="I21" s="481"/>
      <c r="J21" s="481"/>
      <c r="K21" s="94"/>
      <c r="L21" s="77"/>
      <c r="M21" s="78"/>
    </row>
    <row r="22" spans="2:15" ht="20.149999999999999" customHeight="1" x14ac:dyDescent="0.45">
      <c r="B22" s="34"/>
      <c r="C22" s="22"/>
      <c r="D22" s="508"/>
      <c r="E22" s="508"/>
      <c r="F22" s="508"/>
      <c r="G22" s="22"/>
      <c r="H22" s="68"/>
      <c r="I22" s="481"/>
      <c r="J22" s="481"/>
      <c r="K22" s="94"/>
      <c r="L22" s="77"/>
      <c r="M22" s="78"/>
    </row>
    <row r="23" spans="2:15" ht="20.149999999999999" customHeight="1" x14ac:dyDescent="0.45">
      <c r="B23" s="34"/>
      <c r="C23" s="22"/>
      <c r="D23" s="508"/>
      <c r="E23" s="508"/>
      <c r="F23" s="508"/>
      <c r="G23" s="22"/>
      <c r="H23" s="68"/>
      <c r="I23" s="481"/>
      <c r="J23" s="481"/>
      <c r="K23" s="94"/>
      <c r="L23" s="77"/>
      <c r="M23" s="78"/>
    </row>
    <row r="24" spans="2:15" ht="20.149999999999999" customHeight="1" x14ac:dyDescent="0.45">
      <c r="B24" s="34"/>
      <c r="C24" s="22"/>
      <c r="D24" s="508"/>
      <c r="E24" s="508"/>
      <c r="F24" s="508"/>
      <c r="G24" s="22"/>
      <c r="H24" s="68"/>
      <c r="I24" s="450"/>
      <c r="J24" s="450"/>
      <c r="K24" s="94"/>
      <c r="L24" s="77"/>
      <c r="M24" s="78"/>
    </row>
    <row r="25" spans="2:15" ht="20.149999999999999" customHeight="1" x14ac:dyDescent="0.45">
      <c r="B25" s="34"/>
      <c r="C25" s="22"/>
      <c r="D25" s="508"/>
      <c r="E25" s="508"/>
      <c r="F25" s="508"/>
      <c r="G25" s="22"/>
      <c r="H25" s="68"/>
      <c r="I25" s="450"/>
      <c r="J25" s="450"/>
      <c r="K25" s="94"/>
      <c r="L25" s="77"/>
      <c r="M25" s="78"/>
    </row>
    <row r="26" spans="2:15" ht="20.149999999999999" customHeight="1" x14ac:dyDescent="0.45">
      <c r="B26" s="34"/>
      <c r="C26" s="22"/>
      <c r="D26" s="508"/>
      <c r="E26" s="508"/>
      <c r="F26" s="508"/>
      <c r="G26" s="22"/>
      <c r="H26" s="68"/>
      <c r="I26" s="450"/>
      <c r="J26" s="450"/>
      <c r="K26" s="94"/>
      <c r="L26" s="77"/>
    </row>
    <row r="27" spans="2:15" ht="20.149999999999999" customHeight="1" thickBot="1" x14ac:dyDescent="0.5">
      <c r="B27" s="37"/>
      <c r="C27" s="38"/>
      <c r="D27" s="509"/>
      <c r="E27" s="509"/>
      <c r="F27" s="509"/>
      <c r="G27" s="38"/>
      <c r="H27" s="69"/>
      <c r="I27" s="451"/>
      <c r="J27" s="451"/>
      <c r="K27" s="39"/>
      <c r="L27" s="40"/>
    </row>
    <row r="28" spans="2:15" ht="20.149999999999999" customHeight="1" thickBot="1" x14ac:dyDescent="0.5">
      <c r="B28" s="41"/>
      <c r="L28" s="42"/>
    </row>
    <row r="29" spans="2:15" ht="20.149999999999999" customHeight="1" x14ac:dyDescent="0.45">
      <c r="B29" s="11" t="s">
        <v>18</v>
      </c>
      <c r="C29" s="7"/>
      <c r="D29" s="7"/>
      <c r="E29" s="7"/>
      <c r="F29" s="7"/>
      <c r="G29" s="7"/>
      <c r="H29" s="7"/>
      <c r="I29" s="7"/>
      <c r="J29" s="510" t="s">
        <v>15</v>
      </c>
      <c r="K29" s="511"/>
      <c r="L29" s="43">
        <f>SUM(L15:L26)</f>
        <v>10</v>
      </c>
      <c r="M29" s="76">
        <f>166+26</f>
        <v>192</v>
      </c>
    </row>
    <row r="30" spans="2:15" ht="20.149999999999999" customHeight="1" x14ac:dyDescent="0.45">
      <c r="B30" s="11" t="s">
        <v>19</v>
      </c>
      <c r="C30" s="7"/>
      <c r="D30" s="7"/>
      <c r="E30" s="7"/>
      <c r="F30" s="7"/>
      <c r="G30" s="7"/>
      <c r="H30" s="7"/>
      <c r="I30" s="7"/>
      <c r="J30" s="44" t="s">
        <v>22</v>
      </c>
      <c r="K30" s="45"/>
      <c r="L30" s="46">
        <f>L29*K30</f>
        <v>0</v>
      </c>
    </row>
    <row r="31" spans="2:15" ht="20.149999999999999" customHeight="1" x14ac:dyDescent="0.45">
      <c r="B31" s="11" t="s">
        <v>20</v>
      </c>
      <c r="C31" s="7"/>
      <c r="D31" s="7"/>
      <c r="E31" s="7"/>
      <c r="F31" s="7"/>
      <c r="G31" s="7"/>
      <c r="H31" s="7"/>
      <c r="I31" s="7"/>
      <c r="J31" s="486" t="s">
        <v>21</v>
      </c>
      <c r="K31" s="487"/>
      <c r="L31" s="46">
        <f>L29-L30</f>
        <v>10</v>
      </c>
    </row>
    <row r="32" spans="2:15" ht="20.149999999999999" customHeight="1" x14ac:dyDescent="0.45">
      <c r="B32" s="11" t="s">
        <v>24</v>
      </c>
      <c r="C32" s="7"/>
      <c r="D32" s="7"/>
      <c r="E32" s="7"/>
      <c r="F32" s="7"/>
      <c r="G32" s="7"/>
      <c r="H32" s="7"/>
      <c r="I32" s="7"/>
      <c r="J32" s="150" t="s">
        <v>17</v>
      </c>
      <c r="K32" s="151">
        <v>7.0000000000000007E-2</v>
      </c>
      <c r="L32" s="47">
        <f>L31*K32</f>
        <v>0.70000000000000007</v>
      </c>
    </row>
    <row r="33" spans="2:12" ht="20.149999999999999" customHeight="1" thickBot="1" x14ac:dyDescent="0.5">
      <c r="B33" s="11" t="s">
        <v>25</v>
      </c>
      <c r="C33" s="7"/>
      <c r="D33" s="7"/>
      <c r="E33" s="7"/>
      <c r="F33" s="7"/>
      <c r="G33" s="7"/>
      <c r="H33" s="7"/>
      <c r="I33" s="7"/>
      <c r="J33" s="488" t="s">
        <v>23</v>
      </c>
      <c r="K33" s="489"/>
      <c r="L33" s="48">
        <f>L31+L32</f>
        <v>10.7</v>
      </c>
    </row>
    <row r="34" spans="2:12" ht="20.149999999999999" customHeight="1" x14ac:dyDescent="0.45">
      <c r="B34" s="11" t="s">
        <v>26</v>
      </c>
      <c r="C34" s="7"/>
      <c r="D34" s="7"/>
      <c r="E34" s="7"/>
      <c r="F34" s="7"/>
      <c r="G34" s="7"/>
      <c r="H34" s="7"/>
      <c r="I34" s="7"/>
      <c r="L34" s="42"/>
    </row>
    <row r="35" spans="2:12" ht="20.149999999999999" customHeight="1" x14ac:dyDescent="0.45">
      <c r="B35" s="41"/>
      <c r="L35" s="42"/>
    </row>
    <row r="36" spans="2:12" ht="20.149999999999999" customHeight="1" x14ac:dyDescent="0.45">
      <c r="B36" s="41"/>
      <c r="L36" s="42"/>
    </row>
    <row r="37" spans="2:12" ht="20.149999999999999" customHeight="1" x14ac:dyDescent="0.45">
      <c r="B37" s="41"/>
      <c r="L37" s="42"/>
    </row>
    <row r="38" spans="2:12" ht="20.149999999999999" customHeight="1" x14ac:dyDescent="0.45">
      <c r="B38" s="41"/>
      <c r="L38" s="42"/>
    </row>
    <row r="39" spans="2:12" ht="20.149999999999999" customHeight="1" x14ac:dyDescent="0.45">
      <c r="B39" s="49"/>
      <c r="C39" s="50"/>
      <c r="D39" s="50"/>
      <c r="J39" s="50"/>
      <c r="K39" s="50"/>
      <c r="L39" s="51"/>
    </row>
    <row r="40" spans="2:12" ht="20.149999999999999" customHeight="1" x14ac:dyDescent="0.45">
      <c r="B40" s="41" t="s">
        <v>27</v>
      </c>
      <c r="J40" s="24" t="s">
        <v>28</v>
      </c>
      <c r="L40" s="42"/>
    </row>
    <row r="41" spans="2:12" ht="19" thickBot="1" x14ac:dyDescent="0.5">
      <c r="B41" s="52"/>
      <c r="C41" s="53"/>
      <c r="D41" s="53"/>
      <c r="E41" s="53"/>
      <c r="F41" s="53"/>
      <c r="G41" s="53"/>
      <c r="H41" s="53"/>
      <c r="I41" s="53"/>
      <c r="J41" s="53"/>
      <c r="K41" s="53"/>
      <c r="L41" s="54"/>
    </row>
  </sheetData>
  <mergeCells count="38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22:F22"/>
    <mergeCell ref="I22:J22"/>
    <mergeCell ref="D23:F23"/>
    <mergeCell ref="I23:J23"/>
    <mergeCell ref="D19:F19"/>
    <mergeCell ref="I19:J19"/>
    <mergeCell ref="D20:F20"/>
    <mergeCell ref="I20:J20"/>
    <mergeCell ref="D21:F21"/>
    <mergeCell ref="I21:J21"/>
    <mergeCell ref="D18:F18"/>
    <mergeCell ref="I18:J18"/>
    <mergeCell ref="D17:F17"/>
    <mergeCell ref="D24:F24"/>
    <mergeCell ref="I24:J24"/>
    <mergeCell ref="D25:F25"/>
    <mergeCell ref="I25:J25"/>
    <mergeCell ref="D26:F26"/>
    <mergeCell ref="I26:J26"/>
    <mergeCell ref="D27:F27"/>
    <mergeCell ref="I27:J27"/>
    <mergeCell ref="J29:K29"/>
    <mergeCell ref="J31:K31"/>
    <mergeCell ref="J33:K33"/>
  </mergeCells>
  <pageMargins left="0.70866141732283472" right="0.31496062992125984" top="0.59055118110236227" bottom="0" header="0.31496062992125984" footer="0.31496062992125984"/>
  <pageSetup paperSize="9" scale="74" orientation="portrait" verticalDpi="300" r:id="rId1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C7C33D-C211-4A3B-ADF2-B9ABC6ABCEA6}">
  <sheetPr codeName="Sheet67">
    <tabColor rgb="FFFFFF00"/>
    <pageSetUpPr fitToPage="1"/>
  </sheetPr>
  <dimension ref="B1:V50"/>
  <sheetViews>
    <sheetView workbookViewId="0">
      <selection activeCell="B1" sqref="B1:L8"/>
    </sheetView>
  </sheetViews>
  <sheetFormatPr defaultColWidth="12.54296875" defaultRowHeight="18.5" x14ac:dyDescent="0.45"/>
  <cols>
    <col min="1" max="1" width="12.54296875" style="24"/>
    <col min="2" max="3" width="12.54296875" style="24" customWidth="1"/>
    <col min="4" max="4" width="14.54296875" style="24" customWidth="1"/>
    <col min="5" max="5" width="1.54296875" style="24" customWidth="1"/>
    <col min="6" max="6" width="17.1796875" style="24" customWidth="1"/>
    <col min="7" max="7" width="8.54296875" style="24" customWidth="1"/>
    <col min="8" max="8" width="15.54296875" style="24" customWidth="1"/>
    <col min="9" max="9" width="2.1796875" style="81" customWidth="1"/>
    <col min="10" max="10" width="15.54296875" style="81" customWidth="1"/>
    <col min="11" max="11" width="10.54296875" style="24" customWidth="1"/>
    <col min="12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927</v>
      </c>
      <c r="J10" s="82" t="s">
        <v>29</v>
      </c>
      <c r="K10" s="452">
        <v>202112231</v>
      </c>
      <c r="L10" s="453"/>
    </row>
    <row r="11" spans="2:12" ht="20.149999999999999" customHeight="1" x14ac:dyDescent="0.45">
      <c r="B11" s="454"/>
      <c r="C11" s="455"/>
      <c r="D11" s="456"/>
      <c r="E11" s="30"/>
      <c r="F11" s="457" t="str">
        <f>VLOOKUP(H10,'Delivery Location'!A$4:N$416,2,0)</f>
        <v>IVY LIM 94881981                                                          50-A Lorong Marican Singapore 417233</v>
      </c>
      <c r="G11" s="458"/>
      <c r="H11" s="459"/>
      <c r="J11" s="83" t="s">
        <v>11</v>
      </c>
      <c r="K11" s="551" t="s">
        <v>2029</v>
      </c>
      <c r="L11" s="472"/>
    </row>
    <row r="12" spans="2:12" ht="20.149999999999999" customHeight="1" x14ac:dyDescent="0.45">
      <c r="B12" s="468"/>
      <c r="C12" s="469"/>
      <c r="D12" s="470"/>
      <c r="E12" s="30"/>
      <c r="F12" s="460"/>
      <c r="G12" s="461"/>
      <c r="H12" s="462"/>
      <c r="J12" s="83" t="s">
        <v>171</v>
      </c>
      <c r="K12" s="471" t="s">
        <v>533</v>
      </c>
      <c r="L12" s="472"/>
    </row>
    <row r="13" spans="2:12" ht="20.149999999999999" customHeight="1" x14ac:dyDescent="0.45">
      <c r="B13" s="468"/>
      <c r="C13" s="469"/>
      <c r="D13" s="470"/>
      <c r="E13" s="30"/>
      <c r="F13" s="460"/>
      <c r="G13" s="461"/>
      <c r="H13" s="462"/>
      <c r="J13" s="83" t="s">
        <v>12</v>
      </c>
      <c r="K13" s="471" t="s">
        <v>14</v>
      </c>
      <c r="L13" s="472"/>
    </row>
    <row r="14" spans="2:12" ht="20.149999999999999" customHeight="1" x14ac:dyDescent="0.45">
      <c r="B14" s="468"/>
      <c r="C14" s="469"/>
      <c r="D14" s="470"/>
      <c r="E14" s="30"/>
      <c r="F14" s="460"/>
      <c r="G14" s="461"/>
      <c r="H14" s="462"/>
      <c r="J14" s="83" t="s">
        <v>30</v>
      </c>
      <c r="K14" s="471" t="s">
        <v>16</v>
      </c>
      <c r="L14" s="472"/>
    </row>
    <row r="15" spans="2:12" ht="18" customHeight="1" thickBot="1" x14ac:dyDescent="0.5">
      <c r="B15" s="55"/>
      <c r="C15" s="56"/>
      <c r="D15" s="57"/>
      <c r="E15" s="26"/>
      <c r="F15" s="463"/>
      <c r="G15" s="464"/>
      <c r="H15" s="465"/>
      <c r="J15" s="84" t="s">
        <v>13</v>
      </c>
      <c r="K15" s="476"/>
      <c r="L15" s="477"/>
    </row>
    <row r="16" spans="2:12" ht="19" thickBot="1" x14ac:dyDescent="0.5">
      <c r="J16" s="85"/>
    </row>
    <row r="17" spans="2:22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3"/>
      <c r="O17" s="33"/>
    </row>
    <row r="18" spans="2:22" ht="20.149999999999999" customHeight="1" x14ac:dyDescent="0.45">
      <c r="B18" s="34"/>
      <c r="C18" s="22" t="s">
        <v>1446</v>
      </c>
      <c r="D18" s="508" t="str">
        <f>VLOOKUP(C18,'Sales Master'!B$3:D$499,2,)</f>
        <v>Fresh Soursop 红毛榴莲(无)</v>
      </c>
      <c r="E18" s="508"/>
      <c r="F18" s="508"/>
      <c r="G18" s="22">
        <v>1</v>
      </c>
      <c r="H18" s="68" t="str">
        <f>VLOOKUP(C18,'Sales Master'!$B$3:$F$755,5,0)</f>
        <v>BOX/盒</v>
      </c>
      <c r="I18" s="481" t="str">
        <f>VLOOKUP(C18,'Sales Master'!$B$3:$E$755,4,0)</f>
        <v>DO!</v>
      </c>
      <c r="J18" s="481"/>
      <c r="K18" s="98">
        <f>VLOOKUP(C18,'Sales Master'!$B$3:$BK$3161,62,0)</f>
        <v>9</v>
      </c>
      <c r="L18" s="77">
        <f>K18*G18</f>
        <v>9</v>
      </c>
      <c r="M18" s="78"/>
      <c r="N18" s="125" t="s">
        <v>447</v>
      </c>
      <c r="O18" s="24" t="s">
        <v>459</v>
      </c>
      <c r="R18" s="24">
        <v>2</v>
      </c>
      <c r="S18" s="24" t="s">
        <v>260</v>
      </c>
      <c r="T18" s="24" t="s">
        <v>709</v>
      </c>
      <c r="V18" s="24">
        <v>32</v>
      </c>
    </row>
    <row r="19" spans="2:22" ht="20.149999999999999" customHeight="1" x14ac:dyDescent="0.45">
      <c r="B19" s="34"/>
      <c r="C19" s="22" t="s">
        <v>1484</v>
      </c>
      <c r="D19" s="508" t="str">
        <f>VLOOKUP(C19,'Sales Master'!B$3:D$499,2,)</f>
        <v>Honey Pearl - Black 蜜糖珍珠</v>
      </c>
      <c r="E19" s="508"/>
      <c r="F19" s="508"/>
      <c r="G19" s="22">
        <v>1</v>
      </c>
      <c r="H19" s="68" t="str">
        <f>VLOOKUP(C19,'Sales Master'!$B$3:$F$755,5,0)</f>
        <v>1 kg/Bag</v>
      </c>
      <c r="I19" s="481" t="str">
        <f>VLOOKUP(C19,'Sales Master'!$B$3:$E$755,4,0)</f>
        <v>-</v>
      </c>
      <c r="J19" s="481"/>
      <c r="K19" s="98">
        <f>VLOOKUP(C19,'Sales Master'!$B$3:$BK$3161,62,0)</f>
        <v>7</v>
      </c>
      <c r="L19" s="77">
        <f t="shared" ref="L19:L24" si="0">K19*G19</f>
        <v>7</v>
      </c>
      <c r="N19" s="24" t="s">
        <v>438</v>
      </c>
      <c r="O19" s="24" t="s">
        <v>287</v>
      </c>
      <c r="R19" s="24">
        <v>2</v>
      </c>
      <c r="S19" s="24" t="s">
        <v>527</v>
      </c>
    </row>
    <row r="20" spans="2:22" ht="20.149999999999999" customHeight="1" x14ac:dyDescent="0.45">
      <c r="B20" s="34"/>
      <c r="C20" s="22" t="s">
        <v>1548</v>
      </c>
      <c r="D20" s="508" t="str">
        <f>VLOOKUP(C20,'Sales Master'!B$3:D$499,2,)</f>
        <v>Potato Starch 风车粉</v>
      </c>
      <c r="E20" s="508"/>
      <c r="F20" s="508"/>
      <c r="G20" s="22">
        <v>0</v>
      </c>
      <c r="H20" s="68" t="str">
        <f>VLOOKUP(C20,'Sales Master'!$B$3:$F$755,5,0)</f>
        <v>5 kg</v>
      </c>
      <c r="I20" s="481" t="str">
        <f>VLOOKUP(C20,'Sales Master'!$B$3:$E$755,4,0)</f>
        <v>RE-PACK</v>
      </c>
      <c r="J20" s="481"/>
      <c r="K20" s="98">
        <f>VLOOKUP(C20,'Sales Master'!$B$3:$BK$3161,62,0)</f>
        <v>14</v>
      </c>
      <c r="L20" s="77">
        <f t="shared" si="0"/>
        <v>0</v>
      </c>
      <c r="M20" s="78"/>
      <c r="N20" s="24" t="s">
        <v>417</v>
      </c>
      <c r="O20" s="24" t="s">
        <v>313</v>
      </c>
      <c r="R20" s="24">
        <v>1</v>
      </c>
      <c r="S20" s="24" t="s">
        <v>649</v>
      </c>
    </row>
    <row r="21" spans="2:22" ht="20.149999999999999" customHeight="1" x14ac:dyDescent="0.45">
      <c r="B21" s="34"/>
      <c r="C21" s="22" t="s">
        <v>1563</v>
      </c>
      <c r="D21" s="508" t="str">
        <f>VLOOKUP(C21,'Sales Master'!B$3:D$499,2,)</f>
        <v>Atap Seeds in Syrup亚嗒子</v>
      </c>
      <c r="E21" s="508"/>
      <c r="F21" s="508"/>
      <c r="G21" s="22">
        <v>1</v>
      </c>
      <c r="H21" s="68" t="str">
        <f>VLOOKUP(C21,'Sales Master'!$B$3:$F$755,5,0)</f>
        <v>NW (2.1:0.9) 3 kgs</v>
      </c>
      <c r="I21" s="481" t="str">
        <f>VLOOKUP(C21,'Sales Master'!$B$3:$E$755,4,0)</f>
        <v>DO!</v>
      </c>
      <c r="J21" s="481"/>
      <c r="K21" s="98">
        <f>VLOOKUP(C21,'Sales Master'!$B$3:$BK$3161,62,0)</f>
        <v>10.8</v>
      </c>
      <c r="L21" s="77">
        <f t="shared" si="0"/>
        <v>10.8</v>
      </c>
      <c r="M21" s="78"/>
      <c r="N21" s="24" t="s">
        <v>425</v>
      </c>
      <c r="O21" s="24" t="s">
        <v>321</v>
      </c>
      <c r="R21" s="24">
        <v>10</v>
      </c>
      <c r="S21" s="24" t="s">
        <v>257</v>
      </c>
      <c r="T21" s="24" t="s">
        <v>686</v>
      </c>
    </row>
    <row r="22" spans="2:22" ht="20.149999999999999" customHeight="1" x14ac:dyDescent="0.45">
      <c r="B22" s="80"/>
      <c r="C22" s="22" t="s">
        <v>1566</v>
      </c>
      <c r="D22" s="508" t="str">
        <f>VLOOKUP(C22,'Sales Master'!B$3:D$499,2,)</f>
        <v>Chin Chow  仙草</v>
      </c>
      <c r="E22" s="508"/>
      <c r="F22" s="508"/>
      <c r="G22" s="22">
        <v>2</v>
      </c>
      <c r="H22" s="68" t="str">
        <f>VLOOKUP(C22,'Sales Master'!$B$3:$F$755,5,0)</f>
        <v>5KGS/PKT</v>
      </c>
      <c r="I22" s="481" t="str">
        <f>VLOOKUP(C22,'Sales Master'!$B$3:$E$755,4,0)</f>
        <v>TSM</v>
      </c>
      <c r="J22" s="481"/>
      <c r="K22" s="98">
        <f>VLOOKUP(C22,'Sales Master'!$B$3:$BK$3161,62,0)</f>
        <v>5</v>
      </c>
      <c r="L22" s="77">
        <f t="shared" si="0"/>
        <v>10</v>
      </c>
      <c r="M22" s="78"/>
      <c r="N22" s="24" t="s">
        <v>453</v>
      </c>
      <c r="O22" s="24" t="s">
        <v>328</v>
      </c>
      <c r="R22" s="24">
        <v>2</v>
      </c>
      <c r="S22" s="24" t="s">
        <v>59</v>
      </c>
    </row>
    <row r="23" spans="2:22" ht="20.149999999999999" customHeight="1" x14ac:dyDescent="0.45">
      <c r="B23" s="34"/>
      <c r="C23" s="22" t="s">
        <v>1606</v>
      </c>
      <c r="D23" s="508" t="str">
        <f>VLOOKUP(C23,'Sales Master'!B$3:D$499,2,)</f>
        <v>White Wheat 大麦</v>
      </c>
      <c r="E23" s="508"/>
      <c r="F23" s="508"/>
      <c r="G23" s="22">
        <v>1</v>
      </c>
      <c r="H23" s="68" t="str">
        <f>VLOOKUP(C23,'Sales Master'!$B$3:$F$755,5,0)</f>
        <v>10PKT/BAG</v>
      </c>
      <c r="I23" s="481" t="str">
        <f>VLOOKUP(C23,'Sales Master'!$B$3:$E$755,4,0)</f>
        <v>-</v>
      </c>
      <c r="J23" s="481"/>
      <c r="K23" s="98">
        <f>VLOOKUP(C23,'Sales Master'!$B$3:$BK$3161,62,0)</f>
        <v>11</v>
      </c>
      <c r="L23" s="77">
        <f t="shared" si="0"/>
        <v>11</v>
      </c>
      <c r="M23" s="78"/>
      <c r="N23" s="24" t="s">
        <v>386</v>
      </c>
      <c r="O23" s="24" t="s">
        <v>284</v>
      </c>
      <c r="R23" s="24">
        <v>1</v>
      </c>
      <c r="S23" s="24" t="s">
        <v>36</v>
      </c>
      <c r="T23" s="24" t="s">
        <v>740</v>
      </c>
    </row>
    <row r="24" spans="2:22" ht="20.149999999999999" customHeight="1" x14ac:dyDescent="0.45">
      <c r="B24" s="34"/>
      <c r="C24" s="22" t="s">
        <v>1618</v>
      </c>
      <c r="D24" s="508" t="str">
        <f>VLOOKUP(C24,'Sales Master'!B$3:D$499,2,)</f>
        <v>Dried Longan 龙眼干</v>
      </c>
      <c r="E24" s="508"/>
      <c r="F24" s="508"/>
      <c r="G24" s="22">
        <v>1</v>
      </c>
      <c r="H24" s="68" t="str">
        <f>VLOOKUP(C24,'Sales Master'!$B$3:$F$755,5,0)</f>
        <v>1 kg</v>
      </c>
      <c r="I24" s="481" t="str">
        <f>VLOOKUP(C24,'Sales Master'!$B$3:$E$755,4,0)</f>
        <v>TL</v>
      </c>
      <c r="J24" s="481"/>
      <c r="K24" s="98">
        <f>VLOOKUP(C24,'Sales Master'!$B$3:$BK$3161,62,0)</f>
        <v>13</v>
      </c>
      <c r="L24" s="77">
        <f t="shared" si="0"/>
        <v>13</v>
      </c>
      <c r="M24" s="78"/>
      <c r="N24" s="24" t="s">
        <v>382</v>
      </c>
      <c r="O24" s="24" t="s">
        <v>285</v>
      </c>
      <c r="R24" s="24">
        <v>1</v>
      </c>
      <c r="S24" s="24" t="s">
        <v>535</v>
      </c>
      <c r="T24" s="24" t="s">
        <v>534</v>
      </c>
    </row>
    <row r="25" spans="2:22" ht="20.149999999999999" customHeight="1" x14ac:dyDescent="0.45">
      <c r="B25" s="34"/>
      <c r="C25" s="22"/>
      <c r="D25" s="508"/>
      <c r="E25" s="508"/>
      <c r="F25" s="508"/>
      <c r="G25" s="22"/>
      <c r="H25" s="68"/>
      <c r="I25" s="481"/>
      <c r="J25" s="481"/>
      <c r="K25" s="35"/>
      <c r="L25" s="123"/>
      <c r="M25" s="78"/>
      <c r="N25" s="24" t="s">
        <v>386</v>
      </c>
      <c r="O25" s="24" t="s">
        <v>605</v>
      </c>
      <c r="R25" s="24">
        <v>1</v>
      </c>
    </row>
    <row r="26" spans="2:22" ht="20.149999999999999" customHeight="1" x14ac:dyDescent="0.45">
      <c r="B26" s="34"/>
      <c r="C26" s="22"/>
      <c r="D26" s="508"/>
      <c r="E26" s="508"/>
      <c r="F26" s="508"/>
      <c r="G26" s="22"/>
      <c r="H26" s="68"/>
      <c r="I26" s="481"/>
      <c r="J26" s="481"/>
      <c r="K26" s="35"/>
      <c r="L26" s="123"/>
      <c r="M26" s="78"/>
      <c r="N26" s="24" t="s">
        <v>482</v>
      </c>
      <c r="O26" s="24" t="s">
        <v>322</v>
      </c>
      <c r="R26" s="24">
        <v>1</v>
      </c>
      <c r="S26" s="24" t="s">
        <v>873</v>
      </c>
      <c r="T26" s="24" t="s">
        <v>595</v>
      </c>
      <c r="V26" s="24">
        <v>38</v>
      </c>
    </row>
    <row r="27" spans="2:22" ht="20.149999999999999" customHeight="1" x14ac:dyDescent="0.45">
      <c r="B27" s="34"/>
      <c r="C27" s="22"/>
      <c r="D27" s="508"/>
      <c r="E27" s="508"/>
      <c r="F27" s="508"/>
      <c r="G27" s="22"/>
      <c r="H27" s="68"/>
      <c r="I27" s="481"/>
      <c r="J27" s="481"/>
      <c r="K27" s="35"/>
      <c r="L27" s="123"/>
      <c r="M27" s="78"/>
    </row>
    <row r="28" spans="2:22" ht="20.149999999999999" customHeight="1" x14ac:dyDescent="0.45">
      <c r="B28" s="34"/>
      <c r="C28" s="22"/>
      <c r="D28" s="508"/>
      <c r="E28" s="508"/>
      <c r="F28" s="508"/>
      <c r="G28" s="22"/>
      <c r="H28" s="68"/>
      <c r="I28" s="481"/>
      <c r="J28" s="481"/>
      <c r="K28" s="35"/>
      <c r="L28" s="123"/>
      <c r="M28" s="78"/>
    </row>
    <row r="29" spans="2:22" ht="20.149999999999999" customHeight="1" x14ac:dyDescent="0.45">
      <c r="B29" s="34"/>
      <c r="C29" s="22"/>
      <c r="D29" s="508"/>
      <c r="E29" s="508"/>
      <c r="F29" s="508"/>
      <c r="G29" s="22"/>
      <c r="H29" s="68"/>
      <c r="I29" s="481"/>
      <c r="J29" s="481"/>
      <c r="K29" s="35"/>
      <c r="L29" s="123"/>
      <c r="M29" s="78"/>
    </row>
    <row r="30" spans="2:22" ht="20.149999999999999" customHeight="1" x14ac:dyDescent="0.45">
      <c r="B30" s="34"/>
      <c r="C30" s="22"/>
      <c r="D30" s="508"/>
      <c r="E30" s="508"/>
      <c r="F30" s="508"/>
      <c r="G30" s="22"/>
      <c r="H30" s="68"/>
      <c r="I30" s="481"/>
      <c r="J30" s="481"/>
      <c r="K30" s="35"/>
      <c r="L30" s="123"/>
    </row>
    <row r="31" spans="2:22" ht="20.149999999999999" customHeight="1" x14ac:dyDescent="0.45">
      <c r="B31" s="34"/>
      <c r="C31" s="22"/>
      <c r="D31" s="508"/>
      <c r="E31" s="508"/>
      <c r="F31" s="508"/>
      <c r="G31" s="22"/>
      <c r="H31" s="68"/>
      <c r="I31" s="481"/>
      <c r="J31" s="481"/>
      <c r="K31" s="35"/>
      <c r="L31" s="123"/>
    </row>
    <row r="32" spans="2:22" ht="20.149999999999999" customHeight="1" x14ac:dyDescent="0.45">
      <c r="B32" s="34"/>
      <c r="C32" s="22"/>
      <c r="D32" s="508"/>
      <c r="E32" s="508"/>
      <c r="F32" s="508"/>
      <c r="G32" s="22"/>
      <c r="H32" s="68"/>
      <c r="I32" s="481"/>
      <c r="J32" s="481"/>
      <c r="K32" s="35"/>
      <c r="L32" s="123"/>
      <c r="M32" s="78"/>
    </row>
    <row r="33" spans="2:13" ht="20.149999999999999" customHeight="1" x14ac:dyDescent="0.45">
      <c r="B33" s="34"/>
      <c r="C33" s="22"/>
      <c r="D33" s="508"/>
      <c r="E33" s="508"/>
      <c r="F33" s="508"/>
      <c r="G33" s="22"/>
      <c r="H33" s="68"/>
      <c r="I33" s="481"/>
      <c r="J33" s="481"/>
      <c r="K33" s="35"/>
      <c r="L33" s="123"/>
      <c r="M33" s="78"/>
    </row>
    <row r="34" spans="2:13" ht="20.149999999999999" customHeight="1" x14ac:dyDescent="0.45">
      <c r="B34" s="34"/>
      <c r="C34" s="22"/>
      <c r="D34" s="508"/>
      <c r="E34" s="508"/>
      <c r="F34" s="508"/>
      <c r="G34" s="22"/>
      <c r="H34" s="68"/>
      <c r="I34" s="481"/>
      <c r="J34" s="481"/>
      <c r="K34" s="35"/>
      <c r="L34" s="123"/>
    </row>
    <row r="35" spans="2:13" ht="20.149999999999999" customHeight="1" x14ac:dyDescent="0.45">
      <c r="B35" s="34"/>
      <c r="C35" s="22"/>
      <c r="D35" s="508"/>
      <c r="E35" s="508"/>
      <c r="F35" s="508"/>
      <c r="G35" s="22"/>
      <c r="H35" s="68"/>
      <c r="I35" s="481"/>
      <c r="J35" s="481"/>
      <c r="K35" s="35"/>
      <c r="L35" s="123"/>
    </row>
    <row r="36" spans="2:13" ht="20.149999999999999" customHeight="1" thickBot="1" x14ac:dyDescent="0.5">
      <c r="B36" s="37"/>
      <c r="C36" s="38"/>
      <c r="D36" s="509"/>
      <c r="E36" s="509"/>
      <c r="F36" s="509"/>
      <c r="G36" s="38"/>
      <c r="H36" s="69"/>
      <c r="I36" s="557"/>
      <c r="J36" s="557"/>
      <c r="K36" s="39"/>
      <c r="L36" s="89"/>
    </row>
    <row r="37" spans="2:13" ht="20.149999999999999" customHeight="1" thickBot="1" x14ac:dyDescent="0.5">
      <c r="B37" s="41"/>
      <c r="L37" s="42"/>
    </row>
    <row r="38" spans="2:13" ht="20.149999999999999" customHeight="1" x14ac:dyDescent="0.45">
      <c r="B38" s="11" t="s">
        <v>18</v>
      </c>
      <c r="C38" s="7"/>
      <c r="D38" s="7"/>
      <c r="E38" s="7"/>
      <c r="F38" s="7"/>
      <c r="G38" s="7"/>
      <c r="H38" s="7"/>
      <c r="I38" s="86"/>
      <c r="J38" s="510" t="s">
        <v>15</v>
      </c>
      <c r="K38" s="511"/>
      <c r="L38" s="43">
        <f>SUM(L17:L35)</f>
        <v>60.8</v>
      </c>
      <c r="M38" s="76">
        <f>166+26</f>
        <v>192</v>
      </c>
    </row>
    <row r="39" spans="2:13" ht="20.149999999999999" customHeight="1" x14ac:dyDescent="0.45">
      <c r="B39" s="11" t="s">
        <v>19</v>
      </c>
      <c r="C39" s="7"/>
      <c r="D39" s="7"/>
      <c r="E39" s="7"/>
      <c r="F39" s="7"/>
      <c r="G39" s="7"/>
      <c r="H39" s="7"/>
      <c r="I39" s="86"/>
      <c r="J39" s="44" t="s">
        <v>22</v>
      </c>
      <c r="K39" s="45"/>
      <c r="L39" s="46">
        <f>L38*K39</f>
        <v>0</v>
      </c>
    </row>
    <row r="40" spans="2:13" ht="20.149999999999999" customHeight="1" x14ac:dyDescent="0.45">
      <c r="B40" s="11" t="s">
        <v>20</v>
      </c>
      <c r="C40" s="7"/>
      <c r="D40" s="7"/>
      <c r="E40" s="7"/>
      <c r="F40" s="7"/>
      <c r="G40" s="7"/>
      <c r="H40" s="7"/>
      <c r="I40" s="86"/>
      <c r="J40" s="486" t="s">
        <v>21</v>
      </c>
      <c r="K40" s="487"/>
      <c r="L40" s="46">
        <f>L38/107*100</f>
        <v>56.822429906542048</v>
      </c>
    </row>
    <row r="41" spans="2:13" ht="20.149999999999999" customHeight="1" x14ac:dyDescent="0.45">
      <c r="B41" s="11" t="s">
        <v>24</v>
      </c>
      <c r="C41" s="7"/>
      <c r="D41" s="7"/>
      <c r="E41" s="7"/>
      <c r="F41" s="7"/>
      <c r="G41" s="7"/>
      <c r="H41" s="7"/>
      <c r="I41" s="86"/>
      <c r="J41" s="150" t="s">
        <v>17</v>
      </c>
      <c r="K41" s="151">
        <v>7.0000000000000007E-2</v>
      </c>
      <c r="L41" s="47">
        <f>L40*K41</f>
        <v>3.9775700934579437</v>
      </c>
    </row>
    <row r="42" spans="2:13" ht="20.149999999999999" customHeight="1" thickBot="1" x14ac:dyDescent="0.5">
      <c r="B42" s="11" t="s">
        <v>25</v>
      </c>
      <c r="C42" s="7"/>
      <c r="D42" s="7"/>
      <c r="E42" s="7"/>
      <c r="F42" s="7"/>
      <c r="G42" s="7"/>
      <c r="H42" s="7"/>
      <c r="I42" s="86"/>
      <c r="J42" s="488" t="s">
        <v>23</v>
      </c>
      <c r="K42" s="489"/>
      <c r="L42" s="48">
        <f>L40+L41</f>
        <v>60.79999999999999</v>
      </c>
    </row>
    <row r="43" spans="2:13" ht="20.149999999999999" customHeight="1" x14ac:dyDescent="0.45">
      <c r="B43" s="11" t="s">
        <v>26</v>
      </c>
      <c r="C43" s="7"/>
      <c r="D43" s="7"/>
      <c r="E43" s="7"/>
      <c r="F43" s="7"/>
      <c r="G43" s="7"/>
      <c r="H43" s="7"/>
      <c r="I43" s="86"/>
      <c r="L43" s="42"/>
    </row>
    <row r="44" spans="2:13" ht="20.149999999999999" customHeight="1" x14ac:dyDescent="0.45">
      <c r="B44" s="41"/>
      <c r="L44" s="42"/>
    </row>
    <row r="45" spans="2:13" ht="20.149999999999999" customHeight="1" x14ac:dyDescent="0.45">
      <c r="B45" s="41"/>
      <c r="L45" s="42"/>
    </row>
    <row r="46" spans="2:13" ht="20.149999999999999" customHeight="1" x14ac:dyDescent="0.45">
      <c r="B46" s="41"/>
      <c r="L46" s="42"/>
    </row>
    <row r="47" spans="2:13" ht="20.149999999999999" customHeight="1" x14ac:dyDescent="0.45">
      <c r="B47" s="41"/>
      <c r="L47" s="42"/>
    </row>
    <row r="48" spans="2:13" ht="20.149999999999999" customHeight="1" x14ac:dyDescent="0.45">
      <c r="B48" s="49"/>
      <c r="C48" s="50"/>
      <c r="D48" s="50"/>
      <c r="J48" s="87"/>
      <c r="K48" s="50"/>
      <c r="L48" s="51"/>
    </row>
    <row r="49" spans="2:12" ht="20.149999999999999" customHeight="1" x14ac:dyDescent="0.45">
      <c r="B49" s="41" t="s">
        <v>27</v>
      </c>
      <c r="J49" s="81" t="s">
        <v>28</v>
      </c>
      <c r="L49" s="42"/>
    </row>
    <row r="50" spans="2:12" ht="19" thickBot="1" x14ac:dyDescent="0.5">
      <c r="B50" s="52"/>
      <c r="C50" s="53"/>
      <c r="D50" s="53"/>
      <c r="E50" s="53"/>
      <c r="F50" s="53"/>
      <c r="G50" s="53"/>
      <c r="H50" s="53"/>
      <c r="I50" s="88"/>
      <c r="J50" s="88"/>
      <c r="K50" s="53"/>
      <c r="L50" s="54"/>
    </row>
  </sheetData>
  <mergeCells count="55"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18:J18"/>
    <mergeCell ref="D20:F20"/>
    <mergeCell ref="I20:J20"/>
    <mergeCell ref="D21:F21"/>
    <mergeCell ref="I21:J21"/>
    <mergeCell ref="D19:F19"/>
    <mergeCell ref="I19:J19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D30:F30"/>
    <mergeCell ref="I30:J30"/>
    <mergeCell ref="D31:F31"/>
    <mergeCell ref="I31:J31"/>
    <mergeCell ref="D28:F28"/>
    <mergeCell ref="I28:J28"/>
    <mergeCell ref="D29:F29"/>
    <mergeCell ref="I29:J29"/>
    <mergeCell ref="D32:F32"/>
    <mergeCell ref="I32:J32"/>
    <mergeCell ref="D33:F33"/>
    <mergeCell ref="I33:J33"/>
    <mergeCell ref="D34:F34"/>
    <mergeCell ref="I34:J34"/>
    <mergeCell ref="J40:K40"/>
    <mergeCell ref="J42:K42"/>
    <mergeCell ref="D35:F35"/>
    <mergeCell ref="I35:J35"/>
    <mergeCell ref="D36:F36"/>
    <mergeCell ref="I36:J36"/>
    <mergeCell ref="J38:K38"/>
  </mergeCells>
  <pageMargins left="0.70866141732283505" right="0.31496062992126" top="0.59055118110236204" bottom="0" header="0.31496062992126" footer="0.31496062992126"/>
  <pageSetup paperSize="9" scale="76" orientation="portrait" horizontalDpi="300" verticalDpi="300" r:id="rId1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503098-E3F6-4764-AF93-3B77AECBFCCF}">
  <sheetPr codeName="Sheet68">
    <tabColor rgb="FFFFFF00"/>
    <pageSetUpPr fitToPage="1"/>
  </sheetPr>
  <dimension ref="B1:O45"/>
  <sheetViews>
    <sheetView workbookViewId="0">
      <selection activeCell="B1" sqref="B1:L45"/>
    </sheetView>
  </sheetViews>
  <sheetFormatPr defaultColWidth="12.54296875" defaultRowHeight="18.5" x14ac:dyDescent="0.45"/>
  <cols>
    <col min="1" max="1" width="12.54296875" style="24"/>
    <col min="2" max="3" width="12.54296875" style="24" customWidth="1"/>
    <col min="4" max="4" width="14.7265625" style="24" customWidth="1"/>
    <col min="5" max="5" width="1.54296875" style="24" customWidth="1"/>
    <col min="6" max="6" width="16.54296875" style="24" customWidth="1"/>
    <col min="7" max="7" width="8.54296875" style="24" customWidth="1"/>
    <col min="8" max="8" width="15.54296875" style="24" customWidth="1"/>
    <col min="9" max="9" width="2.54296875" style="24" customWidth="1"/>
    <col min="10" max="10" width="15.54296875" style="24" customWidth="1"/>
    <col min="11" max="11" width="10.54296875" style="24" customWidth="1"/>
    <col min="12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144</v>
      </c>
      <c r="J10" s="29" t="s">
        <v>29</v>
      </c>
      <c r="K10" s="452">
        <v>202109266</v>
      </c>
      <c r="L10" s="453"/>
    </row>
    <row r="11" spans="2:12" ht="20.149999999999999" customHeight="1" x14ac:dyDescent="0.45">
      <c r="B11" s="454" t="s">
        <v>1403</v>
      </c>
      <c r="C11" s="455"/>
      <c r="D11" s="456"/>
      <c r="E11" s="30"/>
      <c r="F11" s="457" t="str">
        <f>VLOOKUP(H10,'Delivery Location'!A$4:N$416,2,0)</f>
        <v>Drink &amp; Dessert Stall                                  Bugis Stall #16. 200 Victoria Street     #03-30. Bugis Junction. Singapore 188021</v>
      </c>
      <c r="G11" s="458"/>
      <c r="H11" s="459"/>
      <c r="J11" s="31" t="s">
        <v>11</v>
      </c>
      <c r="K11" s="551">
        <v>44456</v>
      </c>
      <c r="L11" s="472"/>
    </row>
    <row r="12" spans="2:12" ht="20.149999999999999" customHeight="1" x14ac:dyDescent="0.45">
      <c r="B12" s="468" t="s">
        <v>869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1981</v>
      </c>
      <c r="L12" s="472"/>
    </row>
    <row r="13" spans="2:12" ht="20.149999999999999" customHeight="1" x14ac:dyDescent="0.45">
      <c r="B13" s="468" t="s">
        <v>870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1166</v>
      </c>
      <c r="L13" s="472"/>
    </row>
    <row r="14" spans="2:12" ht="20.149999999999999" customHeight="1" x14ac:dyDescent="0.45">
      <c r="B14" s="468" t="s">
        <v>871</v>
      </c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473" t="s">
        <v>872</v>
      </c>
      <c r="C15" s="474"/>
      <c r="D15" s="475"/>
      <c r="E15" s="26"/>
      <c r="F15" s="463"/>
      <c r="G15" s="464"/>
      <c r="H15" s="465"/>
      <c r="J15" s="32" t="s">
        <v>13</v>
      </c>
      <c r="K15" s="182" t="s">
        <v>997</v>
      </c>
      <c r="L15" s="181"/>
    </row>
    <row r="16" spans="2:12" ht="19" thickBot="1" x14ac:dyDescent="0.5">
      <c r="J16" s="22"/>
    </row>
    <row r="17" spans="2:15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3"/>
      <c r="O17" s="33"/>
    </row>
    <row r="18" spans="2:15" ht="20.149999999999999" customHeight="1" x14ac:dyDescent="0.45">
      <c r="B18" s="70" t="s">
        <v>92</v>
      </c>
      <c r="C18" s="22" t="str">
        <f>VLOOKUP(B18,'Sales Master'!A$3:B$581,2,0)</f>
        <v>P3013A</v>
      </c>
      <c r="D18" s="508" t="str">
        <f>VLOOKUP(C18,'Sales Master'!B$3:D$499,2,)</f>
        <v>Black Glutinous Rice 黑糯米</v>
      </c>
      <c r="E18" s="508"/>
      <c r="F18" s="508"/>
      <c r="G18" s="90">
        <v>1</v>
      </c>
      <c r="H18" s="68" t="str">
        <f>VLOOKUP(C18,'Sales Master'!$B$3:$F$3182,5,0)</f>
        <v>5 kgs</v>
      </c>
      <c r="I18" s="481" t="str">
        <f>VLOOKUP(C18,'Sales Master'!$B$3:$E$3182,4,0)</f>
        <v>-</v>
      </c>
      <c r="J18" s="481"/>
      <c r="K18" s="35">
        <f>VLOOKUP(C18,'Sales Master'!B$3:I$581,8,0)</f>
        <v>18</v>
      </c>
      <c r="L18" s="123">
        <f t="shared" ref="L18:L23" si="0">K18*G18</f>
        <v>18</v>
      </c>
      <c r="M18" s="78"/>
    </row>
    <row r="19" spans="2:15" ht="20.149999999999999" customHeight="1" x14ac:dyDescent="0.45">
      <c r="B19" s="70" t="s">
        <v>114</v>
      </c>
      <c r="C19" s="22" t="str">
        <f>VLOOKUP(B19,'Sales Master'!A$3:B$581,2,0)</f>
        <v>P3018A</v>
      </c>
      <c r="D19" s="508" t="str">
        <f>VLOOKUP(C19,'Sales Master'!B$3:D$499,2,)</f>
        <v>Small Sago 小丸</v>
      </c>
      <c r="E19" s="508"/>
      <c r="F19" s="508"/>
      <c r="G19" s="90">
        <v>1</v>
      </c>
      <c r="H19" s="68" t="str">
        <f>VLOOKUP(C19,'Sales Master'!$B$3:$F$3182,5,0)</f>
        <v>5 kgs</v>
      </c>
      <c r="I19" s="481" t="str">
        <f>VLOOKUP(C19,'Sales Master'!$B$3:$E$3182,4,0)</f>
        <v>-</v>
      </c>
      <c r="J19" s="481"/>
      <c r="K19" s="35">
        <f>VLOOKUP(C19,'Sales Master'!B$3:I$581,8,0)</f>
        <v>10</v>
      </c>
      <c r="L19" s="123">
        <f t="shared" si="0"/>
        <v>10</v>
      </c>
      <c r="M19" s="78"/>
    </row>
    <row r="20" spans="2:15" ht="20.149999999999999" customHeight="1" x14ac:dyDescent="0.45">
      <c r="B20" s="70" t="s">
        <v>69</v>
      </c>
      <c r="C20" s="22" t="str">
        <f>VLOOKUP(B20,'Sales Master'!A$3:B$581,2,0)</f>
        <v>P3002</v>
      </c>
      <c r="D20" s="508" t="str">
        <f>VLOOKUP(C20,'Sales Master'!B$3:D$499,2,)</f>
        <v>Chin Chow  仙草</v>
      </c>
      <c r="E20" s="508"/>
      <c r="F20" s="508"/>
      <c r="G20" s="90">
        <v>1</v>
      </c>
      <c r="H20" s="68" t="str">
        <f>VLOOKUP(C20,'Sales Master'!$B$3:$F$3182,5,0)</f>
        <v>5KGS/PKT</v>
      </c>
      <c r="I20" s="481" t="str">
        <f>VLOOKUP(C20,'Sales Master'!$B$3:$E$3182,4,0)</f>
        <v>TSM</v>
      </c>
      <c r="J20" s="481"/>
      <c r="K20" s="35">
        <f>VLOOKUP(C20,'Sales Master'!B$3:I$581,8,0)</f>
        <v>4.5</v>
      </c>
      <c r="L20" s="123">
        <f t="shared" si="0"/>
        <v>4.5</v>
      </c>
      <c r="M20" s="78"/>
    </row>
    <row r="21" spans="2:15" ht="20.149999999999999" customHeight="1" x14ac:dyDescent="0.45">
      <c r="B21" s="70" t="s">
        <v>93</v>
      </c>
      <c r="C21" s="22" t="str">
        <f>VLOOKUP(B21,'Sales Master'!A$3:B$581,2,0)</f>
        <v>P3005A</v>
      </c>
      <c r="D21" s="508" t="str">
        <f>VLOOKUP(C21,'Sales Master'!B$3:D$499,2,)</f>
        <v>Red Bean红豆 (5.5 mm)</v>
      </c>
      <c r="E21" s="508"/>
      <c r="F21" s="508"/>
      <c r="G21" s="90">
        <v>1</v>
      </c>
      <c r="H21" s="68" t="str">
        <f>VLOOKUP(C21,'Sales Master'!$B$3:$F$3182,5,0)</f>
        <v>5 kgs</v>
      </c>
      <c r="I21" s="481" t="str">
        <f>VLOOKUP(C21,'Sales Master'!$B$3:$E$3182,4,0)</f>
        <v>-</v>
      </c>
      <c r="J21" s="481"/>
      <c r="K21" s="35">
        <f>VLOOKUP(C21,'Sales Master'!B$3:I$581,8,0)</f>
        <v>20</v>
      </c>
      <c r="L21" s="123">
        <f t="shared" si="0"/>
        <v>20</v>
      </c>
    </row>
    <row r="22" spans="2:15" ht="20.149999999999999" customHeight="1" x14ac:dyDescent="0.45">
      <c r="B22" s="70" t="s">
        <v>70</v>
      </c>
      <c r="C22" s="22" t="str">
        <f>VLOOKUP(B22,'Sales Master'!A$3:B$581,2,0)</f>
        <v>M1014</v>
      </c>
      <c r="D22" s="508" t="str">
        <f>VLOOKUP(C22,'Sales Master'!B$3:D$499,2,)</f>
        <v>Chendol浆咯</v>
      </c>
      <c r="E22" s="508"/>
      <c r="F22" s="508"/>
      <c r="G22" s="90">
        <v>1</v>
      </c>
      <c r="H22" s="68" t="str">
        <f>VLOOKUP(C22,'Sales Master'!$B$3:$F$3182,5,0)</f>
        <v>NW(2.2:0.8) 3 KG/BAG</v>
      </c>
      <c r="I22" s="481" t="str">
        <f>VLOOKUP(C22,'Sales Master'!$B$3:$E$3182,4,0)</f>
        <v>DO!</v>
      </c>
      <c r="J22" s="481"/>
      <c r="K22" s="35">
        <f>VLOOKUP(C22,'Sales Master'!B$3:I$581,8,0)</f>
        <v>6.5</v>
      </c>
      <c r="L22" s="123">
        <f t="shared" si="0"/>
        <v>6.5</v>
      </c>
    </row>
    <row r="23" spans="2:15" ht="20.149999999999999" customHeight="1" x14ac:dyDescent="0.45">
      <c r="B23" s="70" t="s">
        <v>74</v>
      </c>
      <c r="C23" s="22" t="str">
        <f>VLOOKUP(B23,'Sales Master'!A$3:B$581,2,0)</f>
        <v>P6007</v>
      </c>
      <c r="D23" s="508" t="str">
        <f>VLOOKUP(C23,'Sales Master'!B$3:D$499,2,)</f>
        <v>Pandan Leaf 班兰叶</v>
      </c>
      <c r="E23" s="508"/>
      <c r="F23" s="508"/>
      <c r="G23" s="90">
        <v>1</v>
      </c>
      <c r="H23" s="68" t="str">
        <f>VLOOKUP(C23,'Sales Master'!$B$3:$F$3182,5,0)</f>
        <v>1 kg</v>
      </c>
      <c r="I23" s="481" t="str">
        <f>VLOOKUP(C23,'Sales Master'!$B$3:$E$3182,4,0)</f>
        <v>-</v>
      </c>
      <c r="J23" s="481"/>
      <c r="K23" s="35">
        <f>VLOOKUP(C23,'Sales Master'!B$3:I$581,8,0)</f>
        <v>1.8</v>
      </c>
      <c r="L23" s="123">
        <f t="shared" si="0"/>
        <v>1.8</v>
      </c>
    </row>
    <row r="24" spans="2:15" ht="20.149999999999999" customHeight="1" x14ac:dyDescent="0.45">
      <c r="B24" s="70"/>
      <c r="C24" s="22"/>
      <c r="D24" s="508"/>
      <c r="E24" s="508"/>
      <c r="F24" s="508"/>
      <c r="G24" s="90"/>
      <c r="H24" s="68"/>
      <c r="I24" s="481"/>
      <c r="J24" s="481"/>
      <c r="K24" s="35"/>
      <c r="L24" s="123"/>
    </row>
    <row r="25" spans="2:15" ht="20.149999999999999" customHeight="1" x14ac:dyDescent="0.45">
      <c r="B25" s="70"/>
      <c r="C25" s="22"/>
      <c r="D25" s="508"/>
      <c r="E25" s="508"/>
      <c r="F25" s="508"/>
      <c r="G25" s="90"/>
      <c r="H25" s="68"/>
      <c r="I25" s="481"/>
      <c r="J25" s="481"/>
      <c r="K25" s="35"/>
      <c r="L25" s="123"/>
    </row>
    <row r="26" spans="2:15" ht="20.149999999999999" customHeight="1" x14ac:dyDescent="0.45">
      <c r="B26" s="70"/>
      <c r="C26" s="22"/>
      <c r="D26" s="508"/>
      <c r="E26" s="508"/>
      <c r="F26" s="508"/>
      <c r="G26" s="90"/>
      <c r="H26" s="68"/>
      <c r="I26" s="481"/>
      <c r="J26" s="481"/>
      <c r="K26" s="35"/>
      <c r="L26" s="123"/>
    </row>
    <row r="27" spans="2:15" ht="20.149999999999999" customHeight="1" x14ac:dyDescent="0.45">
      <c r="B27" s="70"/>
      <c r="C27" s="22"/>
      <c r="D27" s="508"/>
      <c r="E27" s="508"/>
      <c r="F27" s="508"/>
      <c r="G27" s="90"/>
      <c r="H27" s="68"/>
      <c r="I27" s="481"/>
      <c r="J27" s="481"/>
      <c r="K27" s="35"/>
      <c r="L27" s="123"/>
    </row>
    <row r="28" spans="2:15" ht="20.149999999999999" customHeight="1" x14ac:dyDescent="0.45">
      <c r="B28" s="70"/>
      <c r="C28" s="22"/>
      <c r="D28" s="508"/>
      <c r="E28" s="508"/>
      <c r="F28" s="508"/>
      <c r="G28" s="90"/>
      <c r="H28" s="68"/>
      <c r="I28" s="481"/>
      <c r="J28" s="481"/>
      <c r="K28" s="35"/>
      <c r="L28" s="123"/>
    </row>
    <row r="29" spans="2:15" ht="20.149999999999999" customHeight="1" x14ac:dyDescent="0.45">
      <c r="B29" s="70"/>
      <c r="C29" s="22"/>
      <c r="D29" s="508"/>
      <c r="E29" s="508"/>
      <c r="F29" s="508"/>
      <c r="G29" s="90"/>
      <c r="H29" s="68"/>
      <c r="I29" s="481"/>
      <c r="J29" s="481"/>
      <c r="K29" s="35"/>
      <c r="L29" s="77"/>
    </row>
    <row r="30" spans="2:15" ht="20.149999999999999" customHeight="1" x14ac:dyDescent="0.45">
      <c r="B30" s="70"/>
      <c r="C30" s="22"/>
      <c r="D30" s="508"/>
      <c r="E30" s="508"/>
      <c r="F30" s="508"/>
      <c r="G30" s="90"/>
      <c r="H30" s="68"/>
      <c r="I30" s="481"/>
      <c r="J30" s="481"/>
      <c r="K30" s="35"/>
      <c r="L30" s="77"/>
    </row>
    <row r="31" spans="2:15" ht="20.149999999999999" customHeight="1" thickBot="1" x14ac:dyDescent="0.5">
      <c r="B31" s="37"/>
      <c r="C31" s="38"/>
      <c r="D31" s="509"/>
      <c r="E31" s="509"/>
      <c r="F31" s="509"/>
      <c r="G31" s="38"/>
      <c r="H31" s="69"/>
      <c r="I31" s="451"/>
      <c r="J31" s="451"/>
      <c r="K31" s="39"/>
      <c r="L31" s="40"/>
    </row>
    <row r="32" spans="2:15" ht="20.149999999999999" customHeight="1" thickBot="1" x14ac:dyDescent="0.5">
      <c r="B32" s="41"/>
      <c r="L32" s="42"/>
      <c r="N32" s="76">
        <f>L33-129.5</f>
        <v>-68.7</v>
      </c>
    </row>
    <row r="33" spans="2:13" ht="20.149999999999999" customHeight="1" x14ac:dyDescent="0.45">
      <c r="B33" s="11" t="s">
        <v>18</v>
      </c>
      <c r="C33" s="7"/>
      <c r="D33" s="7"/>
      <c r="E33" s="7"/>
      <c r="F33" s="7"/>
      <c r="G33" s="7"/>
      <c r="H33" s="7"/>
      <c r="I33" s="7"/>
      <c r="J33" s="510" t="s">
        <v>15</v>
      </c>
      <c r="K33" s="511"/>
      <c r="L33" s="43">
        <f>SUM(L17:L31)</f>
        <v>60.8</v>
      </c>
      <c r="M33" s="76">
        <f>L33-858</f>
        <v>-797.2</v>
      </c>
    </row>
    <row r="34" spans="2:13" ht="20.149999999999999" customHeight="1" x14ac:dyDescent="0.45">
      <c r="B34" s="11" t="s">
        <v>19</v>
      </c>
      <c r="C34" s="7"/>
      <c r="D34" s="7"/>
      <c r="E34" s="7"/>
      <c r="F34" s="7"/>
      <c r="G34" s="7"/>
      <c r="H34" s="7"/>
      <c r="I34" s="7"/>
      <c r="J34" s="44" t="s">
        <v>22</v>
      </c>
      <c r="K34" s="45"/>
      <c r="L34" s="46">
        <f>L33*K34</f>
        <v>0</v>
      </c>
    </row>
    <row r="35" spans="2:13" ht="20.149999999999999" customHeight="1" x14ac:dyDescent="0.45">
      <c r="B35" s="11" t="s">
        <v>20</v>
      </c>
      <c r="C35" s="7"/>
      <c r="D35" s="7"/>
      <c r="E35" s="7"/>
      <c r="F35" s="7"/>
      <c r="G35" s="7"/>
      <c r="H35" s="7"/>
      <c r="I35" s="7"/>
      <c r="J35" s="486" t="s">
        <v>21</v>
      </c>
      <c r="K35" s="487"/>
      <c r="L35" s="46">
        <f>L33-L34</f>
        <v>60.8</v>
      </c>
    </row>
    <row r="36" spans="2:13" ht="20.149999999999999" customHeight="1" x14ac:dyDescent="0.45">
      <c r="B36" s="11" t="s">
        <v>24</v>
      </c>
      <c r="C36" s="7"/>
      <c r="D36" s="7"/>
      <c r="E36" s="7"/>
      <c r="F36" s="7"/>
      <c r="G36" s="7"/>
      <c r="H36" s="7"/>
      <c r="I36" s="7"/>
      <c r="J36" s="150" t="s">
        <v>17</v>
      </c>
      <c r="K36" s="151">
        <v>7.0000000000000007E-2</v>
      </c>
      <c r="L36" s="47">
        <f>L35*K36</f>
        <v>4.2560000000000002</v>
      </c>
    </row>
    <row r="37" spans="2:13" ht="20.149999999999999" customHeight="1" thickBot="1" x14ac:dyDescent="0.5">
      <c r="B37" s="11" t="s">
        <v>25</v>
      </c>
      <c r="C37" s="7"/>
      <c r="D37" s="7"/>
      <c r="E37" s="7"/>
      <c r="F37" s="7"/>
      <c r="G37" s="7"/>
      <c r="H37" s="7"/>
      <c r="I37" s="7"/>
      <c r="J37" s="488" t="s">
        <v>23</v>
      </c>
      <c r="K37" s="489"/>
      <c r="L37" s="48">
        <f>L35+L36</f>
        <v>65.055999999999997</v>
      </c>
    </row>
    <row r="38" spans="2:13" ht="20.149999999999999" customHeight="1" x14ac:dyDescent="0.45">
      <c r="B38" s="11" t="s">
        <v>26</v>
      </c>
      <c r="C38" s="7"/>
      <c r="D38" s="7"/>
      <c r="E38" s="7"/>
      <c r="F38" s="7"/>
      <c r="G38" s="7"/>
      <c r="H38" s="7"/>
      <c r="I38" s="7"/>
      <c r="L38" s="42"/>
    </row>
    <row r="39" spans="2:13" ht="20.149999999999999" customHeight="1" x14ac:dyDescent="0.45">
      <c r="B39" s="224" t="s">
        <v>1379</v>
      </c>
      <c r="L39" s="42"/>
    </row>
    <row r="40" spans="2:13" ht="20.149999999999999" customHeight="1" x14ac:dyDescent="0.45">
      <c r="B40" s="41"/>
      <c r="L40" s="42"/>
    </row>
    <row r="41" spans="2:13" ht="20.149999999999999" customHeight="1" x14ac:dyDescent="0.45">
      <c r="B41" s="41"/>
      <c r="L41" s="42"/>
    </row>
    <row r="42" spans="2:13" ht="20.149999999999999" customHeight="1" x14ac:dyDescent="0.45">
      <c r="B42" s="41"/>
      <c r="L42" s="42"/>
    </row>
    <row r="43" spans="2:13" ht="20.149999999999999" customHeight="1" x14ac:dyDescent="0.45">
      <c r="B43" s="49"/>
      <c r="C43" s="50"/>
      <c r="D43" s="50"/>
      <c r="J43" s="50"/>
      <c r="K43" s="50"/>
      <c r="L43" s="51"/>
    </row>
    <row r="44" spans="2:13" ht="20.149999999999999" customHeight="1" x14ac:dyDescent="0.45">
      <c r="B44" s="41" t="s">
        <v>27</v>
      </c>
      <c r="J44" s="24" t="s">
        <v>28</v>
      </c>
      <c r="L44" s="42"/>
    </row>
    <row r="45" spans="2:13" ht="19" thickBot="1" x14ac:dyDescent="0.5">
      <c r="B45" s="52"/>
      <c r="C45" s="53"/>
      <c r="D45" s="53"/>
      <c r="E45" s="53"/>
      <c r="F45" s="53"/>
      <c r="G45" s="53"/>
      <c r="H45" s="53"/>
      <c r="I45" s="53"/>
      <c r="J45" s="53"/>
      <c r="K45" s="53"/>
      <c r="L45" s="54"/>
    </row>
  </sheetData>
  <mergeCells count="45">
    <mergeCell ref="B1:L8"/>
    <mergeCell ref="D30:F30"/>
    <mergeCell ref="I30:J30"/>
    <mergeCell ref="D22:F22"/>
    <mergeCell ref="I22:J22"/>
    <mergeCell ref="D25:F25"/>
    <mergeCell ref="I25:J25"/>
    <mergeCell ref="D29:F29"/>
    <mergeCell ref="I29:J29"/>
    <mergeCell ref="D28:F28"/>
    <mergeCell ref="I28:J28"/>
    <mergeCell ref="D24:F24"/>
    <mergeCell ref="I24:J24"/>
    <mergeCell ref="D26:F26"/>
    <mergeCell ref="I26:J26"/>
    <mergeCell ref="D27:F27"/>
    <mergeCell ref="I27:J27"/>
    <mergeCell ref="J37:K37"/>
    <mergeCell ref="D31:F31"/>
    <mergeCell ref="I31:J31"/>
    <mergeCell ref="J33:K33"/>
    <mergeCell ref="J35:K35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D17:F17"/>
    <mergeCell ref="I17:J17"/>
    <mergeCell ref="I18:J18"/>
    <mergeCell ref="D19:F19"/>
    <mergeCell ref="I19:J19"/>
    <mergeCell ref="D18:F18"/>
    <mergeCell ref="D23:F23"/>
    <mergeCell ref="I23:J23"/>
    <mergeCell ref="D21:F21"/>
    <mergeCell ref="I21:J21"/>
    <mergeCell ref="D20:F20"/>
    <mergeCell ref="I20:J20"/>
  </mergeCells>
  <hyperlinks>
    <hyperlink ref="B15" r:id="rId1" xr:uid="{98EA0E2D-208D-48E5-B4D5-F605C7260607}"/>
  </hyperlinks>
  <pageMargins left="0.70866141732283472" right="0.31496062992125984" top="0.59055118110236227" bottom="0" header="0.31496062992125984" footer="0.31496062992125984"/>
  <pageSetup paperSize="9" scale="74" orientation="portrait" verticalDpi="300" r:id="rId2"/>
  <drawing r:id="rId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F4319C-8706-4030-ABB3-C175922E0D23}">
  <sheetPr codeName="Sheet69">
    <tabColor rgb="FFFFFF00"/>
    <pageSetUpPr fitToPage="1"/>
  </sheetPr>
  <dimension ref="B1:O50"/>
  <sheetViews>
    <sheetView workbookViewId="0">
      <selection activeCell="F11" sqref="F11:H15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7.453125" style="24" customWidth="1"/>
    <col min="7" max="7" width="8.54296875" style="24" customWidth="1"/>
    <col min="8" max="8" width="15.54296875" style="24" customWidth="1"/>
    <col min="9" max="9" width="2.54296875" style="24" customWidth="1"/>
    <col min="10" max="10" width="15.54296875" style="24" customWidth="1"/>
    <col min="11" max="11" width="10.54296875" style="24" customWidth="1"/>
    <col min="12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1395</v>
      </c>
      <c r="J10" s="29" t="s">
        <v>29</v>
      </c>
      <c r="K10" s="452">
        <v>202103008</v>
      </c>
      <c r="L10" s="453"/>
    </row>
    <row r="11" spans="2:12" ht="20.149999999999999" customHeight="1" x14ac:dyDescent="0.45">
      <c r="B11" s="454" t="s">
        <v>1397</v>
      </c>
      <c r="C11" s="455"/>
      <c r="D11" s="456"/>
      <c r="E11" s="30"/>
      <c r="F11" s="457" t="str">
        <f>VLOOKUP(H10,'Delivery Location'!A$4:N$416,2,0)</f>
        <v>Circle In The Box                                                                            183 Jalan Pelikat, The Promonade        B1-28. Singapore 537643</v>
      </c>
      <c r="G11" s="458"/>
      <c r="H11" s="459"/>
      <c r="J11" s="31" t="s">
        <v>11</v>
      </c>
      <c r="K11" s="551">
        <v>44086</v>
      </c>
      <c r="L11" s="472"/>
    </row>
    <row r="12" spans="2:12" ht="20.149999999999999" customHeight="1" x14ac:dyDescent="0.45">
      <c r="B12" s="468" t="s">
        <v>1398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533</v>
      </c>
      <c r="L12" s="472"/>
    </row>
    <row r="13" spans="2:12" ht="20.149999999999999" customHeight="1" x14ac:dyDescent="0.45">
      <c r="B13" s="468"/>
      <c r="C13" s="469"/>
      <c r="D13" s="470"/>
      <c r="E13" s="30"/>
      <c r="F13" s="460"/>
      <c r="G13" s="461"/>
      <c r="H13" s="462"/>
      <c r="J13" s="31" t="s">
        <v>12</v>
      </c>
      <c r="K13" s="471" t="s">
        <v>688</v>
      </c>
      <c r="L13" s="472"/>
    </row>
    <row r="14" spans="2:12" ht="20.149999999999999" customHeight="1" x14ac:dyDescent="0.45">
      <c r="B14" s="468"/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552"/>
      <c r="C15" s="474"/>
      <c r="D15" s="475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15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3"/>
      <c r="O17" s="33"/>
    </row>
    <row r="18" spans="2:15" ht="20.149999999999999" customHeight="1" x14ac:dyDescent="0.45">
      <c r="B18" s="70"/>
      <c r="C18" s="22" t="s">
        <v>475</v>
      </c>
      <c r="D18" s="508" t="e">
        <f>VLOOKUP(C18,'Sales Master'!B$3:D$499,2,)</f>
        <v>#N/A</v>
      </c>
      <c r="E18" s="508"/>
      <c r="F18" s="508"/>
      <c r="G18" s="90">
        <v>2</v>
      </c>
      <c r="H18" s="68" t="e">
        <f>VLOOKUP(C18,'Sales Master'!$B$3:$F$3179,5,0)</f>
        <v>#N/A</v>
      </c>
      <c r="I18" s="481" t="e">
        <f>VLOOKUP(C18,'Sales Master'!$B$3:$E$3179,4,0)</f>
        <v>#N/A</v>
      </c>
      <c r="J18" s="481"/>
      <c r="K18" s="98" t="e">
        <f>VLOOKUP(C18,'Sales Master'!B3:$BV$3199,73,0)</f>
        <v>#N/A</v>
      </c>
      <c r="L18" s="99" t="e">
        <f>K18*G18</f>
        <v>#N/A</v>
      </c>
      <c r="M18" s="78"/>
    </row>
    <row r="19" spans="2:15" ht="20.149999999999999" customHeight="1" x14ac:dyDescent="0.45">
      <c r="B19" s="70"/>
      <c r="C19" s="22"/>
      <c r="D19" s="508"/>
      <c r="E19" s="508"/>
      <c r="F19" s="508"/>
      <c r="G19" s="90"/>
      <c r="H19" s="68"/>
      <c r="I19" s="481"/>
      <c r="J19" s="481"/>
      <c r="K19" s="98"/>
      <c r="L19" s="99"/>
      <c r="M19" s="78"/>
    </row>
    <row r="20" spans="2:15" ht="20.149999999999999" customHeight="1" x14ac:dyDescent="0.45">
      <c r="B20" s="70"/>
      <c r="C20" s="22"/>
      <c r="D20" s="508"/>
      <c r="E20" s="508"/>
      <c r="F20" s="508"/>
      <c r="G20" s="90"/>
      <c r="H20" s="97"/>
      <c r="I20" s="506"/>
      <c r="J20" s="506"/>
      <c r="K20" s="98"/>
      <c r="L20" s="99"/>
      <c r="M20" s="78"/>
    </row>
    <row r="21" spans="2:15" ht="20.149999999999999" customHeight="1" x14ac:dyDescent="0.45">
      <c r="B21" s="70"/>
      <c r="C21" s="22"/>
      <c r="D21" s="508"/>
      <c r="E21" s="508"/>
      <c r="F21" s="508"/>
      <c r="G21" s="90"/>
      <c r="H21" s="97"/>
      <c r="I21" s="506"/>
      <c r="J21" s="506"/>
      <c r="K21" s="98"/>
      <c r="L21" s="99"/>
      <c r="M21" s="78"/>
    </row>
    <row r="22" spans="2:15" ht="20.149999999999999" customHeight="1" x14ac:dyDescent="0.45">
      <c r="B22" s="70"/>
      <c r="C22" s="22"/>
      <c r="D22" s="508"/>
      <c r="E22" s="508"/>
      <c r="F22" s="508"/>
      <c r="G22" s="90"/>
      <c r="H22" s="97"/>
      <c r="I22" s="506"/>
      <c r="J22" s="506"/>
      <c r="K22" s="98"/>
      <c r="L22" s="99"/>
      <c r="M22" s="78"/>
    </row>
    <row r="23" spans="2:15" ht="20.149999999999999" customHeight="1" x14ac:dyDescent="0.45">
      <c r="B23" s="70"/>
      <c r="C23" s="22"/>
      <c r="D23" s="508"/>
      <c r="E23" s="508"/>
      <c r="F23" s="508"/>
      <c r="G23" s="90"/>
      <c r="H23" s="97"/>
      <c r="I23" s="506"/>
      <c r="J23" s="506"/>
      <c r="K23" s="98"/>
      <c r="L23" s="99"/>
      <c r="M23" s="78"/>
    </row>
    <row r="24" spans="2:15" ht="20.149999999999999" customHeight="1" x14ac:dyDescent="0.45">
      <c r="B24" s="70"/>
      <c r="C24" s="22"/>
      <c r="D24" s="508"/>
      <c r="E24" s="508"/>
      <c r="F24" s="508"/>
      <c r="G24" s="90"/>
      <c r="H24" s="97"/>
      <c r="I24" s="506"/>
      <c r="J24" s="506"/>
      <c r="K24" s="98"/>
      <c r="L24" s="99"/>
      <c r="M24" s="78"/>
    </row>
    <row r="25" spans="2:15" ht="20.149999999999999" customHeight="1" x14ac:dyDescent="0.5">
      <c r="B25" s="70"/>
      <c r="C25" s="22"/>
      <c r="D25" s="508"/>
      <c r="E25" s="508"/>
      <c r="F25" s="508"/>
      <c r="G25" s="100"/>
      <c r="H25" s="97"/>
      <c r="I25" s="506"/>
      <c r="J25" s="506"/>
      <c r="K25" s="98"/>
      <c r="L25" s="99"/>
      <c r="M25" s="78"/>
    </row>
    <row r="26" spans="2:15" ht="20.149999999999999" customHeight="1" x14ac:dyDescent="0.45">
      <c r="B26" s="70"/>
      <c r="C26" s="22"/>
      <c r="D26" s="508"/>
      <c r="E26" s="508"/>
      <c r="F26" s="508"/>
      <c r="G26" s="90"/>
      <c r="H26" s="97"/>
      <c r="I26" s="506"/>
      <c r="J26" s="506"/>
      <c r="K26" s="98"/>
      <c r="L26" s="99"/>
      <c r="M26" s="78"/>
    </row>
    <row r="27" spans="2:15" ht="20.149999999999999" customHeight="1" x14ac:dyDescent="0.45">
      <c r="B27" s="70"/>
      <c r="C27" s="22"/>
      <c r="D27" s="508"/>
      <c r="E27" s="508"/>
      <c r="F27" s="508"/>
      <c r="G27" s="90"/>
      <c r="H27" s="97"/>
      <c r="I27" s="506"/>
      <c r="J27" s="506"/>
      <c r="K27" s="98"/>
      <c r="L27" s="99"/>
      <c r="M27" s="78"/>
    </row>
    <row r="28" spans="2:15" ht="20.149999999999999" customHeight="1" x14ac:dyDescent="0.45">
      <c r="B28" s="70"/>
      <c r="C28" s="22"/>
      <c r="D28" s="508"/>
      <c r="E28" s="508"/>
      <c r="F28" s="508"/>
      <c r="G28" s="90"/>
      <c r="H28" s="97"/>
      <c r="I28" s="506"/>
      <c r="J28" s="506"/>
      <c r="K28" s="98"/>
      <c r="L28" s="99"/>
      <c r="M28" s="78"/>
    </row>
    <row r="29" spans="2:15" ht="20.149999999999999" customHeight="1" x14ac:dyDescent="0.45">
      <c r="B29" s="70"/>
      <c r="C29" s="22"/>
      <c r="D29" s="508"/>
      <c r="E29" s="508"/>
      <c r="F29" s="508"/>
      <c r="G29" s="90"/>
      <c r="H29" s="97"/>
      <c r="I29" s="506"/>
      <c r="J29" s="506"/>
      <c r="K29" s="98"/>
      <c r="L29" s="99"/>
    </row>
    <row r="30" spans="2:15" ht="20.149999999999999" customHeight="1" x14ac:dyDescent="0.45">
      <c r="B30" s="70"/>
      <c r="C30" s="22"/>
      <c r="D30" s="508"/>
      <c r="E30" s="508"/>
      <c r="F30" s="508"/>
      <c r="G30" s="90"/>
      <c r="H30" s="97"/>
      <c r="I30" s="506"/>
      <c r="J30" s="506"/>
      <c r="K30" s="98"/>
      <c r="L30" s="99"/>
      <c r="M30" s="78"/>
    </row>
    <row r="31" spans="2:15" ht="20.149999999999999" customHeight="1" x14ac:dyDescent="0.45">
      <c r="B31" s="70"/>
      <c r="C31" s="22"/>
      <c r="D31" s="508"/>
      <c r="E31" s="508"/>
      <c r="F31" s="508"/>
      <c r="G31" s="90"/>
      <c r="H31" s="97"/>
      <c r="I31" s="506"/>
      <c r="J31" s="506"/>
      <c r="K31" s="98"/>
      <c r="L31" s="99"/>
      <c r="M31" s="78"/>
    </row>
    <row r="32" spans="2:15" ht="20.149999999999999" customHeight="1" x14ac:dyDescent="0.45">
      <c r="B32" s="70"/>
      <c r="C32" s="22"/>
      <c r="D32" s="508"/>
      <c r="E32" s="508"/>
      <c r="F32" s="508"/>
      <c r="G32" s="90"/>
      <c r="H32" s="97"/>
      <c r="I32" s="506"/>
      <c r="J32" s="506"/>
      <c r="K32" s="98"/>
      <c r="L32" s="99"/>
      <c r="M32" s="78"/>
    </row>
    <row r="33" spans="2:13" ht="20.149999999999999" customHeight="1" x14ac:dyDescent="0.45">
      <c r="B33" s="70"/>
      <c r="C33" s="22"/>
      <c r="D33" s="508"/>
      <c r="E33" s="508"/>
      <c r="F33" s="508"/>
      <c r="G33" s="90"/>
      <c r="H33" s="97"/>
      <c r="I33" s="506"/>
      <c r="J33" s="506"/>
      <c r="K33" s="98"/>
      <c r="L33" s="99"/>
      <c r="M33" s="78"/>
    </row>
    <row r="34" spans="2:13" ht="20.149999999999999" customHeight="1" x14ac:dyDescent="0.45">
      <c r="B34" s="70"/>
      <c r="C34" s="22"/>
      <c r="D34" s="508"/>
      <c r="E34" s="508"/>
      <c r="F34" s="508"/>
      <c r="G34" s="90"/>
      <c r="H34" s="97"/>
      <c r="I34" s="506"/>
      <c r="J34" s="506"/>
      <c r="K34" s="98"/>
      <c r="L34" s="99"/>
      <c r="M34" s="78"/>
    </row>
    <row r="35" spans="2:13" ht="20.149999999999999" customHeight="1" x14ac:dyDescent="0.45">
      <c r="B35" s="70"/>
      <c r="C35" s="22"/>
      <c r="D35" s="508"/>
      <c r="E35" s="508"/>
      <c r="F35" s="508"/>
      <c r="G35" s="90"/>
      <c r="H35" s="97"/>
      <c r="I35" s="506"/>
      <c r="J35" s="506"/>
      <c r="K35" s="98"/>
      <c r="L35" s="99"/>
      <c r="M35" s="78"/>
    </row>
    <row r="36" spans="2:13" ht="20.149999999999999" customHeight="1" x14ac:dyDescent="0.45">
      <c r="B36" s="70"/>
      <c r="C36" s="22"/>
      <c r="D36" s="508"/>
      <c r="E36" s="508"/>
      <c r="F36" s="508"/>
      <c r="G36" s="90"/>
      <c r="H36" s="97"/>
      <c r="I36" s="578"/>
      <c r="J36" s="578"/>
      <c r="K36" s="98"/>
      <c r="L36" s="99"/>
    </row>
    <row r="37" spans="2:13" ht="20.149999999999999" customHeight="1" thickBot="1" x14ac:dyDescent="0.5">
      <c r="B37" s="52"/>
      <c r="C37" s="53"/>
      <c r="D37" s="53"/>
      <c r="E37" s="53"/>
      <c r="F37" s="53"/>
      <c r="G37" s="53"/>
      <c r="H37" s="53"/>
      <c r="I37" s="53"/>
      <c r="J37" s="53"/>
      <c r="K37" s="53"/>
      <c r="L37" s="54"/>
    </row>
    <row r="38" spans="2:13" ht="20.149999999999999" customHeight="1" x14ac:dyDescent="0.45">
      <c r="B38" s="11" t="s">
        <v>18</v>
      </c>
      <c r="C38" s="7"/>
      <c r="D38" s="7"/>
      <c r="E38" s="7"/>
      <c r="F38" s="7"/>
      <c r="G38" s="7"/>
      <c r="H38" s="7"/>
      <c r="I38" s="7"/>
      <c r="J38" s="510" t="s">
        <v>15</v>
      </c>
      <c r="K38" s="511"/>
      <c r="L38" s="43" t="e">
        <f>SUM(L17:L36)</f>
        <v>#N/A</v>
      </c>
      <c r="M38" s="76" t="e">
        <f>L38-316.5</f>
        <v>#N/A</v>
      </c>
    </row>
    <row r="39" spans="2:13" ht="20.149999999999999" customHeight="1" x14ac:dyDescent="0.45">
      <c r="B39" s="11" t="s">
        <v>19</v>
      </c>
      <c r="C39" s="7"/>
      <c r="D39" s="7"/>
      <c r="E39" s="7"/>
      <c r="F39" s="7"/>
      <c r="G39" s="7"/>
      <c r="H39" s="7"/>
      <c r="I39" s="7"/>
      <c r="J39" s="44" t="s">
        <v>22</v>
      </c>
      <c r="K39" s="45"/>
      <c r="L39" s="46" t="e">
        <f>L38*K39</f>
        <v>#N/A</v>
      </c>
    </row>
    <row r="40" spans="2:13" ht="20.149999999999999" customHeight="1" x14ac:dyDescent="0.45">
      <c r="B40" s="11" t="s">
        <v>20</v>
      </c>
      <c r="C40" s="7"/>
      <c r="D40" s="7"/>
      <c r="E40" s="7"/>
      <c r="F40" s="7"/>
      <c r="G40" s="7"/>
      <c r="H40" s="7"/>
      <c r="I40" s="7"/>
      <c r="J40" s="486" t="s">
        <v>21</v>
      </c>
      <c r="K40" s="487"/>
      <c r="L40" s="46" t="e">
        <f>L38-L39</f>
        <v>#N/A</v>
      </c>
    </row>
    <row r="41" spans="2:13" ht="20.149999999999999" customHeight="1" x14ac:dyDescent="0.45">
      <c r="B41" s="11" t="s">
        <v>24</v>
      </c>
      <c r="C41" s="7"/>
      <c r="D41" s="7"/>
      <c r="E41" s="7"/>
      <c r="F41" s="7"/>
      <c r="G41" s="7"/>
      <c r="H41" s="7"/>
      <c r="I41" s="7"/>
      <c r="J41" s="150" t="s">
        <v>17</v>
      </c>
      <c r="K41" s="151">
        <v>7.0000000000000007E-2</v>
      </c>
      <c r="L41" s="47" t="e">
        <f>L40*K41</f>
        <v>#N/A</v>
      </c>
    </row>
    <row r="42" spans="2:13" ht="20.149999999999999" customHeight="1" thickBot="1" x14ac:dyDescent="0.5">
      <c r="B42" s="11" t="s">
        <v>1400</v>
      </c>
      <c r="C42" s="7"/>
      <c r="D42" s="7"/>
      <c r="E42" s="7"/>
      <c r="F42" s="7"/>
      <c r="G42" s="7"/>
      <c r="H42" s="7"/>
      <c r="I42" s="7"/>
      <c r="J42" s="488" t="s">
        <v>23</v>
      </c>
      <c r="K42" s="489"/>
      <c r="L42" s="48" t="e">
        <f>L40+L41</f>
        <v>#N/A</v>
      </c>
    </row>
    <row r="43" spans="2:13" ht="20.149999999999999" customHeight="1" x14ac:dyDescent="0.45">
      <c r="B43" s="11" t="s">
        <v>26</v>
      </c>
      <c r="C43" s="7"/>
      <c r="D43" s="7"/>
      <c r="E43" s="7"/>
      <c r="F43" s="7"/>
      <c r="G43" s="7"/>
      <c r="H43" s="7"/>
      <c r="I43" s="7"/>
      <c r="L43" s="42"/>
    </row>
    <row r="44" spans="2:13" ht="20.149999999999999" customHeight="1" x14ac:dyDescent="0.45">
      <c r="B44" s="224" t="s">
        <v>1379</v>
      </c>
      <c r="L44" s="42"/>
    </row>
    <row r="45" spans="2:13" ht="20.149999999999999" customHeight="1" x14ac:dyDescent="0.45">
      <c r="B45" s="41"/>
      <c r="L45" s="42"/>
    </row>
    <row r="46" spans="2:13" ht="20.149999999999999" customHeight="1" x14ac:dyDescent="0.45">
      <c r="B46" s="41"/>
      <c r="L46" s="42"/>
    </row>
    <row r="47" spans="2:13" ht="20.149999999999999" customHeight="1" x14ac:dyDescent="0.45">
      <c r="B47" s="41"/>
      <c r="L47" s="42"/>
    </row>
    <row r="48" spans="2:13" ht="20.149999999999999" customHeight="1" x14ac:dyDescent="0.45">
      <c r="B48" s="49"/>
      <c r="C48" s="50"/>
      <c r="D48" s="50"/>
      <c r="J48" s="50"/>
      <c r="K48" s="50"/>
      <c r="L48" s="51"/>
    </row>
    <row r="49" spans="2:12" ht="20.149999999999999" customHeight="1" x14ac:dyDescent="0.45">
      <c r="B49" s="41" t="s">
        <v>27</v>
      </c>
      <c r="J49" s="24" t="s">
        <v>28</v>
      </c>
      <c r="L49" s="42"/>
    </row>
    <row r="50" spans="2:12" ht="19" thickBot="1" x14ac:dyDescent="0.5">
      <c r="B50" s="52"/>
      <c r="C50" s="53"/>
      <c r="D50" s="53"/>
      <c r="E50" s="53"/>
      <c r="F50" s="53"/>
      <c r="G50" s="53"/>
      <c r="H50" s="53"/>
      <c r="I50" s="53"/>
      <c r="J50" s="53"/>
      <c r="K50" s="53"/>
      <c r="L50" s="54"/>
    </row>
  </sheetData>
  <mergeCells count="56">
    <mergeCell ref="D33:F33"/>
    <mergeCell ref="I33:J33"/>
    <mergeCell ref="J38:K38"/>
    <mergeCell ref="J40:K40"/>
    <mergeCell ref="J42:K42"/>
    <mergeCell ref="D34:F34"/>
    <mergeCell ref="I34:J34"/>
    <mergeCell ref="D35:F35"/>
    <mergeCell ref="I35:J35"/>
    <mergeCell ref="D36:F36"/>
    <mergeCell ref="I36:J36"/>
    <mergeCell ref="D30:F30"/>
    <mergeCell ref="I30:J30"/>
    <mergeCell ref="D31:F31"/>
    <mergeCell ref="I31:J31"/>
    <mergeCell ref="D32:F32"/>
    <mergeCell ref="I32:J32"/>
    <mergeCell ref="D27:F27"/>
    <mergeCell ref="I27:J27"/>
    <mergeCell ref="D28:F28"/>
    <mergeCell ref="I28:J28"/>
    <mergeCell ref="D29:F29"/>
    <mergeCell ref="I29:J29"/>
    <mergeCell ref="D24:F24"/>
    <mergeCell ref="I24:J24"/>
    <mergeCell ref="D25:F25"/>
    <mergeCell ref="I25:J25"/>
    <mergeCell ref="D26:F26"/>
    <mergeCell ref="I26:J26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5" orientation="portrait" verticalDpi="300" r:id="rId1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CCFAAC-B77A-431F-8831-F4F85C83A76D}">
  <sheetPr codeName="Sheet76">
    <tabColor rgb="FFFFFF00"/>
    <pageSetUpPr fitToPage="1"/>
  </sheetPr>
  <dimension ref="B1:O50"/>
  <sheetViews>
    <sheetView workbookViewId="0">
      <selection activeCell="B1" sqref="B1:L8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7.453125" style="24" customWidth="1"/>
    <col min="7" max="7" width="8.54296875" style="24" customWidth="1"/>
    <col min="8" max="8" width="15.54296875" style="24" customWidth="1"/>
    <col min="9" max="9" width="2.54296875" style="24" customWidth="1"/>
    <col min="10" max="10" width="15.54296875" style="24" customWidth="1"/>
    <col min="11" max="11" width="10.54296875" style="24" customWidth="1"/>
    <col min="12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1332</v>
      </c>
      <c r="J10" s="29" t="s">
        <v>29</v>
      </c>
      <c r="K10" s="452">
        <v>202103225</v>
      </c>
      <c r="L10" s="453"/>
    </row>
    <row r="11" spans="2:12" ht="20.149999999999999" customHeight="1" x14ac:dyDescent="0.45">
      <c r="B11" s="454"/>
      <c r="C11" s="455"/>
      <c r="D11" s="456"/>
      <c r="E11" s="30"/>
      <c r="F11" s="457" t="str">
        <f>VLOOKUP(H10,'Delivery Location'!A$4:N$416,2,0)</f>
        <v>Alistar                                                                Blk 15, Woodland Loop.                           #01-21 Singapore 738322</v>
      </c>
      <c r="G11" s="458"/>
      <c r="H11" s="459"/>
      <c r="J11" s="31" t="s">
        <v>11</v>
      </c>
      <c r="K11" s="551">
        <v>44267</v>
      </c>
      <c r="L11" s="472"/>
    </row>
    <row r="12" spans="2:12" ht="20.149999999999999" customHeight="1" x14ac:dyDescent="0.45">
      <c r="B12" s="468"/>
      <c r="C12" s="469"/>
      <c r="D12" s="470"/>
      <c r="E12" s="30"/>
      <c r="F12" s="460"/>
      <c r="G12" s="461"/>
      <c r="H12" s="462"/>
      <c r="J12" s="31" t="s">
        <v>171</v>
      </c>
      <c r="K12" s="471" t="s">
        <v>533</v>
      </c>
      <c r="L12" s="472"/>
    </row>
    <row r="13" spans="2:12" ht="20.149999999999999" customHeight="1" x14ac:dyDescent="0.45">
      <c r="B13" s="468"/>
      <c r="C13" s="469"/>
      <c r="D13" s="470"/>
      <c r="E13" s="30"/>
      <c r="F13" s="460"/>
      <c r="G13" s="461"/>
      <c r="H13" s="462"/>
      <c r="J13" s="31" t="s">
        <v>12</v>
      </c>
      <c r="K13" s="471" t="s">
        <v>688</v>
      </c>
      <c r="L13" s="472"/>
    </row>
    <row r="14" spans="2:12" ht="20.149999999999999" customHeight="1" x14ac:dyDescent="0.45">
      <c r="B14" s="468"/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552"/>
      <c r="C15" s="474"/>
      <c r="D15" s="475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15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3"/>
      <c r="O17" s="33"/>
    </row>
    <row r="18" spans="2:15" ht="20.149999999999999" customHeight="1" x14ac:dyDescent="0.45">
      <c r="B18" s="70"/>
      <c r="C18" s="22" t="s">
        <v>627</v>
      </c>
      <c r="D18" s="508" t="e">
        <f>VLOOKUP(C18,'Sales Master'!B$3:D$499,2,)</f>
        <v>#N/A</v>
      </c>
      <c r="E18" s="508"/>
      <c r="F18" s="508"/>
      <c r="G18" s="90">
        <v>4</v>
      </c>
      <c r="H18" s="68" t="e">
        <f>VLOOKUP(C18,'Sales Master'!$B$3:$F$3179,5,0)</f>
        <v>#N/A</v>
      </c>
      <c r="I18" s="481" t="e">
        <f>VLOOKUP(C18,'Sales Master'!$B$3:$E$3179,4,0)</f>
        <v>#N/A</v>
      </c>
      <c r="J18" s="481"/>
      <c r="K18" s="98" t="e">
        <f>VLOOKUP(C18,'Sales Master'!B3:$AG$3199,32,0)</f>
        <v>#N/A</v>
      </c>
      <c r="L18" s="99" t="e">
        <f>K18*G18</f>
        <v>#N/A</v>
      </c>
      <c r="M18" s="78"/>
    </row>
    <row r="19" spans="2:15" ht="20.149999999999999" customHeight="1" x14ac:dyDescent="0.45">
      <c r="B19" s="70"/>
      <c r="C19" s="22" t="s">
        <v>413</v>
      </c>
      <c r="D19" s="508" t="e">
        <f>VLOOKUP(C19,'Sales Master'!B$3:D$499,2,)</f>
        <v>#N/A</v>
      </c>
      <c r="E19" s="508"/>
      <c r="F19" s="508"/>
      <c r="G19" s="90">
        <v>1</v>
      </c>
      <c r="H19" s="68" t="e">
        <f>VLOOKUP(C19,'Sales Master'!$B$3:$F$3179,5,0)</f>
        <v>#N/A</v>
      </c>
      <c r="I19" s="481" t="e">
        <f>VLOOKUP(C19,'Sales Master'!$B$3:$E$3179,4,0)</f>
        <v>#N/A</v>
      </c>
      <c r="J19" s="481"/>
      <c r="K19" s="98" t="e">
        <f>VLOOKUP(C19,'Sales Master'!B4:$AG$3199,32,0)</f>
        <v>#N/A</v>
      </c>
      <c r="L19" s="99" t="e">
        <f>K19*G19</f>
        <v>#N/A</v>
      </c>
      <c r="M19" s="78"/>
    </row>
    <row r="20" spans="2:15" ht="20.149999999999999" customHeight="1" x14ac:dyDescent="0.45">
      <c r="B20" s="70"/>
      <c r="C20" s="22" t="s">
        <v>629</v>
      </c>
      <c r="D20" s="508" t="e">
        <f>VLOOKUP(C20,'Sales Master'!B$3:D$499,2,)</f>
        <v>#N/A</v>
      </c>
      <c r="E20" s="508"/>
      <c r="F20" s="508"/>
      <c r="G20" s="90">
        <v>1</v>
      </c>
      <c r="H20" s="68" t="e">
        <f>VLOOKUP(C20,'Sales Master'!$B$3:$F$3179,5,0)</f>
        <v>#N/A</v>
      </c>
      <c r="I20" s="481" t="e">
        <f>VLOOKUP(C20,'Sales Master'!$B$3:$E$3179,4,0)</f>
        <v>#N/A</v>
      </c>
      <c r="J20" s="481"/>
      <c r="K20" s="98" t="e">
        <f>VLOOKUP(C20,'Sales Master'!B7:$AG$3199,32,0)</f>
        <v>#N/A</v>
      </c>
      <c r="L20" s="99" t="e">
        <f>K20*G20</f>
        <v>#N/A</v>
      </c>
      <c r="M20" s="78"/>
    </row>
    <row r="21" spans="2:15" ht="20.149999999999999" customHeight="1" x14ac:dyDescent="0.45">
      <c r="B21" s="70"/>
      <c r="C21" s="22" t="s">
        <v>429</v>
      </c>
      <c r="D21" s="508"/>
      <c r="E21" s="508"/>
      <c r="F21" s="508"/>
      <c r="G21" s="90"/>
      <c r="H21" s="97"/>
      <c r="I21" s="506"/>
      <c r="J21" s="506"/>
      <c r="K21" s="98"/>
      <c r="L21" s="99"/>
      <c r="M21" s="78"/>
    </row>
    <row r="22" spans="2:15" ht="20.149999999999999" customHeight="1" x14ac:dyDescent="0.45">
      <c r="B22" s="70"/>
      <c r="C22" s="22"/>
      <c r="D22" s="508"/>
      <c r="E22" s="508"/>
      <c r="F22" s="508"/>
      <c r="G22" s="90"/>
      <c r="H22" s="97"/>
      <c r="I22" s="506"/>
      <c r="J22" s="506"/>
      <c r="K22" s="98"/>
      <c r="L22" s="99"/>
      <c r="M22" s="78"/>
    </row>
    <row r="23" spans="2:15" ht="20.149999999999999" customHeight="1" x14ac:dyDescent="0.45">
      <c r="B23" s="70"/>
      <c r="C23" s="22"/>
      <c r="D23" s="508"/>
      <c r="E23" s="508"/>
      <c r="F23" s="508"/>
      <c r="G23" s="90"/>
      <c r="H23" s="97"/>
      <c r="I23" s="506"/>
      <c r="J23" s="506"/>
      <c r="K23" s="98"/>
      <c r="L23" s="99"/>
      <c r="M23" s="78"/>
    </row>
    <row r="24" spans="2:15" ht="20.149999999999999" customHeight="1" x14ac:dyDescent="0.45">
      <c r="B24" s="70"/>
      <c r="C24" s="22"/>
      <c r="D24" s="508"/>
      <c r="E24" s="508"/>
      <c r="F24" s="508"/>
      <c r="G24" s="90"/>
      <c r="H24" s="97"/>
      <c r="I24" s="506"/>
      <c r="J24" s="506"/>
      <c r="K24" s="98"/>
      <c r="L24" s="99"/>
      <c r="M24" s="78"/>
    </row>
    <row r="25" spans="2:15" ht="20.149999999999999" customHeight="1" x14ac:dyDescent="0.5">
      <c r="B25" s="70"/>
      <c r="C25" s="22"/>
      <c r="D25" s="508"/>
      <c r="E25" s="508"/>
      <c r="F25" s="508"/>
      <c r="G25" s="100"/>
      <c r="H25" s="97"/>
      <c r="I25" s="506"/>
      <c r="J25" s="506"/>
      <c r="K25" s="98"/>
      <c r="L25" s="99"/>
      <c r="M25" s="78"/>
    </row>
    <row r="26" spans="2:15" ht="20.149999999999999" customHeight="1" x14ac:dyDescent="0.45">
      <c r="B26" s="70"/>
      <c r="C26" s="22"/>
      <c r="D26" s="508"/>
      <c r="E26" s="508"/>
      <c r="F26" s="508"/>
      <c r="G26" s="90"/>
      <c r="H26" s="97"/>
      <c r="I26" s="506"/>
      <c r="J26" s="506"/>
      <c r="K26" s="98"/>
      <c r="L26" s="99"/>
      <c r="M26" s="78"/>
    </row>
    <row r="27" spans="2:15" ht="20.149999999999999" customHeight="1" x14ac:dyDescent="0.45">
      <c r="B27" s="70"/>
      <c r="C27" s="22"/>
      <c r="D27" s="508"/>
      <c r="E27" s="508"/>
      <c r="F27" s="508"/>
      <c r="G27" s="90"/>
      <c r="H27" s="97"/>
      <c r="I27" s="506"/>
      <c r="J27" s="506"/>
      <c r="K27" s="98"/>
      <c r="L27" s="99"/>
      <c r="M27" s="78"/>
    </row>
    <row r="28" spans="2:15" ht="20.149999999999999" customHeight="1" x14ac:dyDescent="0.45">
      <c r="B28" s="70"/>
      <c r="C28" s="22"/>
      <c r="D28" s="508"/>
      <c r="E28" s="508"/>
      <c r="F28" s="508"/>
      <c r="G28" s="90"/>
      <c r="H28" s="97"/>
      <c r="I28" s="506"/>
      <c r="J28" s="506"/>
      <c r="K28" s="98"/>
      <c r="L28" s="99"/>
      <c r="M28" s="78"/>
    </row>
    <row r="29" spans="2:15" ht="20.149999999999999" customHeight="1" x14ac:dyDescent="0.45">
      <c r="B29" s="70"/>
      <c r="C29" s="22"/>
      <c r="D29" s="508"/>
      <c r="E29" s="508"/>
      <c r="F29" s="508"/>
      <c r="G29" s="90"/>
      <c r="H29" s="97"/>
      <c r="I29" s="506"/>
      <c r="J29" s="506"/>
      <c r="K29" s="98"/>
      <c r="L29" s="99"/>
    </row>
    <row r="30" spans="2:15" ht="20.149999999999999" customHeight="1" x14ac:dyDescent="0.45">
      <c r="B30" s="70"/>
      <c r="C30" s="22"/>
      <c r="D30" s="508"/>
      <c r="E30" s="508"/>
      <c r="F30" s="508"/>
      <c r="G30" s="90"/>
      <c r="H30" s="97"/>
      <c r="I30" s="506"/>
      <c r="J30" s="506"/>
      <c r="K30" s="98"/>
      <c r="L30" s="99"/>
      <c r="M30" s="78"/>
    </row>
    <row r="31" spans="2:15" ht="20.149999999999999" customHeight="1" x14ac:dyDescent="0.45">
      <c r="B31" s="70"/>
      <c r="C31" s="22"/>
      <c r="D31" s="508"/>
      <c r="E31" s="508"/>
      <c r="F31" s="508"/>
      <c r="G31" s="90"/>
      <c r="H31" s="97"/>
      <c r="I31" s="506"/>
      <c r="J31" s="506"/>
      <c r="K31" s="98"/>
      <c r="L31" s="99"/>
      <c r="M31" s="78"/>
    </row>
    <row r="32" spans="2:15" ht="20.149999999999999" customHeight="1" x14ac:dyDescent="0.45">
      <c r="B32" s="70"/>
      <c r="C32" s="22"/>
      <c r="D32" s="508"/>
      <c r="E32" s="508"/>
      <c r="F32" s="508"/>
      <c r="G32" s="90"/>
      <c r="H32" s="97"/>
      <c r="I32" s="506"/>
      <c r="J32" s="506"/>
      <c r="K32" s="98"/>
      <c r="L32" s="99"/>
      <c r="M32" s="78"/>
    </row>
    <row r="33" spans="2:13" ht="20.149999999999999" customHeight="1" x14ac:dyDescent="0.45">
      <c r="B33" s="70"/>
      <c r="C33" s="22"/>
      <c r="D33" s="508"/>
      <c r="E33" s="508"/>
      <c r="F33" s="508"/>
      <c r="G33" s="90"/>
      <c r="H33" s="97"/>
      <c r="I33" s="506"/>
      <c r="J33" s="506"/>
      <c r="K33" s="98"/>
      <c r="L33" s="99"/>
      <c r="M33" s="78"/>
    </row>
    <row r="34" spans="2:13" ht="20.149999999999999" customHeight="1" x14ac:dyDescent="0.45">
      <c r="B34" s="70"/>
      <c r="C34" s="22"/>
      <c r="D34" s="508"/>
      <c r="E34" s="508"/>
      <c r="F34" s="508"/>
      <c r="G34" s="90"/>
      <c r="H34" s="97"/>
      <c r="I34" s="506"/>
      <c r="J34" s="506"/>
      <c r="K34" s="98"/>
      <c r="L34" s="99"/>
      <c r="M34" s="78"/>
    </row>
    <row r="35" spans="2:13" ht="20.149999999999999" customHeight="1" x14ac:dyDescent="0.45">
      <c r="B35" s="70"/>
      <c r="C35" s="22"/>
      <c r="D35" s="508"/>
      <c r="E35" s="508"/>
      <c r="F35" s="508"/>
      <c r="G35" s="90"/>
      <c r="H35" s="97"/>
      <c r="I35" s="506"/>
      <c r="J35" s="506"/>
      <c r="K35" s="98"/>
      <c r="L35" s="99"/>
      <c r="M35" s="78"/>
    </row>
    <row r="36" spans="2:13" ht="20.149999999999999" customHeight="1" x14ac:dyDescent="0.45">
      <c r="B36" s="70"/>
      <c r="C36" s="22"/>
      <c r="D36" s="508"/>
      <c r="E36" s="508"/>
      <c r="F36" s="508"/>
      <c r="G36" s="90"/>
      <c r="H36" s="97"/>
      <c r="I36" s="578"/>
      <c r="J36" s="578"/>
      <c r="K36" s="98"/>
      <c r="L36" s="99"/>
    </row>
    <row r="37" spans="2:13" ht="20.149999999999999" customHeight="1" thickBot="1" x14ac:dyDescent="0.5">
      <c r="B37" s="52"/>
      <c r="C37" s="53"/>
      <c r="D37" s="53"/>
      <c r="E37" s="53"/>
      <c r="F37" s="53"/>
      <c r="G37" s="53"/>
      <c r="H37" s="53"/>
      <c r="I37" s="53"/>
      <c r="J37" s="53"/>
      <c r="K37" s="53"/>
      <c r="L37" s="54"/>
    </row>
    <row r="38" spans="2:13" ht="20.149999999999999" customHeight="1" x14ac:dyDescent="0.45">
      <c r="B38" s="11" t="s">
        <v>18</v>
      </c>
      <c r="C38" s="7"/>
      <c r="D38" s="7"/>
      <c r="E38" s="7"/>
      <c r="F38" s="7"/>
      <c r="G38" s="7"/>
      <c r="H38" s="7"/>
      <c r="I38" s="7"/>
      <c r="J38" s="510" t="s">
        <v>15</v>
      </c>
      <c r="K38" s="511"/>
      <c r="L38" s="43" t="e">
        <f>SUM(L17:L36)</f>
        <v>#N/A</v>
      </c>
      <c r="M38" s="76" t="e">
        <f>L38-316.5</f>
        <v>#N/A</v>
      </c>
    </row>
    <row r="39" spans="2:13" ht="20.149999999999999" customHeight="1" x14ac:dyDescent="0.45">
      <c r="B39" s="11" t="s">
        <v>19</v>
      </c>
      <c r="C39" s="7"/>
      <c r="D39" s="7"/>
      <c r="E39" s="7"/>
      <c r="F39" s="7"/>
      <c r="G39" s="7"/>
      <c r="H39" s="7"/>
      <c r="I39" s="7"/>
      <c r="J39" s="44" t="s">
        <v>22</v>
      </c>
      <c r="K39" s="45"/>
      <c r="L39" s="46" t="e">
        <f>L38*K39</f>
        <v>#N/A</v>
      </c>
    </row>
    <row r="40" spans="2:13" ht="20.149999999999999" customHeight="1" x14ac:dyDescent="0.45">
      <c r="B40" s="11" t="s">
        <v>20</v>
      </c>
      <c r="C40" s="7"/>
      <c r="D40" s="7"/>
      <c r="E40" s="7"/>
      <c r="F40" s="7"/>
      <c r="G40" s="7"/>
      <c r="H40" s="7"/>
      <c r="I40" s="7"/>
      <c r="J40" s="486" t="s">
        <v>21</v>
      </c>
      <c r="K40" s="487"/>
      <c r="L40" s="46" t="e">
        <f>L38-L39</f>
        <v>#N/A</v>
      </c>
    </row>
    <row r="41" spans="2:13" ht="20.149999999999999" customHeight="1" x14ac:dyDescent="0.45">
      <c r="B41" s="11" t="s">
        <v>24</v>
      </c>
      <c r="C41" s="7"/>
      <c r="D41" s="7"/>
      <c r="E41" s="7"/>
      <c r="F41" s="7"/>
      <c r="G41" s="7"/>
      <c r="H41" s="7"/>
      <c r="I41" s="7"/>
      <c r="J41" s="150" t="s">
        <v>17</v>
      </c>
      <c r="K41" s="151">
        <v>7.0000000000000007E-2</v>
      </c>
      <c r="L41" s="47" t="e">
        <f>L40*K41</f>
        <v>#N/A</v>
      </c>
    </row>
    <row r="42" spans="2:13" ht="20.149999999999999" customHeight="1" thickBot="1" x14ac:dyDescent="0.5">
      <c r="B42" s="11" t="s">
        <v>25</v>
      </c>
      <c r="C42" s="7"/>
      <c r="D42" s="7"/>
      <c r="E42" s="7"/>
      <c r="F42" s="7"/>
      <c r="G42" s="7"/>
      <c r="H42" s="7"/>
      <c r="I42" s="7"/>
      <c r="J42" s="488" t="s">
        <v>23</v>
      </c>
      <c r="K42" s="489"/>
      <c r="L42" s="48" t="e">
        <f>L40+L41</f>
        <v>#N/A</v>
      </c>
    </row>
    <row r="43" spans="2:13" ht="20.149999999999999" customHeight="1" x14ac:dyDescent="0.45">
      <c r="B43" s="11" t="s">
        <v>26</v>
      </c>
      <c r="C43" s="7"/>
      <c r="D43" s="7"/>
      <c r="E43" s="7"/>
      <c r="F43" s="7"/>
      <c r="G43" s="7"/>
      <c r="H43" s="7"/>
      <c r="I43" s="7"/>
      <c r="L43" s="42"/>
    </row>
    <row r="44" spans="2:13" ht="20.149999999999999" customHeight="1" x14ac:dyDescent="0.45">
      <c r="B44" s="224" t="s">
        <v>1379</v>
      </c>
      <c r="L44" s="42"/>
    </row>
    <row r="45" spans="2:13" ht="20.149999999999999" customHeight="1" x14ac:dyDescent="0.45">
      <c r="B45" s="41"/>
      <c r="L45" s="42"/>
    </row>
    <row r="46" spans="2:13" ht="20.149999999999999" customHeight="1" x14ac:dyDescent="0.45">
      <c r="B46" s="41"/>
      <c r="L46" s="42"/>
    </row>
    <row r="47" spans="2:13" ht="20.149999999999999" customHeight="1" x14ac:dyDescent="0.45">
      <c r="B47" s="41"/>
      <c r="L47" s="42"/>
    </row>
    <row r="48" spans="2:13" ht="20.149999999999999" customHeight="1" x14ac:dyDescent="0.45">
      <c r="B48" s="49"/>
      <c r="C48" s="50"/>
      <c r="D48" s="50"/>
      <c r="J48" s="50"/>
      <c r="K48" s="50"/>
      <c r="L48" s="51"/>
    </row>
    <row r="49" spans="2:12" ht="20.149999999999999" customHeight="1" x14ac:dyDescent="0.45">
      <c r="B49" s="41" t="s">
        <v>27</v>
      </c>
      <c r="J49" s="24" t="s">
        <v>28</v>
      </c>
      <c r="L49" s="42"/>
    </row>
    <row r="50" spans="2:12" ht="19" thickBot="1" x14ac:dyDescent="0.5">
      <c r="B50" s="52"/>
      <c r="C50" s="53"/>
      <c r="D50" s="53"/>
      <c r="E50" s="53"/>
      <c r="F50" s="53"/>
      <c r="G50" s="53"/>
      <c r="H50" s="53"/>
      <c r="I50" s="53"/>
      <c r="J50" s="53"/>
      <c r="K50" s="53"/>
      <c r="L50" s="54"/>
    </row>
  </sheetData>
  <mergeCells count="56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I29:J29"/>
    <mergeCell ref="D24:F24"/>
    <mergeCell ref="I24:J24"/>
    <mergeCell ref="D25:F25"/>
    <mergeCell ref="I25:J25"/>
    <mergeCell ref="D26:F26"/>
    <mergeCell ref="I26:J26"/>
    <mergeCell ref="D27:F27"/>
    <mergeCell ref="I27:J27"/>
    <mergeCell ref="D28:F28"/>
    <mergeCell ref="I28:J28"/>
    <mergeCell ref="D29:F29"/>
    <mergeCell ref="J42:K42"/>
    <mergeCell ref="D34:F34"/>
    <mergeCell ref="I34:J34"/>
    <mergeCell ref="D35:F35"/>
    <mergeCell ref="I35:J35"/>
    <mergeCell ref="D36:F36"/>
    <mergeCell ref="I36:J36"/>
    <mergeCell ref="D33:F33"/>
    <mergeCell ref="I33:J33"/>
    <mergeCell ref="J38:K38"/>
    <mergeCell ref="J40:K40"/>
    <mergeCell ref="D30:F30"/>
    <mergeCell ref="I30:J30"/>
    <mergeCell ref="D31:F31"/>
    <mergeCell ref="I31:J31"/>
    <mergeCell ref="D32:F32"/>
    <mergeCell ref="I32:J32"/>
  </mergeCells>
  <pageMargins left="0.70866141732283472" right="0.31496062992125984" top="0.59055118110236227" bottom="0" header="0.31496062992125984" footer="0.31496062992125984"/>
  <pageSetup paperSize="9" scale="75" orientation="portrait" verticalDpi="300" r:id="rId1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5D6B9-54F3-4CC7-B564-58EDA2C4DCA5}">
  <sheetPr codeName="Sheet77">
    <tabColor rgb="FFFFFF00"/>
    <pageSetUpPr fitToPage="1"/>
  </sheetPr>
  <dimension ref="B1:O42"/>
  <sheetViews>
    <sheetView zoomScaleNormal="100" workbookViewId="0">
      <selection activeCell="B12" sqref="B12:D12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6.54296875" style="24" customWidth="1"/>
    <col min="7" max="7" width="8.54296875" style="24" customWidth="1"/>
    <col min="8" max="8" width="12.54296875" style="24" customWidth="1"/>
    <col min="9" max="9" width="2.54296875" style="24" customWidth="1"/>
    <col min="10" max="10" width="15.54296875" style="24" customWidth="1"/>
    <col min="11" max="12" width="12.54296875" style="24" customWidth="1"/>
    <col min="13" max="16384" width="12.54296875" style="24"/>
  </cols>
  <sheetData>
    <row r="1" spans="2:12" ht="18.649999999999999" customHeight="1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ht="18.649999999999999" customHeight="1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ht="18.649999999999999" customHeight="1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ht="18.649999999999999" customHeight="1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ht="18.649999999999999" customHeight="1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ht="18.649999999999999" customHeight="1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ht="18.649999999999999" customHeight="1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8.649999999999999" customHeight="1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191"/>
      <c r="C9" s="191"/>
      <c r="D9" s="191"/>
      <c r="E9" s="191"/>
      <c r="F9" s="191"/>
      <c r="G9" s="191"/>
      <c r="H9" s="191"/>
      <c r="I9" s="191"/>
      <c r="J9" s="191"/>
      <c r="K9" s="191"/>
      <c r="L9" s="191"/>
    </row>
    <row r="10" spans="2:12" ht="18" customHeight="1" thickTop="1" thickBot="1" x14ac:dyDescent="0.5">
      <c r="B10" s="25" t="s">
        <v>1252</v>
      </c>
      <c r="C10" s="25"/>
      <c r="D10" s="26"/>
      <c r="E10" s="26"/>
      <c r="F10" s="27" t="s">
        <v>1251</v>
      </c>
      <c r="G10" s="28"/>
      <c r="H10" s="28" t="s">
        <v>1250</v>
      </c>
      <c r="J10" s="188" t="s">
        <v>29</v>
      </c>
      <c r="K10" s="566">
        <v>202110184</v>
      </c>
      <c r="L10" s="567"/>
    </row>
    <row r="11" spans="2:12" ht="20.149999999999999" customHeight="1" x14ac:dyDescent="0.45">
      <c r="B11" s="454" t="s">
        <v>1982</v>
      </c>
      <c r="C11" s="455"/>
      <c r="D11" s="456"/>
      <c r="E11" s="30"/>
      <c r="F11" s="457" t="str">
        <f>VLOOKUP(H10,'Delivery Location'!A$4:N$416,2,0)</f>
        <v>ZEEMART PTE LTD                                   91, McNair Road                                                Singapore 328559</v>
      </c>
      <c r="G11" s="458"/>
      <c r="H11" s="459"/>
      <c r="J11" s="31" t="s">
        <v>11</v>
      </c>
      <c r="K11" s="551">
        <v>44481</v>
      </c>
      <c r="L11" s="472"/>
    </row>
    <row r="12" spans="2:12" ht="20.149999999999999" customHeight="1" x14ac:dyDescent="0.45">
      <c r="B12" s="468" t="s">
        <v>1983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2001</v>
      </c>
      <c r="L12" s="472"/>
    </row>
    <row r="13" spans="2:12" ht="20.149999999999999" customHeight="1" x14ac:dyDescent="0.45">
      <c r="B13" s="468" t="s">
        <v>1984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1253</v>
      </c>
      <c r="L13" s="472"/>
    </row>
    <row r="14" spans="2:12" ht="20.149999999999999" customHeight="1" x14ac:dyDescent="0.45">
      <c r="B14" s="609" t="s">
        <v>1985</v>
      </c>
      <c r="C14" s="610"/>
      <c r="D14" s="611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473"/>
      <c r="C15" s="474"/>
      <c r="D15" s="475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15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3"/>
      <c r="O17" s="33"/>
    </row>
    <row r="18" spans="2:15" ht="20.149999999999999" customHeight="1" x14ac:dyDescent="0.45">
      <c r="B18" s="70" t="s">
        <v>1986</v>
      </c>
      <c r="C18" s="22" t="s">
        <v>1789</v>
      </c>
      <c r="D18" s="24" t="str">
        <f>VLOOKUP(C18,'Sales Master'!B$3:D$499,2,)</f>
        <v>Sweet Potato 番薯</v>
      </c>
      <c r="G18" s="22">
        <v>70</v>
      </c>
      <c r="H18" s="68" t="s">
        <v>75</v>
      </c>
      <c r="I18" s="481" t="s">
        <v>1987</v>
      </c>
      <c r="J18" s="481"/>
      <c r="K18" s="35">
        <v>1.6</v>
      </c>
      <c r="L18" s="77">
        <f>K18*G18</f>
        <v>112</v>
      </c>
      <c r="M18" s="78"/>
    </row>
    <row r="19" spans="2:15" ht="20.149999999999999" customHeight="1" x14ac:dyDescent="0.45">
      <c r="B19" s="70"/>
      <c r="C19" s="22"/>
      <c r="G19" s="22"/>
      <c r="H19" s="68"/>
      <c r="I19" s="481"/>
      <c r="J19" s="481"/>
      <c r="K19" s="35"/>
      <c r="L19" s="77"/>
      <c r="M19" s="78"/>
    </row>
    <row r="20" spans="2:15" ht="20.149999999999999" customHeight="1" x14ac:dyDescent="0.45">
      <c r="B20" s="70"/>
      <c r="C20" s="22"/>
      <c r="G20" s="22"/>
      <c r="H20" s="68"/>
      <c r="I20" s="481"/>
      <c r="J20" s="481"/>
      <c r="K20" s="35"/>
      <c r="L20" s="77"/>
    </row>
    <row r="21" spans="2:15" ht="20.149999999999999" customHeight="1" x14ac:dyDescent="0.45">
      <c r="B21" s="70"/>
      <c r="C21" s="22"/>
      <c r="G21" s="22"/>
      <c r="H21" s="68"/>
      <c r="I21" s="481"/>
      <c r="J21" s="481"/>
      <c r="K21" s="35"/>
      <c r="L21" s="77"/>
      <c r="M21" s="78"/>
    </row>
    <row r="22" spans="2:15" ht="20.149999999999999" customHeight="1" x14ac:dyDescent="0.45">
      <c r="B22" s="70"/>
      <c r="C22" s="22"/>
      <c r="G22" s="22"/>
      <c r="H22" s="68"/>
      <c r="I22" s="481"/>
      <c r="J22" s="481"/>
      <c r="K22" s="35"/>
      <c r="L22" s="77"/>
    </row>
    <row r="23" spans="2:15" ht="20.149999999999999" customHeight="1" x14ac:dyDescent="0.45">
      <c r="B23" s="70"/>
      <c r="C23" s="22"/>
      <c r="G23" s="22"/>
      <c r="H23" s="68"/>
      <c r="I23" s="481"/>
      <c r="J23" s="481"/>
      <c r="K23" s="35"/>
      <c r="L23" s="77"/>
      <c r="M23" s="78"/>
    </row>
    <row r="24" spans="2:15" ht="20.149999999999999" customHeight="1" x14ac:dyDescent="0.45">
      <c r="B24" s="70"/>
      <c r="C24" s="22"/>
      <c r="G24" s="22"/>
      <c r="H24" s="68"/>
      <c r="I24" s="481"/>
      <c r="J24" s="481"/>
      <c r="K24" s="35"/>
      <c r="L24" s="77"/>
      <c r="M24" s="78"/>
    </row>
    <row r="25" spans="2:15" ht="20.149999999999999" customHeight="1" x14ac:dyDescent="0.45">
      <c r="B25" s="70"/>
      <c r="C25" s="22"/>
      <c r="G25" s="22"/>
      <c r="H25" s="68"/>
      <c r="I25" s="481"/>
      <c r="J25" s="481"/>
      <c r="K25" s="35"/>
      <c r="L25" s="77"/>
      <c r="M25" s="78"/>
    </row>
    <row r="26" spans="2:15" ht="20.149999999999999" customHeight="1" x14ac:dyDescent="0.45">
      <c r="B26" s="70"/>
      <c r="C26" s="22"/>
      <c r="G26" s="22"/>
      <c r="H26" s="68"/>
      <c r="I26" s="481"/>
      <c r="J26" s="481"/>
      <c r="K26" s="35"/>
      <c r="L26" s="77"/>
      <c r="M26" s="78"/>
    </row>
    <row r="27" spans="2:15" ht="20.149999999999999" customHeight="1" x14ac:dyDescent="0.45">
      <c r="B27" s="70"/>
      <c r="C27" s="22"/>
      <c r="G27" s="22"/>
      <c r="H27" s="68"/>
      <c r="I27" s="68"/>
      <c r="J27" s="68"/>
      <c r="K27" s="35"/>
      <c r="L27" s="77"/>
      <c r="M27" s="78"/>
    </row>
    <row r="28" spans="2:15" ht="20.149999999999999" customHeight="1" x14ac:dyDescent="0.45">
      <c r="B28" s="70"/>
      <c r="C28" s="22"/>
      <c r="G28" s="22"/>
      <c r="H28" s="68"/>
      <c r="I28" s="481"/>
      <c r="J28" s="481"/>
      <c r="K28" s="35"/>
      <c r="L28" s="77"/>
      <c r="M28" s="78"/>
    </row>
    <row r="29" spans="2:15" ht="20.149999999999999" customHeight="1" x14ac:dyDescent="0.45">
      <c r="B29" s="70"/>
      <c r="C29" s="22"/>
      <c r="G29" s="22"/>
      <c r="H29" s="68"/>
      <c r="I29" s="481"/>
      <c r="J29" s="481"/>
      <c r="K29" s="35"/>
      <c r="L29" s="77"/>
      <c r="M29" s="78"/>
    </row>
    <row r="30" spans="2:15" ht="20.149999999999999" customHeight="1" thickBot="1" x14ac:dyDescent="0.5">
      <c r="B30" s="101"/>
      <c r="C30" s="38"/>
      <c r="D30" s="577"/>
      <c r="E30" s="577"/>
      <c r="F30" s="577"/>
      <c r="G30" s="38"/>
      <c r="H30" s="69"/>
      <c r="I30" s="557"/>
      <c r="J30" s="557"/>
      <c r="K30" s="39"/>
      <c r="L30" s="89"/>
      <c r="M30" s="78"/>
    </row>
    <row r="31" spans="2:15" ht="20.149999999999999" customHeight="1" thickBot="1" x14ac:dyDescent="0.5">
      <c r="B31" s="41"/>
      <c r="L31" s="42"/>
    </row>
    <row r="32" spans="2:15" ht="20.149999999999999" customHeight="1" x14ac:dyDescent="0.45">
      <c r="B32" s="11" t="s">
        <v>18</v>
      </c>
      <c r="C32" s="7"/>
      <c r="D32" s="7"/>
      <c r="E32" s="7"/>
      <c r="F32" s="7"/>
      <c r="G32" s="7"/>
      <c r="H32" s="7"/>
      <c r="I32" s="7"/>
      <c r="J32" s="510" t="s">
        <v>15</v>
      </c>
      <c r="K32" s="511"/>
      <c r="L32" s="43">
        <f>SUM(L17:L30)</f>
        <v>112</v>
      </c>
      <c r="M32" s="76">
        <f>561.5-L32</f>
        <v>449.5</v>
      </c>
    </row>
    <row r="33" spans="2:13" ht="20.149999999999999" customHeight="1" x14ac:dyDescent="0.45">
      <c r="B33" s="11" t="s">
        <v>19</v>
      </c>
      <c r="C33" s="7"/>
      <c r="D33" s="7"/>
      <c r="E33" s="7"/>
      <c r="F33" s="7"/>
      <c r="G33" s="7"/>
      <c r="H33" s="7"/>
      <c r="I33" s="7"/>
      <c r="J33" s="44" t="s">
        <v>22</v>
      </c>
      <c r="K33" s="45"/>
      <c r="L33" s="46">
        <f>L32*K33</f>
        <v>0</v>
      </c>
    </row>
    <row r="34" spans="2:13" ht="20.149999999999999" customHeight="1" x14ac:dyDescent="0.45">
      <c r="B34" s="11" t="s">
        <v>20</v>
      </c>
      <c r="C34" s="7"/>
      <c r="D34" s="7"/>
      <c r="E34" s="7"/>
      <c r="F34" s="7"/>
      <c r="G34" s="7"/>
      <c r="H34" s="7"/>
      <c r="I34" s="7"/>
      <c r="J34" s="486" t="s">
        <v>21</v>
      </c>
      <c r="K34" s="487"/>
      <c r="L34" s="46">
        <f>L32-L33</f>
        <v>112</v>
      </c>
    </row>
    <row r="35" spans="2:13" ht="20.149999999999999" customHeight="1" x14ac:dyDescent="0.45">
      <c r="B35" s="11" t="s">
        <v>24</v>
      </c>
      <c r="C35" s="7"/>
      <c r="D35" s="7"/>
      <c r="E35" s="7"/>
      <c r="F35" s="7"/>
      <c r="G35" s="7"/>
      <c r="H35" s="7"/>
      <c r="I35" s="7"/>
      <c r="J35" s="150" t="s">
        <v>17</v>
      </c>
      <c r="K35" s="151">
        <v>7.0000000000000007E-2</v>
      </c>
      <c r="L35" s="47">
        <f>L34*K35</f>
        <v>7.8400000000000007</v>
      </c>
    </row>
    <row r="36" spans="2:13" ht="20.149999999999999" customHeight="1" thickBot="1" x14ac:dyDescent="0.5">
      <c r="B36" s="11" t="s">
        <v>1400</v>
      </c>
      <c r="C36" s="7"/>
      <c r="D36" s="7"/>
      <c r="E36" s="7"/>
      <c r="F36" s="7"/>
      <c r="G36" s="7"/>
      <c r="H36" s="7"/>
      <c r="I36" s="7"/>
      <c r="J36" s="488" t="s">
        <v>23</v>
      </c>
      <c r="K36" s="489"/>
      <c r="L36" s="48">
        <f>L34+L35</f>
        <v>119.84</v>
      </c>
      <c r="M36" s="76">
        <f>L36*0.9</f>
        <v>107.85600000000001</v>
      </c>
    </row>
    <row r="37" spans="2:13" ht="20.149999999999999" customHeight="1" x14ac:dyDescent="0.45">
      <c r="B37" s="11" t="s">
        <v>26</v>
      </c>
      <c r="C37" s="7"/>
      <c r="D37" s="7"/>
      <c r="E37" s="7"/>
      <c r="F37" s="7"/>
      <c r="G37" s="7"/>
      <c r="H37" s="7"/>
      <c r="I37" s="7"/>
      <c r="K37" s="24" t="s">
        <v>720</v>
      </c>
      <c r="L37" s="42"/>
    </row>
    <row r="38" spans="2:13" ht="20.149999999999999" customHeight="1" x14ac:dyDescent="0.45">
      <c r="B38" s="224" t="s">
        <v>1379</v>
      </c>
      <c r="L38" s="42"/>
    </row>
    <row r="39" spans="2:13" ht="20.149999999999999" customHeight="1" x14ac:dyDescent="0.45">
      <c r="B39" s="41"/>
      <c r="L39" s="42"/>
    </row>
    <row r="40" spans="2:13" ht="20.149999999999999" customHeight="1" x14ac:dyDescent="0.45">
      <c r="B40" s="49"/>
      <c r="C40" s="50"/>
      <c r="D40" s="50"/>
      <c r="J40" s="50"/>
      <c r="K40" s="50"/>
      <c r="L40" s="51"/>
    </row>
    <row r="41" spans="2:13" ht="20.149999999999999" customHeight="1" x14ac:dyDescent="0.45">
      <c r="B41" s="41" t="s">
        <v>27</v>
      </c>
      <c r="J41" s="24" t="s">
        <v>28</v>
      </c>
      <c r="L41" s="42"/>
    </row>
    <row r="42" spans="2:13" ht="19" thickBot="1" x14ac:dyDescent="0.5">
      <c r="B42" s="52"/>
      <c r="C42" s="53"/>
      <c r="D42" s="53"/>
      <c r="E42" s="53"/>
      <c r="F42" s="53"/>
      <c r="G42" s="53"/>
      <c r="H42" s="53"/>
      <c r="I42" s="53"/>
      <c r="J42" s="53"/>
      <c r="K42" s="53"/>
      <c r="L42" s="54"/>
    </row>
  </sheetData>
  <mergeCells count="31">
    <mergeCell ref="J32:K32"/>
    <mergeCell ref="J34:K34"/>
    <mergeCell ref="J36:K36"/>
    <mergeCell ref="I25:J25"/>
    <mergeCell ref="I26:J26"/>
    <mergeCell ref="I28:J28"/>
    <mergeCell ref="I29:J29"/>
    <mergeCell ref="D30:F30"/>
    <mergeCell ref="I30:J30"/>
    <mergeCell ref="I19:J19"/>
    <mergeCell ref="I20:J20"/>
    <mergeCell ref="I21:J21"/>
    <mergeCell ref="I22:J22"/>
    <mergeCell ref="I23:J23"/>
    <mergeCell ref="I24:J24"/>
    <mergeCell ref="I18:J18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I17:J17"/>
  </mergeCells>
  <printOptions horizontalCentered="1" verticalCentered="1"/>
  <pageMargins left="0.23622047244094491" right="0.23622047244094491" top="0.51181102362204722" bottom="0.51181102362204722" header="0.31496062992125984" footer="0.31496062992125984"/>
  <pageSetup paperSize="9" scale="83" orientation="portrait" horizontalDpi="300" verticalDpi="300" r:id="rId1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9D291-D80A-4311-8F52-F7D723D65EEA}">
  <sheetPr codeName="Sheet128">
    <tabColor rgb="FF996600"/>
    <pageSetUpPr fitToPage="1"/>
  </sheetPr>
  <dimension ref="B1:T51"/>
  <sheetViews>
    <sheetView topLeftCell="B1" workbookViewId="0">
      <selection activeCell="B12" sqref="B12:D12"/>
    </sheetView>
  </sheetViews>
  <sheetFormatPr defaultColWidth="12.54296875" defaultRowHeight="18.5" x14ac:dyDescent="0.45"/>
  <cols>
    <col min="1" max="1" width="12.54296875" style="24"/>
    <col min="2" max="3" width="12.54296875" style="24" customWidth="1"/>
    <col min="4" max="4" width="14.54296875" style="24" customWidth="1"/>
    <col min="5" max="5" width="1.54296875" style="24" customWidth="1"/>
    <col min="6" max="6" width="14.54296875" style="24" customWidth="1"/>
    <col min="7" max="7" width="8.54296875" style="24" customWidth="1"/>
    <col min="8" max="8" width="15.54296875" style="24" customWidth="1"/>
    <col min="9" max="9" width="2.54296875" style="81" customWidth="1"/>
    <col min="10" max="10" width="15.54296875" style="81" customWidth="1"/>
    <col min="11" max="11" width="10.54296875" style="24" customWidth="1"/>
    <col min="12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206</v>
      </c>
      <c r="J10" s="82" t="s">
        <v>29</v>
      </c>
      <c r="K10" s="452">
        <v>202004029</v>
      </c>
      <c r="L10" s="453"/>
    </row>
    <row r="11" spans="2:12" ht="20.149999999999999" customHeight="1" x14ac:dyDescent="0.45">
      <c r="B11" s="454" t="s">
        <v>2038</v>
      </c>
      <c r="C11" s="455"/>
      <c r="D11" s="456"/>
      <c r="E11" s="30"/>
      <c r="F11" s="457" t="str">
        <f>VLOOKUP(H10,'Delivery Location'!A$4:N$416,2,0)</f>
        <v>Jem cook House                                            50, Jurong Gateway Road #05-01 JEMS Singapore 608549                                         (Dim Sum)</v>
      </c>
      <c r="G11" s="458"/>
      <c r="H11" s="459"/>
      <c r="J11" s="83" t="s">
        <v>11</v>
      </c>
      <c r="K11" s="551">
        <v>43834</v>
      </c>
      <c r="L11" s="472"/>
    </row>
    <row r="12" spans="2:12" ht="20.149999999999999" customHeight="1" x14ac:dyDescent="0.45">
      <c r="B12" s="468" t="s">
        <v>2139</v>
      </c>
      <c r="C12" s="469"/>
      <c r="D12" s="470"/>
      <c r="E12" s="30"/>
      <c r="F12" s="460"/>
      <c r="G12" s="461"/>
      <c r="H12" s="462"/>
      <c r="J12" s="83" t="s">
        <v>171</v>
      </c>
      <c r="K12" s="471" t="s">
        <v>533</v>
      </c>
      <c r="L12" s="472"/>
    </row>
    <row r="13" spans="2:12" ht="20.149999999999999" customHeight="1" x14ac:dyDescent="0.45">
      <c r="B13" s="468" t="s">
        <v>2024</v>
      </c>
      <c r="C13" s="469"/>
      <c r="D13" s="470"/>
      <c r="E13" s="30"/>
      <c r="F13" s="460"/>
      <c r="G13" s="461"/>
      <c r="H13" s="462"/>
      <c r="J13" s="83" t="s">
        <v>12</v>
      </c>
      <c r="K13" s="471" t="s">
        <v>14</v>
      </c>
      <c r="L13" s="472"/>
    </row>
    <row r="14" spans="2:12" ht="20.149999999999999" customHeight="1" x14ac:dyDescent="0.45">
      <c r="B14" s="468" t="s">
        <v>2025</v>
      </c>
      <c r="C14" s="469"/>
      <c r="D14" s="470"/>
      <c r="E14" s="30"/>
      <c r="F14" s="460"/>
      <c r="G14" s="461"/>
      <c r="H14" s="462"/>
      <c r="J14" s="83" t="s">
        <v>30</v>
      </c>
      <c r="K14" s="471" t="s">
        <v>16</v>
      </c>
      <c r="L14" s="472"/>
    </row>
    <row r="15" spans="2:12" ht="18" customHeight="1" thickBot="1" x14ac:dyDescent="0.5">
      <c r="B15" s="463" t="s">
        <v>2026</v>
      </c>
      <c r="C15" s="464"/>
      <c r="D15" s="465"/>
      <c r="E15" s="26"/>
      <c r="F15" s="463"/>
      <c r="G15" s="464"/>
      <c r="H15" s="465"/>
      <c r="J15" s="84" t="s">
        <v>13</v>
      </c>
      <c r="K15" s="476"/>
      <c r="L15" s="477"/>
    </row>
    <row r="16" spans="2:12" ht="19" thickBot="1" x14ac:dyDescent="0.5">
      <c r="J16" s="85"/>
    </row>
    <row r="17" spans="2:20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3"/>
      <c r="O17" s="33"/>
    </row>
    <row r="18" spans="2:20" ht="20.149999999999999" customHeight="1" x14ac:dyDescent="0.45">
      <c r="B18" s="34"/>
      <c r="C18" s="22" t="s">
        <v>453</v>
      </c>
      <c r="D18" s="508" t="e">
        <f>VLOOKUP(C18,'Sales Master'!B$3:D$499,2,)</f>
        <v>#N/A</v>
      </c>
      <c r="E18" s="508"/>
      <c r="F18" s="508"/>
      <c r="G18" s="90">
        <v>2</v>
      </c>
      <c r="H18" s="68" t="e">
        <f>VLOOKUP(C18,'Sales Master'!$B$3:$F$3247,5,0)</f>
        <v>#N/A</v>
      </c>
      <c r="I18" s="481" t="e">
        <f>VLOOKUP(C18,'Sales Master'!$B$3:$E$3247,4,0)</f>
        <v>#N/A</v>
      </c>
      <c r="J18" s="481"/>
      <c r="K18" s="35" t="e">
        <f>VLOOKUP(C18,'Sales Master'!B$3:J$499,9,0)</f>
        <v>#N/A</v>
      </c>
      <c r="L18" s="77" t="e">
        <f>K18*G18</f>
        <v>#N/A</v>
      </c>
      <c r="M18" s="78"/>
      <c r="N18" s="24" t="s">
        <v>368</v>
      </c>
      <c r="O18" s="24" t="s">
        <v>270</v>
      </c>
      <c r="R18" s="24">
        <v>1</v>
      </c>
      <c r="S18" s="24" t="s">
        <v>61</v>
      </c>
      <c r="T18" s="24" t="s">
        <v>657</v>
      </c>
    </row>
    <row r="19" spans="2:20" ht="20.149999999999999" customHeight="1" x14ac:dyDescent="0.45">
      <c r="B19" s="34"/>
      <c r="C19" s="22"/>
      <c r="D19" s="508"/>
      <c r="E19" s="508"/>
      <c r="F19" s="508"/>
      <c r="G19" s="90"/>
      <c r="H19" s="68"/>
      <c r="I19" s="481"/>
      <c r="J19" s="481"/>
      <c r="K19" s="35"/>
      <c r="L19" s="77"/>
      <c r="M19" s="78"/>
      <c r="N19" s="24" t="s">
        <v>628</v>
      </c>
      <c r="O19" s="24" t="s">
        <v>320</v>
      </c>
      <c r="R19" s="24">
        <v>4</v>
      </c>
      <c r="S19" s="24" t="s">
        <v>61</v>
      </c>
      <c r="T19" s="24" t="s">
        <v>34</v>
      </c>
    </row>
    <row r="20" spans="2:20" ht="20.149999999999999" customHeight="1" x14ac:dyDescent="0.45">
      <c r="B20" s="34"/>
      <c r="C20" s="22"/>
      <c r="D20" s="508"/>
      <c r="E20" s="508"/>
      <c r="F20" s="508"/>
      <c r="G20" s="90"/>
      <c r="H20" s="68"/>
      <c r="I20" s="481"/>
      <c r="J20" s="481"/>
      <c r="K20" s="35"/>
      <c r="L20" s="77"/>
      <c r="M20" s="78"/>
      <c r="N20" s="24" t="s">
        <v>541</v>
      </c>
      <c r="O20" s="24" t="s">
        <v>281</v>
      </c>
      <c r="R20" s="24">
        <v>5</v>
      </c>
      <c r="S20" s="24" t="s">
        <v>61</v>
      </c>
      <c r="T20" s="24" t="s">
        <v>658</v>
      </c>
    </row>
    <row r="21" spans="2:20" ht="20.149999999999999" customHeight="1" x14ac:dyDescent="0.45">
      <c r="B21" s="34"/>
      <c r="C21" s="22"/>
      <c r="D21" s="508"/>
      <c r="E21" s="508"/>
      <c r="F21" s="508"/>
      <c r="G21" s="90"/>
      <c r="H21" s="68"/>
      <c r="I21" s="604"/>
      <c r="J21" s="604"/>
      <c r="K21" s="35"/>
      <c r="L21" s="77"/>
      <c r="M21" s="78"/>
      <c r="N21" s="24" t="s">
        <v>447</v>
      </c>
      <c r="O21" s="24" t="s">
        <v>459</v>
      </c>
      <c r="R21" s="24">
        <v>3</v>
      </c>
      <c r="S21" s="24" t="s">
        <v>260</v>
      </c>
      <c r="T21" s="24" t="s">
        <v>460</v>
      </c>
    </row>
    <row r="22" spans="2:20" ht="20.149999999999999" customHeight="1" x14ac:dyDescent="0.45">
      <c r="B22" s="80"/>
      <c r="C22" s="22"/>
      <c r="D22" s="508"/>
      <c r="E22" s="508"/>
      <c r="F22" s="508"/>
      <c r="G22" s="90"/>
      <c r="H22" s="68"/>
      <c r="I22" s="604"/>
      <c r="J22" s="604"/>
      <c r="K22" s="35"/>
      <c r="L22" s="77"/>
      <c r="M22" s="78"/>
      <c r="N22" s="24" t="s">
        <v>440</v>
      </c>
      <c r="O22" s="24" t="s">
        <v>289</v>
      </c>
      <c r="R22" s="24">
        <v>1</v>
      </c>
      <c r="S22" s="24" t="s">
        <v>47</v>
      </c>
      <c r="T22" s="24" t="s">
        <v>454</v>
      </c>
    </row>
    <row r="23" spans="2:20" ht="20.149999999999999" customHeight="1" x14ac:dyDescent="0.45">
      <c r="B23" s="34"/>
      <c r="C23" s="22"/>
      <c r="D23" s="508"/>
      <c r="E23" s="508"/>
      <c r="F23" s="508"/>
      <c r="G23" s="90"/>
      <c r="H23" s="68"/>
      <c r="I23" s="604"/>
      <c r="J23" s="604"/>
      <c r="K23" s="35"/>
      <c r="L23" s="77"/>
      <c r="M23" s="78"/>
      <c r="N23" s="24" t="s">
        <v>438</v>
      </c>
      <c r="O23" s="24" t="s">
        <v>287</v>
      </c>
      <c r="R23" s="24">
        <v>1</v>
      </c>
      <c r="S23" s="24" t="s">
        <v>527</v>
      </c>
      <c r="T23" s="24" t="s">
        <v>452</v>
      </c>
    </row>
    <row r="24" spans="2:20" ht="20.149999999999999" customHeight="1" x14ac:dyDescent="0.45">
      <c r="B24" s="34"/>
      <c r="C24" s="22"/>
      <c r="D24" s="508"/>
      <c r="E24" s="508"/>
      <c r="F24" s="508"/>
      <c r="G24" s="90"/>
      <c r="H24" s="68"/>
      <c r="I24" s="604"/>
      <c r="J24" s="604"/>
      <c r="K24" s="35"/>
      <c r="L24" s="77"/>
      <c r="M24" s="78"/>
      <c r="N24" s="24" t="s">
        <v>448</v>
      </c>
      <c r="O24" s="24" t="s">
        <v>294</v>
      </c>
      <c r="R24" s="24">
        <v>1</v>
      </c>
      <c r="S24" s="24" t="s">
        <v>467</v>
      </c>
      <c r="T24" s="24" t="s">
        <v>96</v>
      </c>
    </row>
    <row r="25" spans="2:20" ht="20.149999999999999" customHeight="1" x14ac:dyDescent="0.45">
      <c r="B25" s="34"/>
      <c r="C25" s="22"/>
      <c r="D25" s="508"/>
      <c r="E25" s="508"/>
      <c r="F25" s="508"/>
      <c r="G25" s="90"/>
      <c r="H25" s="68"/>
      <c r="I25" s="604"/>
      <c r="J25" s="604"/>
      <c r="K25" s="35"/>
      <c r="L25" s="77"/>
      <c r="M25" s="78"/>
      <c r="N25" s="24" t="s">
        <v>442</v>
      </c>
      <c r="O25" s="24" t="s">
        <v>290</v>
      </c>
      <c r="R25" s="24">
        <v>2</v>
      </c>
      <c r="S25" s="24" t="s">
        <v>48</v>
      </c>
      <c r="T25" s="24" t="s">
        <v>456</v>
      </c>
    </row>
    <row r="26" spans="2:20" ht="20.149999999999999" customHeight="1" x14ac:dyDescent="0.45">
      <c r="B26" s="34"/>
      <c r="C26" s="22"/>
      <c r="D26" s="508"/>
      <c r="E26" s="508"/>
      <c r="F26" s="508"/>
      <c r="G26" s="90"/>
      <c r="H26" s="68"/>
      <c r="I26" s="604"/>
      <c r="J26" s="604"/>
      <c r="K26" s="35"/>
      <c r="L26" s="77"/>
      <c r="M26" s="78"/>
      <c r="N26" s="24" t="s">
        <v>393</v>
      </c>
      <c r="O26" s="24" t="s">
        <v>286</v>
      </c>
      <c r="R26" s="24">
        <v>2</v>
      </c>
      <c r="S26" s="24" t="s">
        <v>44</v>
      </c>
      <c r="T26" s="24" t="s">
        <v>100</v>
      </c>
    </row>
    <row r="27" spans="2:20" ht="20.149999999999999" customHeight="1" x14ac:dyDescent="0.45">
      <c r="B27" s="34"/>
      <c r="C27" s="22"/>
      <c r="D27" s="508"/>
      <c r="E27" s="508"/>
      <c r="F27" s="508"/>
      <c r="G27" s="90"/>
      <c r="H27" s="68"/>
      <c r="I27" s="604"/>
      <c r="J27" s="604"/>
      <c r="K27" s="35"/>
      <c r="L27" s="77"/>
      <c r="M27" s="78"/>
      <c r="N27" s="24" t="s">
        <v>394</v>
      </c>
      <c r="O27" s="24" t="s">
        <v>449</v>
      </c>
      <c r="R27" s="24">
        <v>2</v>
      </c>
      <c r="S27" s="24" t="s">
        <v>46</v>
      </c>
      <c r="T27" s="24" t="s">
        <v>100</v>
      </c>
    </row>
    <row r="28" spans="2:20" ht="20.149999999999999" customHeight="1" x14ac:dyDescent="0.45">
      <c r="B28" s="34"/>
      <c r="C28" s="22"/>
      <c r="D28" s="508"/>
      <c r="E28" s="508"/>
      <c r="F28" s="508"/>
      <c r="G28" s="91"/>
      <c r="H28" s="68"/>
      <c r="I28" s="604"/>
      <c r="J28" s="604"/>
      <c r="K28" s="35"/>
      <c r="L28" s="77"/>
      <c r="M28" s="78"/>
      <c r="N28" s="24" t="s">
        <v>428</v>
      </c>
      <c r="O28" s="24" t="s">
        <v>280</v>
      </c>
      <c r="R28" s="24">
        <v>5</v>
      </c>
      <c r="S28" s="24" t="s">
        <v>36</v>
      </c>
      <c r="T28" s="24" t="s">
        <v>71</v>
      </c>
    </row>
    <row r="29" spans="2:20" ht="20.149999999999999" customHeight="1" x14ac:dyDescent="0.45">
      <c r="B29" s="34"/>
      <c r="C29" s="22"/>
      <c r="D29" s="508"/>
      <c r="E29" s="508"/>
      <c r="F29" s="508"/>
      <c r="G29" s="91"/>
      <c r="H29" s="68"/>
      <c r="I29" s="604"/>
      <c r="J29" s="604"/>
      <c r="K29" s="35"/>
      <c r="L29" s="77"/>
      <c r="M29" s="78"/>
      <c r="N29" s="24" t="s">
        <v>400</v>
      </c>
      <c r="O29" s="24" t="s">
        <v>625</v>
      </c>
      <c r="R29" s="24">
        <v>4</v>
      </c>
      <c r="S29" s="24" t="s">
        <v>36</v>
      </c>
      <c r="T29" s="24" t="s">
        <v>54</v>
      </c>
    </row>
    <row r="30" spans="2:20" ht="20.149999999999999" customHeight="1" x14ac:dyDescent="0.45">
      <c r="B30" s="34"/>
      <c r="C30" s="22"/>
      <c r="D30" s="508"/>
      <c r="E30" s="508"/>
      <c r="F30" s="508"/>
      <c r="G30" s="91"/>
      <c r="H30" s="68"/>
      <c r="I30" s="604"/>
      <c r="J30" s="604"/>
      <c r="K30" s="35"/>
      <c r="L30" s="77"/>
      <c r="M30" s="78"/>
      <c r="N30" s="24" t="s">
        <v>405</v>
      </c>
      <c r="O30" s="24" t="s">
        <v>304</v>
      </c>
      <c r="R30" s="24">
        <v>3</v>
      </c>
      <c r="S30" s="24" t="s">
        <v>36</v>
      </c>
      <c r="T30" s="24" t="s">
        <v>54</v>
      </c>
    </row>
    <row r="31" spans="2:20" ht="20.149999999999999" customHeight="1" x14ac:dyDescent="0.45">
      <c r="B31" s="34"/>
      <c r="C31" s="22"/>
      <c r="D31" s="508"/>
      <c r="E31" s="508"/>
      <c r="F31" s="508"/>
      <c r="G31" s="91"/>
      <c r="H31" s="68"/>
      <c r="I31" s="604"/>
      <c r="J31" s="604"/>
      <c r="K31" s="35"/>
      <c r="L31" s="77"/>
      <c r="M31" s="78"/>
      <c r="N31" s="24" t="s">
        <v>412</v>
      </c>
      <c r="O31" s="24" t="s">
        <v>311</v>
      </c>
      <c r="R31" s="24">
        <v>2</v>
      </c>
      <c r="S31" s="24" t="s">
        <v>36</v>
      </c>
      <c r="T31" s="24" t="s">
        <v>54</v>
      </c>
    </row>
    <row r="32" spans="2:20" ht="20.149999999999999" customHeight="1" x14ac:dyDescent="0.45">
      <c r="B32" s="34"/>
      <c r="C32" s="22"/>
      <c r="D32" s="508"/>
      <c r="E32" s="508"/>
      <c r="F32" s="508"/>
      <c r="G32" s="91"/>
      <c r="H32" s="68"/>
      <c r="I32" s="604"/>
      <c r="J32" s="604"/>
      <c r="K32" s="35"/>
      <c r="L32" s="77"/>
      <c r="M32" s="78"/>
      <c r="N32" s="24" t="s">
        <v>410</v>
      </c>
      <c r="O32" s="24" t="s">
        <v>309</v>
      </c>
      <c r="R32" s="24">
        <v>2</v>
      </c>
      <c r="S32" s="24" t="s">
        <v>536</v>
      </c>
      <c r="T32" s="24" t="s">
        <v>54</v>
      </c>
    </row>
    <row r="33" spans="2:20" ht="20.149999999999999" customHeight="1" x14ac:dyDescent="0.45">
      <c r="B33" s="34"/>
      <c r="C33" s="22"/>
      <c r="D33" s="508"/>
      <c r="E33" s="508"/>
      <c r="F33" s="508"/>
      <c r="G33" s="91"/>
      <c r="H33" s="68"/>
      <c r="I33" s="604"/>
      <c r="J33" s="604"/>
      <c r="K33" s="35"/>
      <c r="L33" s="77"/>
      <c r="M33" s="78"/>
      <c r="N33" s="24" t="s">
        <v>417</v>
      </c>
      <c r="O33" s="24" t="s">
        <v>313</v>
      </c>
      <c r="R33" s="24">
        <v>2</v>
      </c>
      <c r="S33" s="24" t="s">
        <v>649</v>
      </c>
      <c r="T33" s="24" t="s">
        <v>34</v>
      </c>
    </row>
    <row r="34" spans="2:20" ht="20.149999999999999" customHeight="1" x14ac:dyDescent="0.45">
      <c r="B34" s="34"/>
      <c r="C34" s="22"/>
      <c r="D34" s="508"/>
      <c r="E34" s="508"/>
      <c r="F34" s="508"/>
      <c r="G34" s="91"/>
      <c r="H34" s="68"/>
      <c r="I34" s="604"/>
      <c r="J34" s="604"/>
      <c r="K34" s="35"/>
      <c r="L34" s="77"/>
      <c r="M34" s="78"/>
      <c r="N34" s="24" t="s">
        <v>517</v>
      </c>
      <c r="O34" s="24" t="s">
        <v>279</v>
      </c>
      <c r="R34" s="24">
        <v>30</v>
      </c>
      <c r="S34" s="24" t="s">
        <v>36</v>
      </c>
      <c r="T34" s="24" t="s">
        <v>34</v>
      </c>
    </row>
    <row r="35" spans="2:20" ht="20.149999999999999" customHeight="1" x14ac:dyDescent="0.45">
      <c r="B35" s="34"/>
      <c r="C35" s="22"/>
      <c r="G35" s="91"/>
      <c r="H35" s="68"/>
      <c r="I35" s="604"/>
      <c r="J35" s="604"/>
      <c r="K35" s="35"/>
      <c r="L35" s="77"/>
      <c r="M35" s="78"/>
      <c r="N35" s="24" t="s">
        <v>520</v>
      </c>
      <c r="O35" s="24" t="s">
        <v>326</v>
      </c>
      <c r="R35" s="24">
        <v>3</v>
      </c>
      <c r="S35" s="24" t="s">
        <v>36</v>
      </c>
      <c r="T35" s="24" t="s">
        <v>34</v>
      </c>
    </row>
    <row r="36" spans="2:20" ht="20.149999999999999" customHeight="1" x14ac:dyDescent="0.45">
      <c r="B36" s="34"/>
      <c r="C36" s="22"/>
      <c r="D36" s="508"/>
      <c r="E36" s="508"/>
      <c r="F36" s="508"/>
      <c r="G36" s="91"/>
      <c r="H36" s="68"/>
      <c r="I36" s="604"/>
      <c r="J36" s="604"/>
      <c r="K36" s="35"/>
      <c r="L36" s="77"/>
      <c r="N36" s="24" t="s">
        <v>521</v>
      </c>
      <c r="O36" s="24" t="s">
        <v>490</v>
      </c>
      <c r="R36" s="24">
        <v>2</v>
      </c>
      <c r="S36" s="24" t="s">
        <v>36</v>
      </c>
      <c r="T36" s="24" t="s">
        <v>34</v>
      </c>
    </row>
    <row r="37" spans="2:20" ht="20.149999999999999" customHeight="1" thickBot="1" x14ac:dyDescent="0.5">
      <c r="B37" s="37"/>
      <c r="C37" s="38"/>
      <c r="D37" s="509"/>
      <c r="E37" s="509"/>
      <c r="F37" s="509"/>
      <c r="G37" s="38"/>
      <c r="H37" s="69"/>
      <c r="I37" s="588"/>
      <c r="J37" s="588"/>
      <c r="K37" s="39"/>
      <c r="L37" s="40"/>
    </row>
    <row r="38" spans="2:20" ht="20.149999999999999" customHeight="1" thickBot="1" x14ac:dyDescent="0.5">
      <c r="B38" s="41"/>
      <c r="L38" s="42"/>
    </row>
    <row r="39" spans="2:20" ht="20.149999999999999" customHeight="1" x14ac:dyDescent="0.45">
      <c r="B39" s="11" t="s">
        <v>18</v>
      </c>
      <c r="C39" s="7"/>
      <c r="D39" s="7"/>
      <c r="E39" s="7"/>
      <c r="F39" s="7"/>
      <c r="G39" s="7"/>
      <c r="H39" s="7"/>
      <c r="I39" s="86"/>
      <c r="J39" s="510" t="s">
        <v>15</v>
      </c>
      <c r="K39" s="511"/>
      <c r="L39" s="43" t="e">
        <f>SUM(L17:L36)</f>
        <v>#N/A</v>
      </c>
      <c r="M39" s="76">
        <f>166+26</f>
        <v>192</v>
      </c>
    </row>
    <row r="40" spans="2:20" ht="20.149999999999999" customHeight="1" x14ac:dyDescent="0.45">
      <c r="B40" s="11" t="s">
        <v>19</v>
      </c>
      <c r="C40" s="7"/>
      <c r="D40" s="7"/>
      <c r="E40" s="7"/>
      <c r="F40" s="7"/>
      <c r="G40" s="7"/>
      <c r="H40" s="7"/>
      <c r="I40" s="86"/>
      <c r="J40" s="44" t="s">
        <v>22</v>
      </c>
      <c r="K40" s="45"/>
      <c r="L40" s="46" t="e">
        <f>L39*K40</f>
        <v>#N/A</v>
      </c>
    </row>
    <row r="41" spans="2:20" ht="20.149999999999999" customHeight="1" x14ac:dyDescent="0.45">
      <c r="B41" s="11" t="s">
        <v>20</v>
      </c>
      <c r="C41" s="7"/>
      <c r="D41" s="7"/>
      <c r="E41" s="7"/>
      <c r="F41" s="7"/>
      <c r="G41" s="7"/>
      <c r="H41" s="7"/>
      <c r="I41" s="86"/>
      <c r="J41" s="486" t="s">
        <v>21</v>
      </c>
      <c r="K41" s="487"/>
      <c r="L41" s="46" t="e">
        <f>L39-L40</f>
        <v>#N/A</v>
      </c>
    </row>
    <row r="42" spans="2:20" ht="20.149999999999999" customHeight="1" x14ac:dyDescent="0.45">
      <c r="B42" s="11" t="s">
        <v>24</v>
      </c>
      <c r="C42" s="7"/>
      <c r="D42" s="7"/>
      <c r="E42" s="7"/>
      <c r="F42" s="7"/>
      <c r="G42" s="7"/>
      <c r="H42" s="7"/>
      <c r="I42" s="86"/>
      <c r="J42" s="150" t="s">
        <v>17</v>
      </c>
      <c r="K42" s="151">
        <v>7.0000000000000007E-2</v>
      </c>
      <c r="L42" s="47" t="e">
        <f>L41*K42</f>
        <v>#N/A</v>
      </c>
    </row>
    <row r="43" spans="2:20" ht="20.149999999999999" customHeight="1" thickBot="1" x14ac:dyDescent="0.5">
      <c r="B43" s="11" t="s">
        <v>25</v>
      </c>
      <c r="C43" s="7"/>
      <c r="D43" s="7"/>
      <c r="E43" s="7"/>
      <c r="F43" s="7"/>
      <c r="G43" s="7"/>
      <c r="H43" s="7"/>
      <c r="I43" s="86"/>
      <c r="J43" s="488" t="s">
        <v>23</v>
      </c>
      <c r="K43" s="489"/>
      <c r="L43" s="48" t="e">
        <f>L41+L42</f>
        <v>#N/A</v>
      </c>
    </row>
    <row r="44" spans="2:20" ht="20.149999999999999" customHeight="1" x14ac:dyDescent="0.45">
      <c r="B44" s="11" t="s">
        <v>26</v>
      </c>
      <c r="C44" s="7"/>
      <c r="D44" s="7"/>
      <c r="E44" s="7"/>
      <c r="F44" s="7"/>
      <c r="G44" s="7"/>
      <c r="H44" s="7"/>
      <c r="I44" s="86"/>
      <c r="L44" s="42"/>
    </row>
    <row r="45" spans="2:20" ht="20.149999999999999" customHeight="1" x14ac:dyDescent="0.45">
      <c r="B45" s="41"/>
      <c r="L45" s="42"/>
    </row>
    <row r="46" spans="2:20" ht="20.149999999999999" customHeight="1" x14ac:dyDescent="0.45">
      <c r="B46" s="41"/>
      <c r="L46" s="42"/>
    </row>
    <row r="47" spans="2:20" ht="20.149999999999999" customHeight="1" x14ac:dyDescent="0.45">
      <c r="B47" s="41"/>
      <c r="L47" s="42"/>
    </row>
    <row r="48" spans="2:20" ht="20.149999999999999" customHeight="1" x14ac:dyDescent="0.45">
      <c r="B48" s="41"/>
      <c r="L48" s="42"/>
    </row>
    <row r="49" spans="2:12" ht="20.149999999999999" customHeight="1" x14ac:dyDescent="0.45">
      <c r="B49" s="49"/>
      <c r="C49" s="50"/>
      <c r="D49" s="50"/>
      <c r="J49" s="87"/>
      <c r="K49" s="50"/>
      <c r="L49" s="51"/>
    </row>
    <row r="50" spans="2:12" ht="20.149999999999999" customHeight="1" x14ac:dyDescent="0.45">
      <c r="B50" s="41" t="s">
        <v>27</v>
      </c>
      <c r="J50" s="81" t="s">
        <v>28</v>
      </c>
      <c r="L50" s="42"/>
    </row>
    <row r="51" spans="2:12" ht="19" thickBot="1" x14ac:dyDescent="0.5">
      <c r="B51" s="52"/>
      <c r="C51" s="53"/>
      <c r="D51" s="53"/>
      <c r="E51" s="53"/>
      <c r="F51" s="53"/>
      <c r="G51" s="53"/>
      <c r="H51" s="53"/>
      <c r="I51" s="88"/>
      <c r="J51" s="88"/>
      <c r="K51" s="53"/>
      <c r="L51" s="54"/>
    </row>
  </sheetData>
  <mergeCells count="57">
    <mergeCell ref="B15:D15"/>
    <mergeCell ref="D34:F34"/>
    <mergeCell ref="I34:J34"/>
    <mergeCell ref="J41:K41"/>
    <mergeCell ref="J43:K43"/>
    <mergeCell ref="I35:J35"/>
    <mergeCell ref="D36:F36"/>
    <mergeCell ref="I36:J36"/>
    <mergeCell ref="D37:F37"/>
    <mergeCell ref="I37:J37"/>
    <mergeCell ref="J39:K39"/>
    <mergeCell ref="D31:F31"/>
    <mergeCell ref="I31:J31"/>
    <mergeCell ref="D32:F32"/>
    <mergeCell ref="I32:J32"/>
    <mergeCell ref="D33:F33"/>
    <mergeCell ref="I33:J33"/>
    <mergeCell ref="D28:F28"/>
    <mergeCell ref="I28:J28"/>
    <mergeCell ref="D29:F29"/>
    <mergeCell ref="I29:J29"/>
    <mergeCell ref="D30:F30"/>
    <mergeCell ref="I30:J30"/>
    <mergeCell ref="D25:F25"/>
    <mergeCell ref="I25:J25"/>
    <mergeCell ref="D26:F26"/>
    <mergeCell ref="I26:J26"/>
    <mergeCell ref="D27:F27"/>
    <mergeCell ref="I27:J27"/>
    <mergeCell ref="D22:F22"/>
    <mergeCell ref="I22:J22"/>
    <mergeCell ref="D23:F23"/>
    <mergeCell ref="I23:J23"/>
    <mergeCell ref="D24:F24"/>
    <mergeCell ref="I24:J24"/>
    <mergeCell ref="D20:F20"/>
    <mergeCell ref="I20:J20"/>
    <mergeCell ref="D21:F21"/>
    <mergeCell ref="I21:J21"/>
    <mergeCell ref="D19:F19"/>
    <mergeCell ref="I19:J19"/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18:J18"/>
  </mergeCells>
  <pageMargins left="0.70866141732283472" right="0.31496062992125984" top="0.59055118110236227" bottom="0" header="0.31496062992125984" footer="0.31496062992125984"/>
  <pageSetup paperSize="9" scale="74" orientation="portrait" verticalDpi="300" r:id="rId1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DCA6AD-27CA-4D86-A0A9-B9719D7F041E}">
  <sheetPr codeName="Sheet78">
    <tabColor rgb="FFFFFF00"/>
    <pageSetUpPr fitToPage="1"/>
  </sheetPr>
  <dimension ref="B1:O51"/>
  <sheetViews>
    <sheetView workbookViewId="0">
      <selection activeCell="B12" sqref="B12:D12"/>
    </sheetView>
  </sheetViews>
  <sheetFormatPr defaultColWidth="12.54296875" defaultRowHeight="18.5" x14ac:dyDescent="0.45"/>
  <cols>
    <col min="1" max="1" width="12.54296875" style="24"/>
    <col min="2" max="3" width="12.54296875" style="24" customWidth="1"/>
    <col min="4" max="4" width="14.54296875" style="24" customWidth="1"/>
    <col min="5" max="5" width="1.54296875" style="24" customWidth="1"/>
    <col min="6" max="6" width="14.54296875" style="24" customWidth="1"/>
    <col min="7" max="7" width="8.54296875" style="24" customWidth="1"/>
    <col min="8" max="8" width="15.54296875" style="24" customWidth="1"/>
    <col min="9" max="9" width="2.54296875" style="81" customWidth="1"/>
    <col min="10" max="10" width="15.54296875" style="81" customWidth="1"/>
    <col min="11" max="11" width="10.54296875" style="24" customWidth="1"/>
    <col min="12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209</v>
      </c>
      <c r="J10" s="82" t="s">
        <v>29</v>
      </c>
      <c r="K10" s="452"/>
      <c r="L10" s="453"/>
    </row>
    <row r="11" spans="2:12" ht="20.149999999999999" customHeight="1" x14ac:dyDescent="0.45">
      <c r="B11" s="454" t="s">
        <v>2022</v>
      </c>
      <c r="C11" s="455"/>
      <c r="D11" s="456"/>
      <c r="E11" s="30"/>
      <c r="F11" s="457" t="str">
        <f>VLOOKUP(H10,'Delivery Location'!A$4:N$416,2,0)</f>
        <v>1983 - A TASTE OF NANYANG                         9, WOODLANDS AVENUE 9.                       SOUTH FOOD COURT LEVER 2                SINGAPORE 738964</v>
      </c>
      <c r="G11" s="458"/>
      <c r="H11" s="459"/>
      <c r="J11" s="83" t="s">
        <v>11</v>
      </c>
      <c r="K11" s="551"/>
      <c r="L11" s="472"/>
    </row>
    <row r="12" spans="2:12" ht="20.149999999999999" customHeight="1" x14ac:dyDescent="0.45">
      <c r="B12" s="468" t="s">
        <v>2139</v>
      </c>
      <c r="C12" s="469"/>
      <c r="D12" s="470"/>
      <c r="E12" s="30"/>
      <c r="F12" s="460"/>
      <c r="G12" s="461"/>
      <c r="H12" s="462"/>
      <c r="J12" s="83" t="s">
        <v>171</v>
      </c>
      <c r="K12" s="471" t="s">
        <v>533</v>
      </c>
      <c r="L12" s="472"/>
    </row>
    <row r="13" spans="2:12" ht="20.149999999999999" customHeight="1" x14ac:dyDescent="0.45">
      <c r="B13" s="468" t="s">
        <v>2024</v>
      </c>
      <c r="C13" s="469"/>
      <c r="D13" s="470"/>
      <c r="E13" s="30"/>
      <c r="F13" s="460"/>
      <c r="G13" s="461"/>
      <c r="H13" s="462"/>
      <c r="J13" s="83" t="s">
        <v>12</v>
      </c>
      <c r="K13" s="471" t="s">
        <v>14</v>
      </c>
      <c r="L13" s="472"/>
    </row>
    <row r="14" spans="2:12" ht="20.149999999999999" customHeight="1" x14ac:dyDescent="0.45">
      <c r="B14" s="468" t="s">
        <v>2025</v>
      </c>
      <c r="C14" s="469"/>
      <c r="D14" s="470"/>
      <c r="E14" s="30"/>
      <c r="F14" s="460"/>
      <c r="G14" s="461"/>
      <c r="H14" s="462"/>
      <c r="J14" s="83" t="s">
        <v>30</v>
      </c>
      <c r="K14" s="471" t="s">
        <v>16</v>
      </c>
      <c r="L14" s="472"/>
    </row>
    <row r="15" spans="2:12" ht="18" customHeight="1" thickBot="1" x14ac:dyDescent="0.5">
      <c r="B15" s="463" t="s">
        <v>2026</v>
      </c>
      <c r="C15" s="464"/>
      <c r="D15" s="465"/>
      <c r="E15" s="26"/>
      <c r="F15" s="463"/>
      <c r="G15" s="464"/>
      <c r="H15" s="465"/>
      <c r="J15" s="84" t="s">
        <v>13</v>
      </c>
      <c r="K15" s="181"/>
      <c r="L15" s="181"/>
    </row>
    <row r="16" spans="2:12" ht="19" thickBot="1" x14ac:dyDescent="0.5">
      <c r="J16" s="85"/>
    </row>
    <row r="17" spans="2:15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612" t="s">
        <v>60</v>
      </c>
      <c r="J17" s="613"/>
      <c r="K17" s="9" t="s">
        <v>6</v>
      </c>
      <c r="L17" s="10" t="s">
        <v>7</v>
      </c>
      <c r="M17" s="33"/>
      <c r="N17" s="33"/>
      <c r="O17" s="33"/>
    </row>
    <row r="18" spans="2:15" ht="20.149999999999999" customHeight="1" x14ac:dyDescent="0.45">
      <c r="B18" s="34"/>
      <c r="C18" s="22" t="s">
        <v>372</v>
      </c>
      <c r="D18" s="508" t="e">
        <f>VLOOKUP(C18,'Sales Master'!B$3:D$499,2,)</f>
        <v>#N/A</v>
      </c>
      <c r="E18" s="508"/>
      <c r="F18" s="508"/>
      <c r="G18" s="22">
        <v>1</v>
      </c>
      <c r="H18" s="68" t="e">
        <f>VLOOKUP(C18,'Sales Master'!$B$3:$F$3247,5,0)</f>
        <v>#N/A</v>
      </c>
      <c r="I18" s="481" t="e">
        <f>VLOOKUP(C18,'Sales Master'!$B$3:$E$3247,4,0)</f>
        <v>#N/A</v>
      </c>
      <c r="J18" s="481"/>
      <c r="K18" s="35" t="e">
        <f>VLOOKUP(C18,'Sales Master'!B$3:J$499,9,0)</f>
        <v>#N/A</v>
      </c>
      <c r="L18" s="77" t="e">
        <f t="shared" ref="L18:L27" si="0">K18*G18</f>
        <v>#N/A</v>
      </c>
      <c r="M18" s="78"/>
    </row>
    <row r="19" spans="2:15" ht="20.149999999999999" customHeight="1" x14ac:dyDescent="0.45">
      <c r="B19" s="34"/>
      <c r="C19" s="22" t="s">
        <v>402</v>
      </c>
      <c r="D19" s="508" t="e">
        <f>VLOOKUP(C19,'Sales Master'!B$3:D$499,2,)</f>
        <v>#N/A</v>
      </c>
      <c r="E19" s="508"/>
      <c r="F19" s="508"/>
      <c r="G19" s="22">
        <v>2</v>
      </c>
      <c r="H19" s="68" t="e">
        <f>VLOOKUP(C19,'Sales Master'!$B$3:$F$3247,5,0)</f>
        <v>#N/A</v>
      </c>
      <c r="I19" s="481" t="e">
        <f>VLOOKUP(C19,'Sales Master'!$B$3:$E$3247,4,0)</f>
        <v>#N/A</v>
      </c>
      <c r="J19" s="481"/>
      <c r="K19" s="35" t="e">
        <f>VLOOKUP(C19,'Sales Master'!B$3:J$499,9,0)</f>
        <v>#N/A</v>
      </c>
      <c r="L19" s="77" t="e">
        <f t="shared" si="0"/>
        <v>#N/A</v>
      </c>
      <c r="M19" s="78"/>
    </row>
    <row r="20" spans="2:15" ht="20.149999999999999" customHeight="1" x14ac:dyDescent="0.45">
      <c r="B20" s="34"/>
      <c r="C20" s="22" t="s">
        <v>405</v>
      </c>
      <c r="D20" s="508" t="e">
        <f>VLOOKUP(C20,'Sales Master'!B$3:D$499,2,)</f>
        <v>#N/A</v>
      </c>
      <c r="E20" s="508"/>
      <c r="F20" s="508"/>
      <c r="G20" s="22">
        <v>2</v>
      </c>
      <c r="H20" s="68" t="e">
        <f>VLOOKUP(C20,'Sales Master'!$B$3:$F$3247,5,0)</f>
        <v>#N/A</v>
      </c>
      <c r="I20" s="481" t="e">
        <f>VLOOKUP(C20,'Sales Master'!$B$3:$E$3247,4,0)</f>
        <v>#N/A</v>
      </c>
      <c r="J20" s="481"/>
      <c r="K20" s="35" t="e">
        <f>VLOOKUP(C20,'Sales Master'!B$3:J$499,9,0)</f>
        <v>#N/A</v>
      </c>
      <c r="L20" s="77" t="e">
        <f t="shared" si="0"/>
        <v>#N/A</v>
      </c>
      <c r="M20" s="78"/>
    </row>
    <row r="21" spans="2:15" ht="20.149999999999999" customHeight="1" x14ac:dyDescent="0.45">
      <c r="B21" s="34"/>
      <c r="C21" s="22" t="s">
        <v>407</v>
      </c>
      <c r="D21" s="508" t="e">
        <f>VLOOKUP(C21,'Sales Master'!B$3:D$499,2,)</f>
        <v>#N/A</v>
      </c>
      <c r="E21" s="508"/>
      <c r="F21" s="508"/>
      <c r="G21" s="22">
        <v>1</v>
      </c>
      <c r="H21" s="68" t="e">
        <f>VLOOKUP(C21,'Sales Master'!$B$3:$F$3247,5,0)</f>
        <v>#N/A</v>
      </c>
      <c r="I21" s="481" t="e">
        <f>VLOOKUP(C21,'Sales Master'!$B$3:$E$3247,4,0)</f>
        <v>#N/A</v>
      </c>
      <c r="J21" s="481"/>
      <c r="K21" s="35" t="e">
        <f>VLOOKUP(C21,'Sales Master'!B$3:J$499,9,0)</f>
        <v>#N/A</v>
      </c>
      <c r="L21" s="77" t="e">
        <f t="shared" si="0"/>
        <v>#N/A</v>
      </c>
      <c r="M21" s="78"/>
    </row>
    <row r="22" spans="2:15" ht="20.149999999999999" customHeight="1" x14ac:dyDescent="0.45">
      <c r="B22" s="34"/>
      <c r="C22" s="22" t="s">
        <v>442</v>
      </c>
      <c r="D22" s="508" t="e">
        <f>VLOOKUP(C22,'Sales Master'!B$3:D$499,2,)</f>
        <v>#N/A</v>
      </c>
      <c r="E22" s="508"/>
      <c r="F22" s="508"/>
      <c r="G22" s="22">
        <v>1</v>
      </c>
      <c r="H22" s="68" t="e">
        <f>VLOOKUP(C22,'Sales Master'!$B$3:$F$3247,5,0)</f>
        <v>#N/A</v>
      </c>
      <c r="I22" s="481" t="e">
        <f>VLOOKUP(C22,'Sales Master'!$B$3:$E$3247,4,0)</f>
        <v>#N/A</v>
      </c>
      <c r="J22" s="481"/>
      <c r="K22" s="35" t="e">
        <f>VLOOKUP(C22,'Sales Master'!B$3:J$499,9,0)</f>
        <v>#N/A</v>
      </c>
      <c r="L22" s="77" t="e">
        <f t="shared" si="0"/>
        <v>#N/A</v>
      </c>
      <c r="M22" s="78"/>
    </row>
    <row r="23" spans="2:15" ht="20.149999999999999" customHeight="1" x14ac:dyDescent="0.45">
      <c r="B23" s="34"/>
      <c r="C23" s="22" t="s">
        <v>453</v>
      </c>
      <c r="D23" s="508" t="e">
        <f>VLOOKUP(C23,'Sales Master'!B$3:D$499,2,)</f>
        <v>#N/A</v>
      </c>
      <c r="E23" s="508"/>
      <c r="F23" s="508"/>
      <c r="G23" s="22">
        <v>1</v>
      </c>
      <c r="H23" s="68" t="e">
        <f>VLOOKUP(C23,'Sales Master'!$B$3:$F$3247,5,0)</f>
        <v>#N/A</v>
      </c>
      <c r="I23" s="481" t="e">
        <f>VLOOKUP(C23,'Sales Master'!$B$3:$E$3247,4,0)</f>
        <v>#N/A</v>
      </c>
      <c r="J23" s="481"/>
      <c r="K23" s="35" t="e">
        <f>VLOOKUP(C23,'Sales Master'!B$3:J$499,9,0)</f>
        <v>#N/A</v>
      </c>
      <c r="L23" s="77" t="e">
        <f t="shared" si="0"/>
        <v>#N/A</v>
      </c>
      <c r="M23" s="78"/>
    </row>
    <row r="24" spans="2:15" ht="20.149999999999999" customHeight="1" x14ac:dyDescent="0.45">
      <c r="B24" s="34"/>
      <c r="C24" s="197" t="s">
        <v>428</v>
      </c>
      <c r="D24" s="508" t="e">
        <f>VLOOKUP(C24,'Sales Master'!B$3:D$499,2,)</f>
        <v>#N/A</v>
      </c>
      <c r="E24" s="508"/>
      <c r="F24" s="508"/>
      <c r="G24" s="22">
        <v>6</v>
      </c>
      <c r="H24" s="68" t="e">
        <f>VLOOKUP(C24,'Sales Master'!$B$3:$F$3247,5,0)</f>
        <v>#N/A</v>
      </c>
      <c r="I24" s="481" t="e">
        <f>VLOOKUP(C24,'Sales Master'!$B$3:$E$3247,4,0)</f>
        <v>#N/A</v>
      </c>
      <c r="J24" s="481"/>
      <c r="K24" s="35" t="e">
        <f>VLOOKUP(C24,'Sales Master'!B$3:J$499,9,0)</f>
        <v>#N/A</v>
      </c>
      <c r="L24" s="77" t="e">
        <f t="shared" si="0"/>
        <v>#N/A</v>
      </c>
      <c r="M24" s="78"/>
    </row>
    <row r="25" spans="2:15" ht="20.149999999999999" customHeight="1" x14ac:dyDescent="0.45">
      <c r="B25" s="34"/>
      <c r="C25" s="22" t="s">
        <v>429</v>
      </c>
      <c r="D25" s="508" t="e">
        <f>VLOOKUP(C25,'Sales Master'!B$3:D$499,2,)</f>
        <v>#N/A</v>
      </c>
      <c r="E25" s="508"/>
      <c r="F25" s="508"/>
      <c r="G25" s="22">
        <v>1</v>
      </c>
      <c r="H25" s="68" t="e">
        <f>VLOOKUP(C25,'Sales Master'!$B$3:$F$3247,5,0)</f>
        <v>#N/A</v>
      </c>
      <c r="I25" s="481" t="e">
        <f>VLOOKUP(C25,'Sales Master'!$B$3:$E$3247,4,0)</f>
        <v>#N/A</v>
      </c>
      <c r="J25" s="481"/>
      <c r="K25" s="35" t="e">
        <f>VLOOKUP(C25,'Sales Master'!B$3:J$499,9,0)</f>
        <v>#N/A</v>
      </c>
      <c r="L25" s="77" t="e">
        <f t="shared" si="0"/>
        <v>#N/A</v>
      </c>
      <c r="M25" s="78"/>
    </row>
    <row r="26" spans="2:15" ht="20.149999999999999" customHeight="1" x14ac:dyDescent="0.45">
      <c r="B26" s="34"/>
      <c r="C26" s="22" t="s">
        <v>518</v>
      </c>
      <c r="D26" s="508" t="e">
        <f>VLOOKUP(C26,'Sales Master'!B$3:D$499,2,)</f>
        <v>#N/A</v>
      </c>
      <c r="E26" s="508"/>
      <c r="F26" s="508"/>
      <c r="G26" s="22">
        <v>10</v>
      </c>
      <c r="H26" s="68" t="e">
        <f>VLOOKUP(C26,'Sales Master'!$B$3:$F$3247,5,0)</f>
        <v>#N/A</v>
      </c>
      <c r="I26" s="481" t="e">
        <f>VLOOKUP(C26,'Sales Master'!$B$3:$E$3247,4,0)</f>
        <v>#N/A</v>
      </c>
      <c r="J26" s="481"/>
      <c r="K26" s="35" t="e">
        <f>VLOOKUP(C26,'Sales Master'!B$3:J$499,9,0)</f>
        <v>#N/A</v>
      </c>
      <c r="L26" s="77" t="e">
        <f t="shared" si="0"/>
        <v>#N/A</v>
      </c>
      <c r="M26" s="78"/>
    </row>
    <row r="27" spans="2:15" ht="20.149999999999999" customHeight="1" x14ac:dyDescent="0.45">
      <c r="B27" s="34"/>
      <c r="C27" s="22" t="s">
        <v>521</v>
      </c>
      <c r="D27" s="508" t="e">
        <f>VLOOKUP(C27,'Sales Master'!B$3:D$499,2,)</f>
        <v>#N/A</v>
      </c>
      <c r="E27" s="508"/>
      <c r="F27" s="508"/>
      <c r="G27" s="22">
        <v>1</v>
      </c>
      <c r="H27" s="68" t="e">
        <f>VLOOKUP(C27,'Sales Master'!$B$3:$F$3247,5,0)</f>
        <v>#N/A</v>
      </c>
      <c r="I27" s="481" t="e">
        <f>VLOOKUP(C27,'Sales Master'!$B$3:$E$3247,4,0)</f>
        <v>#N/A</v>
      </c>
      <c r="J27" s="481"/>
      <c r="K27" s="35" t="e">
        <f>VLOOKUP(C27,'Sales Master'!B$3:J$499,9,0)</f>
        <v>#N/A</v>
      </c>
      <c r="L27" s="77" t="e">
        <f t="shared" si="0"/>
        <v>#N/A</v>
      </c>
      <c r="M27" s="78"/>
    </row>
    <row r="28" spans="2:15" ht="20.149999999999999" customHeight="1" x14ac:dyDescent="0.45">
      <c r="B28" s="34"/>
      <c r="C28" s="22"/>
      <c r="D28" s="508"/>
      <c r="E28" s="508"/>
      <c r="F28" s="508"/>
      <c r="G28" s="22"/>
      <c r="H28" s="68"/>
      <c r="I28" s="481"/>
      <c r="J28" s="481"/>
      <c r="K28" s="35"/>
      <c r="L28" s="77"/>
      <c r="M28" s="78"/>
    </row>
    <row r="29" spans="2:15" ht="20.149999999999999" customHeight="1" x14ac:dyDescent="0.45">
      <c r="B29" s="34"/>
      <c r="C29" s="22"/>
      <c r="D29" s="508"/>
      <c r="E29" s="508"/>
      <c r="F29" s="508"/>
      <c r="G29" s="22"/>
      <c r="H29" s="68"/>
      <c r="I29" s="481"/>
      <c r="J29" s="481"/>
      <c r="K29" s="35"/>
      <c r="L29" s="77"/>
      <c r="M29" s="78"/>
    </row>
    <row r="30" spans="2:15" ht="20.149999999999999" customHeight="1" x14ac:dyDescent="0.45">
      <c r="B30" s="34"/>
      <c r="C30" s="22"/>
      <c r="D30" s="508"/>
      <c r="E30" s="508"/>
      <c r="F30" s="508"/>
      <c r="G30" s="22"/>
      <c r="H30" s="68"/>
      <c r="I30" s="481"/>
      <c r="J30" s="481"/>
      <c r="K30" s="35"/>
      <c r="L30" s="77"/>
      <c r="M30" s="78"/>
    </row>
    <row r="31" spans="2:15" ht="20.149999999999999" customHeight="1" x14ac:dyDescent="0.45">
      <c r="B31" s="34"/>
      <c r="C31" s="22"/>
      <c r="D31" s="508"/>
      <c r="E31" s="508"/>
      <c r="F31" s="508"/>
      <c r="G31" s="22"/>
      <c r="H31" s="68"/>
      <c r="I31" s="481"/>
      <c r="J31" s="481"/>
      <c r="K31" s="35"/>
      <c r="L31" s="77"/>
      <c r="M31" s="78"/>
    </row>
    <row r="32" spans="2:15" ht="20.149999999999999" customHeight="1" x14ac:dyDescent="0.45">
      <c r="B32" s="34"/>
      <c r="C32" s="22"/>
      <c r="D32" s="508"/>
      <c r="E32" s="508"/>
      <c r="F32" s="508"/>
      <c r="G32" s="22"/>
      <c r="H32" s="68"/>
      <c r="I32" s="481"/>
      <c r="J32" s="481"/>
      <c r="K32" s="35"/>
      <c r="L32" s="77"/>
      <c r="M32" s="78"/>
    </row>
    <row r="33" spans="2:13" ht="20.149999999999999" customHeight="1" x14ac:dyDescent="0.45">
      <c r="B33" s="34"/>
      <c r="C33" s="22"/>
      <c r="D33" s="508"/>
      <c r="E33" s="508"/>
      <c r="F33" s="508"/>
      <c r="G33" s="22"/>
      <c r="H33" s="68"/>
      <c r="I33" s="481"/>
      <c r="J33" s="481"/>
      <c r="K33" s="35"/>
      <c r="L33" s="77"/>
      <c r="M33" s="78"/>
    </row>
    <row r="34" spans="2:13" ht="20.149999999999999" customHeight="1" x14ac:dyDescent="0.45">
      <c r="B34" s="34"/>
      <c r="C34" s="22"/>
      <c r="D34" s="508"/>
      <c r="E34" s="508"/>
      <c r="F34" s="508"/>
      <c r="G34" s="22"/>
      <c r="H34" s="68"/>
      <c r="I34" s="481"/>
      <c r="J34" s="481"/>
      <c r="K34" s="35"/>
      <c r="L34" s="77"/>
      <c r="M34" s="78"/>
    </row>
    <row r="35" spans="2:13" ht="20.149999999999999" customHeight="1" x14ac:dyDescent="0.45">
      <c r="B35" s="34"/>
      <c r="C35" s="22"/>
      <c r="D35" s="508"/>
      <c r="E35" s="508"/>
      <c r="F35" s="508"/>
      <c r="G35" s="22"/>
      <c r="H35" s="68"/>
      <c r="I35" s="481"/>
      <c r="J35" s="481"/>
      <c r="K35" s="35"/>
      <c r="L35" s="77"/>
      <c r="M35" s="78"/>
    </row>
    <row r="36" spans="2:13" ht="20.149999999999999" customHeight="1" x14ac:dyDescent="0.45">
      <c r="B36" s="34"/>
      <c r="C36" s="22"/>
      <c r="D36" s="508"/>
      <c r="E36" s="508"/>
      <c r="F36" s="508"/>
      <c r="G36" s="22"/>
      <c r="H36" s="68"/>
      <c r="I36" s="481"/>
      <c r="J36" s="481"/>
      <c r="K36" s="35"/>
      <c r="L36" s="77"/>
      <c r="M36" s="78"/>
    </row>
    <row r="37" spans="2:13" ht="20.149999999999999" customHeight="1" x14ac:dyDescent="0.45">
      <c r="B37" s="155"/>
      <c r="C37" s="156"/>
      <c r="D37" s="556"/>
      <c r="E37" s="556"/>
      <c r="F37" s="556"/>
      <c r="G37" s="156"/>
      <c r="H37" s="189"/>
      <c r="I37" s="491"/>
      <c r="J37" s="491"/>
      <c r="K37" s="183"/>
      <c r="L37" s="137"/>
    </row>
    <row r="38" spans="2:13" ht="20.149999999999999" customHeight="1" thickBot="1" x14ac:dyDescent="0.5">
      <c r="B38" s="41"/>
      <c r="L38" s="42"/>
    </row>
    <row r="39" spans="2:13" ht="20.149999999999999" customHeight="1" x14ac:dyDescent="0.45">
      <c r="B39" s="11" t="s">
        <v>18</v>
      </c>
      <c r="C39" s="7"/>
      <c r="D39" s="7"/>
      <c r="E39" s="7"/>
      <c r="F39" s="7"/>
      <c r="G39" s="7"/>
      <c r="H39" s="7"/>
      <c r="I39" s="86"/>
      <c r="J39" s="510" t="s">
        <v>15</v>
      </c>
      <c r="K39" s="511"/>
      <c r="L39" s="43" t="e">
        <f>SUM(L17:L37)</f>
        <v>#N/A</v>
      </c>
      <c r="M39" s="76">
        <f>166+26</f>
        <v>192</v>
      </c>
    </row>
    <row r="40" spans="2:13" ht="20.149999999999999" customHeight="1" x14ac:dyDescent="0.45">
      <c r="B40" s="11" t="s">
        <v>19</v>
      </c>
      <c r="C40" s="7"/>
      <c r="D40" s="7"/>
      <c r="E40" s="7"/>
      <c r="F40" s="7"/>
      <c r="G40" s="7"/>
      <c r="H40" s="7"/>
      <c r="I40" s="86"/>
      <c r="J40" s="44" t="s">
        <v>22</v>
      </c>
      <c r="K40" s="45"/>
      <c r="L40" s="46" t="e">
        <f>L39*K40</f>
        <v>#N/A</v>
      </c>
    </row>
    <row r="41" spans="2:13" ht="20.149999999999999" customHeight="1" x14ac:dyDescent="0.45">
      <c r="B41" s="11" t="s">
        <v>20</v>
      </c>
      <c r="C41" s="7"/>
      <c r="D41" s="7"/>
      <c r="E41" s="7"/>
      <c r="F41" s="7"/>
      <c r="G41" s="7"/>
      <c r="H41" s="7"/>
      <c r="I41" s="86"/>
      <c r="J41" s="486" t="s">
        <v>21</v>
      </c>
      <c r="K41" s="487"/>
      <c r="L41" s="46" t="e">
        <f>L39-L40</f>
        <v>#N/A</v>
      </c>
    </row>
    <row r="42" spans="2:13" ht="20.149999999999999" customHeight="1" x14ac:dyDescent="0.45">
      <c r="B42" s="11" t="s">
        <v>24</v>
      </c>
      <c r="C42" s="7"/>
      <c r="D42" s="7"/>
      <c r="E42" s="7"/>
      <c r="F42" s="7"/>
      <c r="G42" s="7"/>
      <c r="H42" s="7"/>
      <c r="I42" s="86"/>
      <c r="J42" s="150" t="s">
        <v>17</v>
      </c>
      <c r="K42" s="151">
        <v>7.0000000000000007E-2</v>
      </c>
      <c r="L42" s="47" t="e">
        <f>L41*K42</f>
        <v>#N/A</v>
      </c>
    </row>
    <row r="43" spans="2:13" ht="20.149999999999999" customHeight="1" thickBot="1" x14ac:dyDescent="0.5">
      <c r="B43" s="11" t="s">
        <v>1400</v>
      </c>
      <c r="C43" s="7"/>
      <c r="D43" s="7"/>
      <c r="E43" s="7"/>
      <c r="F43" s="7"/>
      <c r="G43" s="7"/>
      <c r="H43" s="7"/>
      <c r="I43" s="86"/>
      <c r="J43" s="488" t="s">
        <v>23</v>
      </c>
      <c r="K43" s="489"/>
      <c r="L43" s="48" t="e">
        <f>L41+L42</f>
        <v>#N/A</v>
      </c>
    </row>
    <row r="44" spans="2:13" ht="20.149999999999999" customHeight="1" x14ac:dyDescent="0.45">
      <c r="B44" s="11" t="s">
        <v>26</v>
      </c>
      <c r="C44" s="7"/>
      <c r="D44" s="7"/>
      <c r="E44" s="7"/>
      <c r="F44" s="7"/>
      <c r="G44" s="7"/>
      <c r="H44" s="7"/>
      <c r="I44" s="86"/>
      <c r="L44" s="42"/>
    </row>
    <row r="45" spans="2:13" ht="20.149999999999999" customHeight="1" x14ac:dyDescent="0.45">
      <c r="B45" s="224" t="s">
        <v>1379</v>
      </c>
      <c r="L45" s="42"/>
    </row>
    <row r="46" spans="2:13" ht="20.149999999999999" customHeight="1" x14ac:dyDescent="0.45">
      <c r="B46" s="41"/>
      <c r="L46" s="42"/>
    </row>
    <row r="47" spans="2:13" ht="20.149999999999999" customHeight="1" x14ac:dyDescent="0.45">
      <c r="B47" s="41"/>
      <c r="L47" s="42"/>
    </row>
    <row r="48" spans="2:13" ht="20.149999999999999" customHeight="1" x14ac:dyDescent="0.45">
      <c r="B48" s="41"/>
      <c r="L48" s="42"/>
    </row>
    <row r="49" spans="2:12" ht="20.149999999999999" customHeight="1" x14ac:dyDescent="0.45">
      <c r="B49" s="49"/>
      <c r="C49" s="50"/>
      <c r="D49" s="50"/>
      <c r="J49" s="87"/>
      <c r="K49" s="50"/>
      <c r="L49" s="51"/>
    </row>
    <row r="50" spans="2:12" ht="20.149999999999999" customHeight="1" x14ac:dyDescent="0.45">
      <c r="B50" s="41" t="s">
        <v>27</v>
      </c>
      <c r="J50" s="81" t="s">
        <v>28</v>
      </c>
      <c r="L50" s="42"/>
    </row>
    <row r="51" spans="2:12" ht="19" thickBot="1" x14ac:dyDescent="0.5">
      <c r="B51" s="52"/>
      <c r="C51" s="53"/>
      <c r="D51" s="53"/>
      <c r="E51" s="53"/>
      <c r="F51" s="53"/>
      <c r="G51" s="53"/>
      <c r="H51" s="53"/>
      <c r="I51" s="88"/>
      <c r="J51" s="88"/>
      <c r="K51" s="53"/>
      <c r="L51" s="54"/>
    </row>
  </sheetData>
  <mergeCells count="57">
    <mergeCell ref="D17:F17"/>
    <mergeCell ref="I17:J17"/>
    <mergeCell ref="D18:F18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I18:J18"/>
    <mergeCell ref="B15:D15"/>
    <mergeCell ref="D20:F20"/>
    <mergeCell ref="I20:J20"/>
    <mergeCell ref="D21:F21"/>
    <mergeCell ref="I21:J21"/>
    <mergeCell ref="D19:F19"/>
    <mergeCell ref="I19:J19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D28:F28"/>
    <mergeCell ref="I28:J28"/>
    <mergeCell ref="D29:F29"/>
    <mergeCell ref="I29:J29"/>
    <mergeCell ref="D30:F30"/>
    <mergeCell ref="I30:J30"/>
    <mergeCell ref="D31:F31"/>
    <mergeCell ref="I31:J31"/>
    <mergeCell ref="D32:F32"/>
    <mergeCell ref="I32:J32"/>
    <mergeCell ref="D33:F33"/>
    <mergeCell ref="I33:J33"/>
    <mergeCell ref="D34:F34"/>
    <mergeCell ref="I34:J34"/>
    <mergeCell ref="J39:K39"/>
    <mergeCell ref="J41:K41"/>
    <mergeCell ref="J43:K43"/>
    <mergeCell ref="D35:F35"/>
    <mergeCell ref="I35:J35"/>
    <mergeCell ref="D36:F36"/>
    <mergeCell ref="I36:J36"/>
    <mergeCell ref="D37:F37"/>
    <mergeCell ref="I37:J37"/>
  </mergeCells>
  <pageMargins left="0.70866141732283472" right="0.31496062992125984" top="0.59055118110236227" bottom="0" header="0.31496062992125984" footer="0.31496062992125984"/>
  <pageSetup paperSize="9" scale="75" orientation="portrait" verticalDpi="300" r:id="rId1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6F286B-6F5B-4569-B828-579239617349}">
  <sheetPr codeName="Sheet80">
    <tabColor rgb="FFFFFF00"/>
    <pageSetUpPr fitToPage="1"/>
  </sheetPr>
  <dimension ref="B1:O52"/>
  <sheetViews>
    <sheetView workbookViewId="0">
      <selection activeCell="B11" sqref="B11:D11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4.54296875" style="24" customWidth="1"/>
    <col min="7" max="7" width="8.54296875" style="24" customWidth="1"/>
    <col min="8" max="8" width="15.453125" style="24" customWidth="1"/>
    <col min="9" max="9" width="4.54296875" style="24" customWidth="1"/>
    <col min="10" max="10" width="15.54296875" style="24" customWidth="1"/>
    <col min="11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191"/>
      <c r="C9" s="191"/>
      <c r="D9" s="191"/>
      <c r="E9" s="191"/>
      <c r="F9" s="191"/>
      <c r="G9" s="191"/>
      <c r="H9" s="191"/>
      <c r="I9" s="191"/>
      <c r="J9" s="191"/>
      <c r="K9" s="191"/>
      <c r="L9" s="191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1089</v>
      </c>
      <c r="J10" s="29" t="s">
        <v>29</v>
      </c>
      <c r="K10" s="452">
        <v>202004331</v>
      </c>
      <c r="L10" s="453"/>
    </row>
    <row r="11" spans="2:12" ht="20.149999999999999" customHeight="1" x14ac:dyDescent="0.45">
      <c r="B11" s="454"/>
      <c r="C11" s="455"/>
      <c r="D11" s="456"/>
      <c r="E11" s="30"/>
      <c r="F11" s="457" t="str">
        <f>VLOOKUP(H10,'Delivery Location'!A$4:N$416,2,0)</f>
        <v>TEL: 83093665                                                                                            Blk 642, Bukit Batok Central #01-54/56 Singapore 650642.</v>
      </c>
      <c r="G11" s="458"/>
      <c r="H11" s="459"/>
      <c r="J11" s="31" t="s">
        <v>11</v>
      </c>
      <c r="K11" s="551" t="s">
        <v>1087</v>
      </c>
      <c r="L11" s="472"/>
    </row>
    <row r="12" spans="2:12" ht="20.149999999999999" customHeight="1" x14ac:dyDescent="0.45">
      <c r="B12" s="468"/>
      <c r="C12" s="469"/>
      <c r="D12" s="470"/>
      <c r="E12" s="30"/>
      <c r="F12" s="460"/>
      <c r="G12" s="461"/>
      <c r="H12" s="462"/>
      <c r="J12" s="31" t="s">
        <v>171</v>
      </c>
      <c r="K12" s="471" t="s">
        <v>36</v>
      </c>
      <c r="L12" s="472"/>
    </row>
    <row r="13" spans="2:12" ht="20.149999999999999" customHeight="1" x14ac:dyDescent="0.45">
      <c r="B13" s="468"/>
      <c r="C13" s="469"/>
      <c r="D13" s="470"/>
      <c r="E13" s="30"/>
      <c r="F13" s="460"/>
      <c r="G13" s="461"/>
      <c r="H13" s="462"/>
      <c r="J13" s="31" t="s">
        <v>12</v>
      </c>
      <c r="K13" s="471" t="s">
        <v>688</v>
      </c>
      <c r="L13" s="472"/>
    </row>
    <row r="14" spans="2:12" ht="20.149999999999999" customHeight="1" x14ac:dyDescent="0.45">
      <c r="B14" s="468"/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55"/>
      <c r="C15" s="56"/>
      <c r="D15" s="57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15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3"/>
      <c r="O17" s="33"/>
    </row>
    <row r="18" spans="2:15" ht="20.149999999999999" customHeight="1" x14ac:dyDescent="0.45">
      <c r="B18" s="34"/>
      <c r="C18" s="22" t="s">
        <v>369</v>
      </c>
      <c r="D18" s="508" t="e">
        <f>VLOOKUP(C18,'Sales Master'!B$3:D$499,2,)</f>
        <v>#N/A</v>
      </c>
      <c r="E18" s="508"/>
      <c r="F18" s="508"/>
      <c r="G18" s="22">
        <v>1</v>
      </c>
      <c r="H18" s="68" t="e">
        <f>VLOOKUP(C18,'Sales Master'!$B$3:$F$3238,5,0)</f>
        <v>#N/A</v>
      </c>
      <c r="I18" s="481" t="e">
        <f>VLOOKUP(C18,'Sales Master'!$B$3:$E$3238,4,0)</f>
        <v>#N/A</v>
      </c>
      <c r="J18" s="481"/>
      <c r="K18" s="35" t="e">
        <f>VLOOKUP(C18,'Sales Master'!$B$3:$BP$583,67,0)</f>
        <v>#N/A</v>
      </c>
      <c r="L18" s="36" t="e">
        <f>K18*G18</f>
        <v>#N/A</v>
      </c>
    </row>
    <row r="19" spans="2:15" ht="20.149999999999999" customHeight="1" x14ac:dyDescent="0.45">
      <c r="B19" s="34"/>
      <c r="C19" s="22"/>
      <c r="D19" s="508"/>
      <c r="E19" s="508"/>
      <c r="F19" s="508"/>
      <c r="G19" s="22"/>
      <c r="H19" s="68"/>
      <c r="I19" s="481"/>
      <c r="J19" s="481"/>
      <c r="K19" s="35"/>
      <c r="L19" s="36"/>
    </row>
    <row r="20" spans="2:15" ht="20.149999999999999" customHeight="1" x14ac:dyDescent="0.45">
      <c r="B20" s="34"/>
      <c r="C20" s="22"/>
      <c r="D20" s="508"/>
      <c r="E20" s="508"/>
      <c r="F20" s="508"/>
      <c r="G20" s="22"/>
      <c r="H20" s="68"/>
      <c r="I20" s="481"/>
      <c r="J20" s="481"/>
      <c r="K20" s="35"/>
      <c r="L20" s="36"/>
    </row>
    <row r="21" spans="2:15" ht="20.149999999999999" customHeight="1" x14ac:dyDescent="0.45">
      <c r="B21" s="34"/>
      <c r="C21" s="22"/>
      <c r="D21" s="508"/>
      <c r="E21" s="508"/>
      <c r="F21" s="508"/>
      <c r="G21" s="22"/>
      <c r="H21" s="68"/>
      <c r="I21" s="481"/>
      <c r="J21" s="481"/>
      <c r="K21" s="35"/>
      <c r="L21" s="36"/>
    </row>
    <row r="22" spans="2:15" ht="20.149999999999999" customHeight="1" x14ac:dyDescent="0.45">
      <c r="B22" s="34"/>
      <c r="C22" s="22"/>
      <c r="D22" s="508"/>
      <c r="E22" s="508"/>
      <c r="F22" s="508"/>
      <c r="G22" s="22"/>
      <c r="H22" s="68"/>
      <c r="I22" s="481"/>
      <c r="J22" s="481"/>
      <c r="K22" s="35"/>
      <c r="L22" s="36"/>
    </row>
    <row r="23" spans="2:15" ht="20.149999999999999" customHeight="1" x14ac:dyDescent="0.45">
      <c r="B23" s="34"/>
      <c r="C23" s="22"/>
      <c r="D23" s="508"/>
      <c r="E23" s="508"/>
      <c r="F23" s="508"/>
      <c r="G23" s="22"/>
      <c r="H23" s="68"/>
      <c r="I23" s="481"/>
      <c r="J23" s="481"/>
      <c r="K23" s="35"/>
      <c r="L23" s="36"/>
    </row>
    <row r="24" spans="2:15" ht="20.149999999999999" customHeight="1" x14ac:dyDescent="0.45">
      <c r="B24" s="34"/>
      <c r="C24" s="22"/>
      <c r="D24" s="508"/>
      <c r="E24" s="508"/>
      <c r="F24" s="508"/>
      <c r="G24" s="22"/>
      <c r="H24" s="68"/>
      <c r="I24" s="481"/>
      <c r="J24" s="481"/>
      <c r="K24" s="35"/>
      <c r="L24" s="36"/>
    </row>
    <row r="25" spans="2:15" ht="20.149999999999999" customHeight="1" x14ac:dyDescent="0.45">
      <c r="B25" s="34"/>
      <c r="C25" s="22"/>
      <c r="D25" s="508"/>
      <c r="E25" s="508"/>
      <c r="F25" s="508"/>
      <c r="G25" s="22"/>
      <c r="H25" s="68"/>
      <c r="I25" s="481"/>
      <c r="J25" s="481"/>
      <c r="K25" s="35"/>
      <c r="L25" s="36"/>
    </row>
    <row r="26" spans="2:15" ht="20.149999999999999" customHeight="1" x14ac:dyDescent="0.45">
      <c r="B26" s="34"/>
      <c r="C26" s="22"/>
      <c r="D26" s="508"/>
      <c r="E26" s="508"/>
      <c r="F26" s="508"/>
      <c r="G26" s="22"/>
      <c r="H26" s="68"/>
      <c r="I26" s="481"/>
      <c r="J26" s="481"/>
      <c r="K26" s="35"/>
      <c r="L26" s="36"/>
    </row>
    <row r="27" spans="2:15" ht="20.149999999999999" customHeight="1" x14ac:dyDescent="0.45">
      <c r="B27" s="34"/>
      <c r="C27" s="22"/>
      <c r="D27" s="508"/>
      <c r="E27" s="508"/>
      <c r="F27" s="508"/>
      <c r="G27" s="22"/>
      <c r="H27" s="68"/>
      <c r="I27" s="481"/>
      <c r="J27" s="481"/>
      <c r="K27" s="35"/>
      <c r="L27" s="36"/>
    </row>
    <row r="28" spans="2:15" ht="20.149999999999999" customHeight="1" x14ac:dyDescent="0.45">
      <c r="B28" s="34"/>
      <c r="C28" s="22"/>
      <c r="D28" s="508"/>
      <c r="E28" s="508"/>
      <c r="F28" s="508"/>
      <c r="G28" s="22"/>
      <c r="H28" s="68"/>
      <c r="I28" s="481"/>
      <c r="J28" s="481"/>
      <c r="K28" s="35"/>
      <c r="L28" s="36"/>
    </row>
    <row r="29" spans="2:15" ht="20.149999999999999" customHeight="1" x14ac:dyDescent="0.45">
      <c r="B29" s="34"/>
      <c r="C29" s="22"/>
      <c r="D29" s="508"/>
      <c r="E29" s="508"/>
      <c r="F29" s="508"/>
      <c r="G29" s="22"/>
      <c r="H29" s="68"/>
      <c r="I29" s="481"/>
      <c r="J29" s="481"/>
      <c r="K29" s="35"/>
      <c r="L29" s="36"/>
    </row>
    <row r="30" spans="2:15" ht="20.149999999999999" customHeight="1" x14ac:dyDescent="0.45">
      <c r="B30" s="34"/>
      <c r="C30" s="22"/>
      <c r="D30" s="508"/>
      <c r="E30" s="508"/>
      <c r="F30" s="508"/>
      <c r="G30" s="22"/>
      <c r="H30" s="68"/>
      <c r="I30" s="481"/>
      <c r="J30" s="481"/>
      <c r="K30" s="35"/>
      <c r="L30" s="36"/>
    </row>
    <row r="31" spans="2:15" ht="20.149999999999999" customHeight="1" x14ac:dyDescent="0.45">
      <c r="B31" s="34"/>
      <c r="C31" s="22"/>
      <c r="D31" s="508"/>
      <c r="E31" s="508"/>
      <c r="F31" s="508"/>
      <c r="G31" s="22"/>
      <c r="H31" s="68"/>
      <c r="I31" s="481"/>
      <c r="J31" s="481"/>
      <c r="K31" s="35"/>
      <c r="L31" s="36"/>
    </row>
    <row r="32" spans="2:15" ht="20.149999999999999" customHeight="1" x14ac:dyDescent="0.45">
      <c r="B32" s="34"/>
      <c r="C32" s="22"/>
      <c r="D32" s="508"/>
      <c r="E32" s="508"/>
      <c r="F32" s="508"/>
      <c r="G32" s="22"/>
      <c r="H32" s="68"/>
      <c r="I32" s="481"/>
      <c r="J32" s="481"/>
      <c r="K32" s="35"/>
      <c r="L32" s="36"/>
    </row>
    <row r="33" spans="2:12" ht="20.149999999999999" customHeight="1" x14ac:dyDescent="0.45">
      <c r="B33" s="34"/>
      <c r="C33" s="22"/>
      <c r="D33" s="508"/>
      <c r="E33" s="508"/>
      <c r="F33" s="508"/>
      <c r="G33" s="22"/>
      <c r="H33" s="68"/>
      <c r="I33" s="481"/>
      <c r="J33" s="481"/>
      <c r="K33" s="35"/>
      <c r="L33" s="36"/>
    </row>
    <row r="34" spans="2:12" ht="20.149999999999999" customHeight="1" x14ac:dyDescent="0.45">
      <c r="B34" s="34"/>
      <c r="C34" s="22"/>
      <c r="D34" s="508"/>
      <c r="E34" s="508"/>
      <c r="F34" s="508"/>
      <c r="G34" s="22"/>
      <c r="H34" s="68"/>
      <c r="I34" s="481"/>
      <c r="J34" s="481"/>
      <c r="K34" s="35"/>
      <c r="L34" s="36"/>
    </row>
    <row r="35" spans="2:12" ht="20.149999999999999" customHeight="1" x14ac:dyDescent="0.45">
      <c r="B35" s="34"/>
      <c r="C35" s="22"/>
      <c r="D35" s="508"/>
      <c r="E35" s="508"/>
      <c r="F35" s="508"/>
      <c r="G35" s="22"/>
      <c r="H35" s="68"/>
      <c r="I35" s="481"/>
      <c r="J35" s="481"/>
      <c r="K35" s="35"/>
      <c r="L35" s="36"/>
    </row>
    <row r="36" spans="2:12" ht="20.149999999999999" customHeight="1" x14ac:dyDescent="0.45">
      <c r="B36" s="34"/>
      <c r="C36" s="22"/>
      <c r="D36" s="508"/>
      <c r="E36" s="508"/>
      <c r="F36" s="508"/>
      <c r="G36" s="22"/>
      <c r="H36" s="68"/>
      <c r="I36" s="481"/>
      <c r="J36" s="481"/>
      <c r="K36" s="35"/>
      <c r="L36" s="36"/>
    </row>
    <row r="37" spans="2:12" ht="20.149999999999999" customHeight="1" x14ac:dyDescent="0.45">
      <c r="B37" s="34"/>
      <c r="C37" s="22"/>
      <c r="D37" s="508"/>
      <c r="E37" s="508"/>
      <c r="F37" s="508"/>
      <c r="G37" s="22"/>
      <c r="H37" s="68"/>
      <c r="I37" s="481"/>
      <c r="J37" s="481"/>
      <c r="K37" s="35"/>
      <c r="L37" s="36"/>
    </row>
    <row r="38" spans="2:12" ht="22.5" customHeight="1" x14ac:dyDescent="0.45">
      <c r="B38" s="155"/>
      <c r="C38" s="156"/>
      <c r="D38" s="556"/>
      <c r="E38" s="556"/>
      <c r="F38" s="556"/>
      <c r="G38" s="156"/>
      <c r="H38" s="189"/>
      <c r="I38" s="491"/>
      <c r="J38" s="491"/>
      <c r="K38" s="163"/>
      <c r="L38" s="190"/>
    </row>
    <row r="39" spans="2:12" ht="20.149999999999999" customHeight="1" thickBot="1" x14ac:dyDescent="0.5">
      <c r="B39" s="41"/>
      <c r="L39" s="42"/>
    </row>
    <row r="40" spans="2:12" ht="20.149999999999999" customHeight="1" x14ac:dyDescent="0.45">
      <c r="B40" s="11" t="s">
        <v>18</v>
      </c>
      <c r="C40" s="7"/>
      <c r="D40" s="7"/>
      <c r="E40" s="7"/>
      <c r="F40" s="7"/>
      <c r="G40" s="7"/>
      <c r="H40" s="7"/>
      <c r="I40" s="7"/>
      <c r="J40" s="510" t="s">
        <v>15</v>
      </c>
      <c r="K40" s="511"/>
      <c r="L40" s="43" t="e">
        <f>SUM(L17:L38)</f>
        <v>#N/A</v>
      </c>
    </row>
    <row r="41" spans="2:12" ht="20.149999999999999" customHeight="1" x14ac:dyDescent="0.45">
      <c r="B41" s="11" t="s">
        <v>19</v>
      </c>
      <c r="C41" s="7"/>
      <c r="D41" s="7"/>
      <c r="E41" s="7"/>
      <c r="F41" s="7"/>
      <c r="G41" s="7"/>
      <c r="H41" s="7"/>
      <c r="I41" s="7"/>
      <c r="J41" s="44" t="s">
        <v>22</v>
      </c>
      <c r="K41" s="45"/>
      <c r="L41" s="46" t="e">
        <f>L40*K41</f>
        <v>#N/A</v>
      </c>
    </row>
    <row r="42" spans="2:12" ht="20.149999999999999" customHeight="1" x14ac:dyDescent="0.45">
      <c r="B42" s="11" t="s">
        <v>20</v>
      </c>
      <c r="C42" s="7"/>
      <c r="D42" s="7"/>
      <c r="E42" s="7"/>
      <c r="F42" s="7"/>
      <c r="G42" s="7"/>
      <c r="H42" s="7"/>
      <c r="I42" s="7"/>
      <c r="J42" s="486" t="s">
        <v>21</v>
      </c>
      <c r="K42" s="487"/>
      <c r="L42" s="46" t="e">
        <f>L40-L41</f>
        <v>#N/A</v>
      </c>
    </row>
    <row r="43" spans="2:12" ht="20.149999999999999" customHeight="1" x14ac:dyDescent="0.45">
      <c r="B43" s="11" t="s">
        <v>24</v>
      </c>
      <c r="C43" s="7"/>
      <c r="D43" s="7"/>
      <c r="E43" s="7"/>
      <c r="F43" s="7"/>
      <c r="G43" s="7"/>
      <c r="H43" s="7"/>
      <c r="I43" s="7"/>
      <c r="J43" s="150" t="s">
        <v>17</v>
      </c>
      <c r="K43" s="151">
        <v>7.0000000000000007E-2</v>
      </c>
      <c r="L43" s="47" t="e">
        <f>L42*K43</f>
        <v>#N/A</v>
      </c>
    </row>
    <row r="44" spans="2:12" ht="20.149999999999999" customHeight="1" thickBot="1" x14ac:dyDescent="0.5">
      <c r="B44" s="11" t="s">
        <v>1400</v>
      </c>
      <c r="C44" s="7"/>
      <c r="D44" s="7"/>
      <c r="E44" s="7"/>
      <c r="F44" s="7"/>
      <c r="G44" s="7"/>
      <c r="H44" s="7"/>
      <c r="I44" s="7"/>
      <c r="J44" s="488" t="s">
        <v>23</v>
      </c>
      <c r="K44" s="489"/>
      <c r="L44" s="48" t="e">
        <f>L42+L43</f>
        <v>#N/A</v>
      </c>
    </row>
    <row r="45" spans="2:12" ht="20.149999999999999" customHeight="1" x14ac:dyDescent="0.45">
      <c r="B45" s="11" t="s">
        <v>26</v>
      </c>
      <c r="C45" s="7"/>
      <c r="D45" s="7"/>
      <c r="E45" s="7"/>
      <c r="F45" s="7"/>
      <c r="G45" s="7"/>
      <c r="H45" s="7"/>
      <c r="I45" s="7"/>
      <c r="L45" s="42"/>
    </row>
    <row r="46" spans="2:12" ht="20.149999999999999" customHeight="1" x14ac:dyDescent="0.45">
      <c r="B46" s="224" t="s">
        <v>1379</v>
      </c>
      <c r="L46" s="42"/>
    </row>
    <row r="47" spans="2:12" ht="20.149999999999999" customHeight="1" x14ac:dyDescent="0.45">
      <c r="B47" s="41"/>
      <c r="L47" s="42"/>
    </row>
    <row r="48" spans="2:12" ht="20.149999999999999" customHeight="1" x14ac:dyDescent="0.45">
      <c r="B48" s="41"/>
      <c r="L48" s="42"/>
    </row>
    <row r="49" spans="2:12" ht="20.149999999999999" customHeight="1" x14ac:dyDescent="0.45">
      <c r="B49" s="41"/>
      <c r="L49" s="42"/>
    </row>
    <row r="50" spans="2:12" ht="20.149999999999999" customHeight="1" x14ac:dyDescent="0.45">
      <c r="B50" s="49"/>
      <c r="C50" s="50"/>
      <c r="D50" s="50"/>
      <c r="J50" s="50"/>
      <c r="K50" s="50"/>
      <c r="L50" s="51"/>
    </row>
    <row r="51" spans="2:12" ht="20.149999999999999" customHeight="1" x14ac:dyDescent="0.45">
      <c r="B51" s="41" t="s">
        <v>27</v>
      </c>
      <c r="J51" s="24" t="s">
        <v>28</v>
      </c>
      <c r="L51" s="42"/>
    </row>
    <row r="52" spans="2:12" ht="19" thickBot="1" x14ac:dyDescent="0.5">
      <c r="B52" s="52"/>
      <c r="C52" s="53"/>
      <c r="D52" s="53"/>
      <c r="E52" s="53"/>
      <c r="F52" s="53"/>
      <c r="G52" s="53"/>
      <c r="H52" s="53"/>
      <c r="I52" s="53"/>
      <c r="J52" s="53"/>
      <c r="K52" s="53"/>
      <c r="L52" s="54"/>
    </row>
  </sheetData>
  <mergeCells count="59">
    <mergeCell ref="D17:F17"/>
    <mergeCell ref="I17:J1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D18:F18"/>
    <mergeCell ref="I18:J18"/>
    <mergeCell ref="D20:F20"/>
    <mergeCell ref="I20:J20"/>
    <mergeCell ref="D21:F21"/>
    <mergeCell ref="I21:J21"/>
    <mergeCell ref="D19:F19"/>
    <mergeCell ref="I19:J19"/>
    <mergeCell ref="D22:F22"/>
    <mergeCell ref="I22:J22"/>
    <mergeCell ref="D23:F23"/>
    <mergeCell ref="I23:J23"/>
    <mergeCell ref="D24:F24"/>
    <mergeCell ref="I24:J24"/>
    <mergeCell ref="I30:J30"/>
    <mergeCell ref="D25:F25"/>
    <mergeCell ref="I25:J25"/>
    <mergeCell ref="D26:F26"/>
    <mergeCell ref="I26:J26"/>
    <mergeCell ref="D27:F27"/>
    <mergeCell ref="I27:J27"/>
    <mergeCell ref="J44:K44"/>
    <mergeCell ref="D38:F38"/>
    <mergeCell ref="I38:J38"/>
    <mergeCell ref="D34:F34"/>
    <mergeCell ref="I34:J34"/>
    <mergeCell ref="D35:F35"/>
    <mergeCell ref="I35:J35"/>
    <mergeCell ref="D36:F36"/>
    <mergeCell ref="I36:J36"/>
    <mergeCell ref="B1:L8"/>
    <mergeCell ref="D37:F37"/>
    <mergeCell ref="I37:J37"/>
    <mergeCell ref="J40:K40"/>
    <mergeCell ref="J42:K42"/>
    <mergeCell ref="D31:F31"/>
    <mergeCell ref="I31:J31"/>
    <mergeCell ref="D32:F32"/>
    <mergeCell ref="I32:J32"/>
    <mergeCell ref="D33:F33"/>
    <mergeCell ref="I33:J33"/>
    <mergeCell ref="D28:F28"/>
    <mergeCell ref="I28:J28"/>
    <mergeCell ref="D29:F29"/>
    <mergeCell ref="I29:J29"/>
    <mergeCell ref="D30:F30"/>
  </mergeCells>
  <pageMargins left="0.70866141732283472" right="0.31496062992125984" top="0.59055118110236227" bottom="0" header="0.31496062992125984" footer="0.31496062992125984"/>
  <pageSetup paperSize="9" scale="74" orientation="portrait" verticalDpi="300" r:id="rId1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9FBC2-505D-4A2B-AB0F-A80E8A0F18E6}">
  <sheetPr codeName="Sheet81">
    <tabColor rgb="FFFFFF00"/>
    <pageSetUpPr fitToPage="1"/>
  </sheetPr>
  <dimension ref="B1:V56"/>
  <sheetViews>
    <sheetView workbookViewId="0">
      <selection activeCell="B1" sqref="B1:L8"/>
    </sheetView>
  </sheetViews>
  <sheetFormatPr defaultColWidth="12.54296875" defaultRowHeight="18.5" x14ac:dyDescent="0.45"/>
  <cols>
    <col min="1" max="4" width="12.54296875" style="24" customWidth="1"/>
    <col min="5" max="5" width="1.54296875" style="24" customWidth="1"/>
    <col min="6" max="6" width="14.54296875" style="24" customWidth="1"/>
    <col min="7" max="7" width="8.54296875" style="24" customWidth="1"/>
    <col min="8" max="8" width="15.453125" style="24" customWidth="1"/>
    <col min="9" max="9" width="4.54296875" style="24" customWidth="1"/>
    <col min="10" max="10" width="15.54296875" style="24" customWidth="1"/>
    <col min="11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/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1074</v>
      </c>
      <c r="J10" s="29" t="s">
        <v>29</v>
      </c>
      <c r="K10" s="452" t="s">
        <v>1334</v>
      </c>
      <c r="L10" s="453"/>
    </row>
    <row r="11" spans="2:12" ht="20.149999999999999" customHeight="1" x14ac:dyDescent="0.45">
      <c r="B11" s="454"/>
      <c r="C11" s="455"/>
      <c r="D11" s="456"/>
      <c r="E11" s="30"/>
      <c r="F11" s="457" t="str">
        <f>VLOOKUP(H10,'Delivery Location'!A$4:N$416,2,0)</f>
        <v>STEVEN                                                             511, Sembawang Market #01-15 Singapore 750511</v>
      </c>
      <c r="G11" s="458"/>
      <c r="H11" s="459"/>
      <c r="J11" s="31" t="s">
        <v>11</v>
      </c>
      <c r="K11" s="551" t="s">
        <v>1333</v>
      </c>
      <c r="L11" s="472"/>
    </row>
    <row r="12" spans="2:12" ht="20.149999999999999" customHeight="1" x14ac:dyDescent="0.45">
      <c r="B12" s="468"/>
      <c r="C12" s="469"/>
      <c r="D12" s="470"/>
      <c r="E12" s="30"/>
      <c r="F12" s="460"/>
      <c r="G12" s="461"/>
      <c r="H12" s="462"/>
      <c r="J12" s="31" t="s">
        <v>171</v>
      </c>
      <c r="K12" s="471" t="s">
        <v>36</v>
      </c>
      <c r="L12" s="472"/>
    </row>
    <row r="13" spans="2:12" ht="20.149999999999999" customHeight="1" x14ac:dyDescent="0.45">
      <c r="B13" s="468"/>
      <c r="C13" s="469"/>
      <c r="D13" s="470"/>
      <c r="E13" s="30"/>
      <c r="F13" s="460"/>
      <c r="G13" s="461"/>
      <c r="H13" s="462"/>
      <c r="J13" s="31" t="s">
        <v>12</v>
      </c>
      <c r="K13" s="471" t="s">
        <v>688</v>
      </c>
      <c r="L13" s="472"/>
    </row>
    <row r="14" spans="2:12" ht="20.149999999999999" customHeight="1" x14ac:dyDescent="0.45">
      <c r="B14" s="468"/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55"/>
      <c r="C15" s="56"/>
      <c r="D15" s="57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22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3"/>
      <c r="O17" s="33"/>
    </row>
    <row r="18" spans="2:22" ht="20.149999999999999" customHeight="1" x14ac:dyDescent="0.45">
      <c r="B18" s="34"/>
      <c r="C18" s="22" t="s">
        <v>1206</v>
      </c>
      <c r="D18" s="508" t="e">
        <f>VLOOKUP(C18,'Sales Master'!B$3:D$499,2,)</f>
        <v>#N/A</v>
      </c>
      <c r="E18" s="508"/>
      <c r="F18" s="508"/>
      <c r="G18" s="22">
        <v>-21</v>
      </c>
      <c r="H18" s="68" t="s">
        <v>36</v>
      </c>
      <c r="I18" s="481" t="s">
        <v>36</v>
      </c>
      <c r="J18" s="481"/>
      <c r="K18" s="35" t="e">
        <f>VLOOKUP(C18,'Sales Master'!$B$3:$BO$583,66,0)</f>
        <v>#N/A</v>
      </c>
      <c r="L18" s="212" t="e">
        <f>K18*G18</f>
        <v>#N/A</v>
      </c>
      <c r="N18" s="24" t="s">
        <v>1106</v>
      </c>
      <c r="O18" s="24" t="s">
        <v>1128</v>
      </c>
      <c r="R18" s="24">
        <v>1</v>
      </c>
      <c r="S18" s="24" t="s">
        <v>1127</v>
      </c>
      <c r="T18" s="24">
        <v>0</v>
      </c>
      <c r="V18" s="24">
        <v>14.399999999999999</v>
      </c>
    </row>
    <row r="19" spans="2:22" ht="20.149999999999999" customHeight="1" x14ac:dyDescent="0.45">
      <c r="B19" s="34"/>
      <c r="C19" s="22" t="s">
        <v>1091</v>
      </c>
      <c r="D19" s="508" t="e">
        <f>VLOOKUP(C19,'Sales Master'!B$3:D$499,2,)</f>
        <v>#N/A</v>
      </c>
      <c r="E19" s="508"/>
      <c r="F19" s="508"/>
      <c r="G19" s="22">
        <v>-4</v>
      </c>
      <c r="H19" s="68" t="e">
        <f>VLOOKUP(C19,'Sales Master'!$B$3:$F$3238,5,0)</f>
        <v>#N/A</v>
      </c>
      <c r="I19" s="481" t="e">
        <f>VLOOKUP(C19,'Sales Master'!$B$3:$E$3238,4,0)</f>
        <v>#N/A</v>
      </c>
      <c r="J19" s="481"/>
      <c r="K19" s="35" t="e">
        <f>VLOOKUP(C19,'Sales Master'!$B$3:$BO$583,66,0)</f>
        <v>#N/A</v>
      </c>
      <c r="L19" s="212" t="e">
        <f>K19*G19</f>
        <v>#N/A</v>
      </c>
      <c r="N19" s="24" t="s">
        <v>1107</v>
      </c>
      <c r="O19" s="24" t="s">
        <v>1129</v>
      </c>
      <c r="R19" s="24">
        <v>1</v>
      </c>
      <c r="S19" s="24" t="s">
        <v>1126</v>
      </c>
      <c r="T19" s="24" t="s">
        <v>1117</v>
      </c>
      <c r="V19" s="24">
        <v>12</v>
      </c>
    </row>
    <row r="20" spans="2:22" ht="20.149999999999999" customHeight="1" x14ac:dyDescent="0.45">
      <c r="B20" s="34"/>
      <c r="C20" s="22" t="s">
        <v>382</v>
      </c>
      <c r="D20" s="508" t="e">
        <f>VLOOKUP(C20,'Sales Master'!B$3:D$499,2,)</f>
        <v>#N/A</v>
      </c>
      <c r="E20" s="508"/>
      <c r="F20" s="508"/>
      <c r="G20" s="153">
        <f>-207/12</f>
        <v>-17.25</v>
      </c>
      <c r="H20" s="160" t="e">
        <f>VLOOKUP(C20,'Sales Master'!$B$3:$F$3238,5,0)</f>
        <v>#N/A</v>
      </c>
      <c r="I20" s="615" t="e">
        <f>VLOOKUP(C20,'Sales Master'!$B$3:$E$3238,4,0)</f>
        <v>#N/A</v>
      </c>
      <c r="J20" s="615"/>
      <c r="K20" s="161" t="e">
        <f>VLOOKUP(C20,'Sales Master'!$B$3:$BO$583,66,0)</f>
        <v>#N/A</v>
      </c>
      <c r="L20" s="215" t="e">
        <f t="shared" ref="L20:L40" si="0">K20*G20</f>
        <v>#N/A</v>
      </c>
      <c r="N20" s="24" t="s">
        <v>1108</v>
      </c>
      <c r="O20" s="24" t="s">
        <v>1130</v>
      </c>
      <c r="R20" s="24">
        <v>1</v>
      </c>
      <c r="S20" s="24" t="s">
        <v>1125</v>
      </c>
      <c r="T20" s="24">
        <v>0</v>
      </c>
      <c r="V20" s="24">
        <v>18</v>
      </c>
    </row>
    <row r="21" spans="2:22" ht="20.149999999999999" customHeight="1" x14ac:dyDescent="0.45">
      <c r="B21" s="34"/>
      <c r="C21" s="22" t="s">
        <v>388</v>
      </c>
      <c r="D21" s="508" t="e">
        <f>VLOOKUP(C21,'Sales Master'!B$3:D$499,2,)</f>
        <v>#N/A</v>
      </c>
      <c r="E21" s="508"/>
      <c r="F21" s="508"/>
      <c r="G21" s="22">
        <v>-6</v>
      </c>
      <c r="H21" s="68" t="e">
        <f>VLOOKUP(C21,'Sales Master'!$B$3:$F$3238,5,0)</f>
        <v>#N/A</v>
      </c>
      <c r="I21" s="481" t="e">
        <f>VLOOKUP(C21,'Sales Master'!$B$3:$E$3238,4,0)</f>
        <v>#N/A</v>
      </c>
      <c r="J21" s="481"/>
      <c r="K21" s="35" t="e">
        <f>VLOOKUP(C21,'Sales Master'!$B$3:$BO$583,66,0)</f>
        <v>#N/A</v>
      </c>
      <c r="L21" s="212" t="e">
        <f t="shared" si="0"/>
        <v>#N/A</v>
      </c>
      <c r="N21" s="24" t="s">
        <v>1109</v>
      </c>
      <c r="O21" s="24" t="s">
        <v>1131</v>
      </c>
      <c r="R21" s="24">
        <v>12</v>
      </c>
      <c r="S21" s="24" t="s">
        <v>1124</v>
      </c>
      <c r="T21" s="24">
        <v>0</v>
      </c>
      <c r="V21" s="24">
        <v>2.2999999999999998</v>
      </c>
    </row>
    <row r="22" spans="2:22" ht="20.149999999999999" customHeight="1" x14ac:dyDescent="0.45">
      <c r="B22" s="34"/>
      <c r="C22" s="22" t="s">
        <v>1192</v>
      </c>
      <c r="D22" s="508" t="e">
        <f>VLOOKUP(C22,'Sales Master'!B$3:D$499,2,)</f>
        <v>#N/A</v>
      </c>
      <c r="E22" s="508"/>
      <c r="F22" s="508"/>
      <c r="G22" s="22">
        <v>-8</v>
      </c>
      <c r="H22" s="68" t="e">
        <f>VLOOKUP(C22,'Sales Master'!$B$3:$F$3238,5,0)</f>
        <v>#N/A</v>
      </c>
      <c r="I22" s="481" t="e">
        <f>VLOOKUP(C22,'Sales Master'!$B$3:$E$3238,4,0)</f>
        <v>#N/A</v>
      </c>
      <c r="J22" s="481"/>
      <c r="K22" s="35" t="e">
        <f>VLOOKUP(C22,'Sales Master'!$B$3:$BO$583,66,0)</f>
        <v>#N/A</v>
      </c>
      <c r="L22" s="212" t="e">
        <f t="shared" si="0"/>
        <v>#N/A</v>
      </c>
      <c r="N22" s="24" t="s">
        <v>1110</v>
      </c>
      <c r="O22" s="24" t="s">
        <v>1132</v>
      </c>
      <c r="R22" s="24">
        <v>12</v>
      </c>
      <c r="S22" s="24" t="s">
        <v>1124</v>
      </c>
      <c r="T22" s="24">
        <v>0</v>
      </c>
      <c r="V22" s="24">
        <v>1.5</v>
      </c>
    </row>
    <row r="23" spans="2:22" ht="20.149999999999999" customHeight="1" x14ac:dyDescent="0.45">
      <c r="B23" s="34"/>
      <c r="C23" s="22" t="s">
        <v>1191</v>
      </c>
      <c r="D23" s="508" t="e">
        <f>VLOOKUP(C23,'Sales Master'!B$3:D$499,2,)</f>
        <v>#N/A</v>
      </c>
      <c r="E23" s="508"/>
      <c r="F23" s="508"/>
      <c r="G23" s="22">
        <v>-7</v>
      </c>
      <c r="H23" s="68" t="e">
        <f>VLOOKUP(C23,'Sales Master'!$B$3:$F$3238,5,0)</f>
        <v>#N/A</v>
      </c>
      <c r="I23" s="481" t="e">
        <f>VLOOKUP(C23,'Sales Master'!$B$3:$E$3238,4,0)</f>
        <v>#N/A</v>
      </c>
      <c r="J23" s="481"/>
      <c r="K23" s="35" t="e">
        <f>VLOOKUP(C23,'Sales Master'!$B$3:$BO$583,66,0)</f>
        <v>#N/A</v>
      </c>
      <c r="L23" s="212" t="e">
        <f t="shared" si="0"/>
        <v>#N/A</v>
      </c>
      <c r="N23" s="24" t="s">
        <v>1111</v>
      </c>
      <c r="O23" s="24" t="s">
        <v>1133</v>
      </c>
      <c r="R23" s="24">
        <v>1</v>
      </c>
      <c r="S23" s="24" t="s">
        <v>1120</v>
      </c>
      <c r="T23" s="24">
        <v>0</v>
      </c>
      <c r="V23" s="24">
        <v>29</v>
      </c>
    </row>
    <row r="24" spans="2:22" ht="20.149999999999999" customHeight="1" x14ac:dyDescent="0.45">
      <c r="B24" s="34"/>
      <c r="C24" s="22" t="s">
        <v>1190</v>
      </c>
      <c r="D24" s="508" t="e">
        <f>VLOOKUP(C24,'Sales Master'!B$3:D$499,2,)</f>
        <v>#N/A</v>
      </c>
      <c r="E24" s="508"/>
      <c r="F24" s="508"/>
      <c r="G24" s="22">
        <v>-13</v>
      </c>
      <c r="H24" s="68" t="e">
        <f>VLOOKUP(C24,'Sales Master'!$B$3:$F$3238,5,0)</f>
        <v>#N/A</v>
      </c>
      <c r="I24" s="481" t="e">
        <f>VLOOKUP(C24,'Sales Master'!$B$3:$E$3238,4,0)</f>
        <v>#N/A</v>
      </c>
      <c r="J24" s="481"/>
      <c r="K24" s="35" t="e">
        <f>VLOOKUP(C24,'Sales Master'!$B$3:$BO$583,66,0)</f>
        <v>#N/A</v>
      </c>
      <c r="L24" s="212" t="e">
        <f t="shared" si="0"/>
        <v>#N/A</v>
      </c>
      <c r="N24" s="24" t="s">
        <v>1112</v>
      </c>
      <c r="O24" s="24" t="s">
        <v>1134</v>
      </c>
      <c r="R24" s="24">
        <v>1</v>
      </c>
      <c r="S24" s="24" t="s">
        <v>1123</v>
      </c>
      <c r="T24" s="24">
        <v>0</v>
      </c>
      <c r="V24" s="24">
        <v>23.5</v>
      </c>
    </row>
    <row r="25" spans="2:22" ht="20.149999999999999" customHeight="1" x14ac:dyDescent="0.45">
      <c r="B25" s="34"/>
      <c r="C25" s="22" t="s">
        <v>1189</v>
      </c>
      <c r="D25" s="508" t="e">
        <f>VLOOKUP(C25,'Sales Master'!B$3:D$499,2,)</f>
        <v>#N/A</v>
      </c>
      <c r="E25" s="508"/>
      <c r="F25" s="508"/>
      <c r="G25" s="22">
        <v>-10</v>
      </c>
      <c r="H25" s="68" t="e">
        <f>VLOOKUP(C25,'Sales Master'!$B$3:$F$3238,5,0)</f>
        <v>#N/A</v>
      </c>
      <c r="I25" s="481" t="e">
        <f>VLOOKUP(C25,'Sales Master'!$B$3:$E$3238,4,0)</f>
        <v>#N/A</v>
      </c>
      <c r="J25" s="481"/>
      <c r="K25" s="35" t="e">
        <f>VLOOKUP(C25,'Sales Master'!$B$3:$BO$583,66,0)</f>
        <v>#N/A</v>
      </c>
      <c r="L25" s="212" t="e">
        <f t="shared" si="0"/>
        <v>#N/A</v>
      </c>
      <c r="N25" s="24" t="s">
        <v>1113</v>
      </c>
      <c r="O25" s="24" t="s">
        <v>1135</v>
      </c>
      <c r="R25" s="24">
        <v>1</v>
      </c>
      <c r="S25" s="24" t="s">
        <v>1122</v>
      </c>
      <c r="T25" s="24" t="s">
        <v>1118</v>
      </c>
      <c r="V25" s="24">
        <v>36</v>
      </c>
    </row>
    <row r="26" spans="2:22" ht="20.149999999999999" customHeight="1" x14ac:dyDescent="0.45">
      <c r="B26" s="34"/>
      <c r="C26" s="22" t="s">
        <v>1188</v>
      </c>
      <c r="D26" s="508" t="e">
        <f>VLOOKUP(C26,'Sales Master'!B$3:D$499,2,)</f>
        <v>#N/A</v>
      </c>
      <c r="E26" s="508"/>
      <c r="F26" s="508"/>
      <c r="G26" s="22">
        <v>-15</v>
      </c>
      <c r="H26" s="68" t="e">
        <f>VLOOKUP(C26,'Sales Master'!$B$3:$F$3238,5,0)</f>
        <v>#N/A</v>
      </c>
      <c r="I26" s="481" t="e">
        <f>VLOOKUP(C26,'Sales Master'!$B$3:$E$3238,4,0)</f>
        <v>#N/A</v>
      </c>
      <c r="J26" s="481"/>
      <c r="K26" s="35" t="e">
        <f>VLOOKUP(C26,'Sales Master'!$B$3:$BO$583,66,0)</f>
        <v>#N/A</v>
      </c>
      <c r="L26" s="212" t="e">
        <f t="shared" si="0"/>
        <v>#N/A</v>
      </c>
      <c r="N26" s="24" t="s">
        <v>1143</v>
      </c>
      <c r="O26" s="24" t="s">
        <v>1147</v>
      </c>
      <c r="R26" s="24">
        <v>5</v>
      </c>
      <c r="S26" s="24" t="s">
        <v>1082</v>
      </c>
      <c r="T26" s="24">
        <v>0</v>
      </c>
      <c r="V26" s="24">
        <v>1.4</v>
      </c>
    </row>
    <row r="27" spans="2:22" ht="20.149999999999999" customHeight="1" x14ac:dyDescent="0.45">
      <c r="B27" s="34"/>
      <c r="C27" s="22" t="s">
        <v>1187</v>
      </c>
      <c r="D27" s="508" t="e">
        <f>VLOOKUP(C27,'Sales Master'!B$3:D$499,2,)</f>
        <v>#N/A</v>
      </c>
      <c r="E27" s="508"/>
      <c r="F27" s="508"/>
      <c r="G27" s="22">
        <v>-7</v>
      </c>
      <c r="H27" s="68" t="e">
        <f>VLOOKUP(C27,'Sales Master'!$B$3:$F$3238,5,0)</f>
        <v>#N/A</v>
      </c>
      <c r="I27" s="481" t="e">
        <f>VLOOKUP(C27,'Sales Master'!$B$3:$E$3238,4,0)</f>
        <v>#N/A</v>
      </c>
      <c r="J27" s="481"/>
      <c r="K27" s="35" t="e">
        <f>VLOOKUP(C27,'Sales Master'!$B$3:$BO$583,66,0)</f>
        <v>#N/A</v>
      </c>
      <c r="L27" s="212" t="e">
        <f t="shared" si="0"/>
        <v>#N/A</v>
      </c>
      <c r="N27" s="24" t="s">
        <v>1144</v>
      </c>
      <c r="O27" s="24" t="s">
        <v>1148</v>
      </c>
      <c r="R27" s="24">
        <v>5</v>
      </c>
      <c r="S27" s="24" t="s">
        <v>1082</v>
      </c>
      <c r="T27" s="24">
        <v>0</v>
      </c>
      <c r="V27" s="24">
        <v>1.2</v>
      </c>
    </row>
    <row r="28" spans="2:22" ht="20.149999999999999" customHeight="1" x14ac:dyDescent="0.45">
      <c r="B28" s="34"/>
      <c r="C28" s="22" t="s">
        <v>409</v>
      </c>
      <c r="D28" s="508" t="e">
        <f>VLOOKUP(C28,'Sales Master'!B$3:D$499,2,)</f>
        <v>#N/A</v>
      </c>
      <c r="E28" s="508"/>
      <c r="F28" s="508"/>
      <c r="G28" s="22">
        <v>-1</v>
      </c>
      <c r="H28" s="68" t="e">
        <f>VLOOKUP(C28,'Sales Master'!$B$3:$F$3238,5,0)</f>
        <v>#N/A</v>
      </c>
      <c r="I28" s="481" t="e">
        <f>VLOOKUP(C28,'Sales Master'!$B$3:$E$3238,4,0)</f>
        <v>#N/A</v>
      </c>
      <c r="J28" s="481"/>
      <c r="K28" s="35" t="e">
        <f>VLOOKUP(C28,'Sales Master'!$B$3:$BO$583,66,0)</f>
        <v>#N/A</v>
      </c>
      <c r="L28" s="212" t="e">
        <f>K28*G28</f>
        <v>#N/A</v>
      </c>
    </row>
    <row r="29" spans="2:22" ht="20.149999999999999" customHeight="1" x14ac:dyDescent="0.45">
      <c r="B29" s="34"/>
      <c r="C29" s="22" t="s">
        <v>1207</v>
      </c>
      <c r="D29" s="508" t="e">
        <f>VLOOKUP(C29,'Sales Master'!B$3:D$499,2,)</f>
        <v>#N/A</v>
      </c>
      <c r="E29" s="508"/>
      <c r="F29" s="508"/>
      <c r="G29" s="22">
        <v>-7</v>
      </c>
      <c r="H29" s="68" t="e">
        <f>VLOOKUP(C29,'Sales Master'!$B$3:$F$3238,5,0)</f>
        <v>#N/A</v>
      </c>
      <c r="I29" s="481" t="e">
        <f>VLOOKUP(C29,'Sales Master'!$B$3:$E$3238,4,0)</f>
        <v>#N/A</v>
      </c>
      <c r="J29" s="481"/>
      <c r="K29" s="35" t="e">
        <f>VLOOKUP(C29,'Sales Master'!$B$3:$BO$583,66,0)</f>
        <v>#N/A</v>
      </c>
      <c r="L29" s="212" t="e">
        <f t="shared" ref="L29:L38" si="1">K29*G29</f>
        <v>#N/A</v>
      </c>
    </row>
    <row r="30" spans="2:22" ht="20.149999999999999" customHeight="1" x14ac:dyDescent="0.45">
      <c r="B30" s="34"/>
      <c r="C30" s="22" t="s">
        <v>1335</v>
      </c>
      <c r="D30" s="508" t="e">
        <f>VLOOKUP(C30,'Sales Master'!B$3:D$499,2,)</f>
        <v>#N/A</v>
      </c>
      <c r="E30" s="508"/>
      <c r="F30" s="508"/>
      <c r="G30" s="22">
        <v>-13</v>
      </c>
      <c r="H30" s="68" t="e">
        <f>VLOOKUP(C30,'Sales Master'!$B$3:$F$3238,5,0)</f>
        <v>#N/A</v>
      </c>
      <c r="I30" s="481" t="e">
        <f>VLOOKUP(C30,'Sales Master'!$B$3:$E$3238,4,0)</f>
        <v>#N/A</v>
      </c>
      <c r="J30" s="481"/>
      <c r="K30" s="35" t="e">
        <f>VLOOKUP(C30,'Sales Master'!$B$3:$BO$583,66,0)</f>
        <v>#N/A</v>
      </c>
      <c r="L30" s="212" t="e">
        <f t="shared" si="1"/>
        <v>#N/A</v>
      </c>
    </row>
    <row r="31" spans="2:22" ht="20.149999999999999" customHeight="1" x14ac:dyDescent="0.45">
      <c r="B31" s="34"/>
      <c r="C31" s="22" t="s">
        <v>1336</v>
      </c>
      <c r="D31" s="508" t="e">
        <f>VLOOKUP(C31,'Sales Master'!B$3:D$499,2,)</f>
        <v>#N/A</v>
      </c>
      <c r="E31" s="508"/>
      <c r="F31" s="508"/>
      <c r="G31" s="22">
        <v>-13</v>
      </c>
      <c r="H31" s="68" t="e">
        <f>VLOOKUP(C31,'Sales Master'!$B$3:$F$3238,5,0)</f>
        <v>#N/A</v>
      </c>
      <c r="I31" s="481" t="e">
        <f>VLOOKUP(C31,'Sales Master'!$B$3:$E$3238,4,0)</f>
        <v>#N/A</v>
      </c>
      <c r="J31" s="481"/>
      <c r="K31" s="35" t="e">
        <f>VLOOKUP(C31,'Sales Master'!$B$3:$BO$583,66,0)</f>
        <v>#N/A</v>
      </c>
      <c r="L31" s="212" t="e">
        <f t="shared" si="1"/>
        <v>#N/A</v>
      </c>
    </row>
    <row r="32" spans="2:22" ht="20.149999999999999" customHeight="1" x14ac:dyDescent="0.45">
      <c r="B32" s="34"/>
      <c r="C32" s="22" t="s">
        <v>1193</v>
      </c>
      <c r="D32" s="508" t="e">
        <f>VLOOKUP(C32,'Sales Master'!B$3:D$499,2,)</f>
        <v>#N/A</v>
      </c>
      <c r="E32" s="508"/>
      <c r="F32" s="508"/>
      <c r="G32" s="22">
        <v>-5</v>
      </c>
      <c r="H32" s="68" t="e">
        <f>VLOOKUP(C32,'Sales Master'!$B$3:$F$3238,5,0)</f>
        <v>#N/A</v>
      </c>
      <c r="I32" s="481" t="e">
        <f>VLOOKUP(C32,'Sales Master'!$B$3:$E$3238,4,0)</f>
        <v>#N/A</v>
      </c>
      <c r="J32" s="481"/>
      <c r="K32" s="35" t="e">
        <f>VLOOKUP(C32,'Sales Master'!$B$3:$BO$583,66,0)</f>
        <v>#N/A</v>
      </c>
      <c r="L32" s="212" t="e">
        <f t="shared" si="1"/>
        <v>#N/A</v>
      </c>
    </row>
    <row r="33" spans="2:12" ht="20.149999999999999" customHeight="1" x14ac:dyDescent="0.45">
      <c r="B33" s="34"/>
      <c r="C33" s="22" t="s">
        <v>414</v>
      </c>
      <c r="D33" s="508" t="e">
        <f>VLOOKUP(C33,'Sales Master'!B$3:D$499,2,)</f>
        <v>#N/A</v>
      </c>
      <c r="E33" s="508"/>
      <c r="F33" s="508"/>
      <c r="G33" s="22">
        <v>-5</v>
      </c>
      <c r="H33" s="68" t="e">
        <f>VLOOKUP(C33,'Sales Master'!$B$3:$F$3238,5,0)</f>
        <v>#N/A</v>
      </c>
      <c r="I33" s="481" t="e">
        <f>VLOOKUP(C33,'Sales Master'!$B$3:$E$3238,4,0)</f>
        <v>#N/A</v>
      </c>
      <c r="J33" s="481"/>
      <c r="K33" s="35" t="e">
        <f>VLOOKUP(C33,'Sales Master'!$B$3:$BO$583,66,0)</f>
        <v>#N/A</v>
      </c>
      <c r="L33" s="212" t="e">
        <f t="shared" si="1"/>
        <v>#N/A</v>
      </c>
    </row>
    <row r="34" spans="2:12" ht="20.149999999999999" customHeight="1" x14ac:dyDescent="0.45">
      <c r="B34" s="34"/>
      <c r="C34" s="22" t="s">
        <v>1194</v>
      </c>
      <c r="D34" s="508" t="e">
        <f>VLOOKUP(C34,'Sales Master'!B$3:D$499,2,)</f>
        <v>#N/A</v>
      </c>
      <c r="E34" s="508"/>
      <c r="F34" s="508"/>
      <c r="G34" s="22">
        <v>-6</v>
      </c>
      <c r="H34" s="68" t="e">
        <f>VLOOKUP(C34,'Sales Master'!$B$3:$F$3238,5,0)</f>
        <v>#N/A</v>
      </c>
      <c r="I34" s="481" t="e">
        <f>VLOOKUP(C34,'Sales Master'!$B$3:$E$3238,4,0)</f>
        <v>#N/A</v>
      </c>
      <c r="J34" s="481"/>
      <c r="K34" s="35" t="e">
        <f>VLOOKUP(C34,'Sales Master'!$B$3:$BO$583,66,0)</f>
        <v>#N/A</v>
      </c>
      <c r="L34" s="212" t="e">
        <f t="shared" si="1"/>
        <v>#N/A</v>
      </c>
    </row>
    <row r="35" spans="2:12" ht="20.149999999999999" customHeight="1" x14ac:dyDescent="0.45">
      <c r="B35" s="34"/>
      <c r="C35" s="22" t="s">
        <v>1195</v>
      </c>
      <c r="D35" s="508" t="e">
        <f>VLOOKUP(C35,'Sales Master'!B$3:D$499,2,)</f>
        <v>#N/A</v>
      </c>
      <c r="E35" s="508"/>
      <c r="F35" s="508"/>
      <c r="G35" s="22">
        <v>-7</v>
      </c>
      <c r="H35" s="68" t="e">
        <f>VLOOKUP(C35,'Sales Master'!$B$3:$F$3238,5,0)</f>
        <v>#N/A</v>
      </c>
      <c r="I35" s="481" t="e">
        <f>VLOOKUP(C35,'Sales Master'!$B$3:$E$3238,4,0)</f>
        <v>#N/A</v>
      </c>
      <c r="J35" s="481"/>
      <c r="K35" s="35" t="e">
        <f>VLOOKUP(C35,'Sales Master'!$B$3:$BO$583,66,0)</f>
        <v>#N/A</v>
      </c>
      <c r="L35" s="212" t="e">
        <f t="shared" si="1"/>
        <v>#N/A</v>
      </c>
    </row>
    <row r="36" spans="2:12" ht="20.149999999999999" customHeight="1" x14ac:dyDescent="0.45">
      <c r="B36" s="34"/>
      <c r="C36" s="22" t="s">
        <v>1196</v>
      </c>
      <c r="D36" s="508" t="e">
        <f>VLOOKUP(C36,'Sales Master'!B$3:D$499,2,)</f>
        <v>#N/A</v>
      </c>
      <c r="E36" s="508"/>
      <c r="F36" s="508"/>
      <c r="G36" s="22">
        <v>-5</v>
      </c>
      <c r="H36" s="68" t="e">
        <f>VLOOKUP(C36,'Sales Master'!$B$3:$F$3238,5,0)</f>
        <v>#N/A</v>
      </c>
      <c r="I36" s="481" t="e">
        <f>VLOOKUP(C36,'Sales Master'!$B$3:$E$3238,4,0)</f>
        <v>#N/A</v>
      </c>
      <c r="J36" s="481"/>
      <c r="K36" s="35" t="e">
        <f>VLOOKUP(C36,'Sales Master'!$B$3:$BO$583,66,0)</f>
        <v>#N/A</v>
      </c>
      <c r="L36" s="212" t="e">
        <f t="shared" si="1"/>
        <v>#N/A</v>
      </c>
    </row>
    <row r="37" spans="2:12" ht="20.149999999999999" customHeight="1" x14ac:dyDescent="0.45">
      <c r="B37" s="34"/>
      <c r="C37" s="22" t="s">
        <v>1337</v>
      </c>
      <c r="D37" s="508" t="str">
        <f>VLOOKUP(C37,'Sales Master'!B$3:D$499,2,)</f>
        <v>Bean Curd Sheet 腐竹</v>
      </c>
      <c r="E37" s="508"/>
      <c r="F37" s="508"/>
      <c r="G37" s="22">
        <v>-5</v>
      </c>
      <c r="H37" s="68" t="str">
        <f>VLOOKUP(C37,'Sales Master'!$B$3:$F$3238,5,0)</f>
        <v>170G/PKT</v>
      </c>
      <c r="I37" s="481" t="str">
        <f>VLOOKUP(C37,'Sales Master'!$B$3:$E$3238,4,0)</f>
        <v>福</v>
      </c>
      <c r="J37" s="481"/>
      <c r="K37" s="35">
        <f>VLOOKUP(C37,'Sales Master'!$B$3:$BO$583,66,0)</f>
        <v>2.2000000000000002</v>
      </c>
      <c r="L37" s="212">
        <f t="shared" si="1"/>
        <v>-11</v>
      </c>
    </row>
    <row r="38" spans="2:12" ht="20.149999999999999" customHeight="1" x14ac:dyDescent="0.45">
      <c r="B38" s="34"/>
      <c r="C38" s="22" t="s">
        <v>1197</v>
      </c>
      <c r="D38" s="508" t="e">
        <f>VLOOKUP(C38,'Sales Master'!B$3:D$499,2,)</f>
        <v>#N/A</v>
      </c>
      <c r="E38" s="508"/>
      <c r="F38" s="508"/>
      <c r="G38" s="22">
        <v>-8</v>
      </c>
      <c r="H38" s="68" t="e">
        <f>VLOOKUP(C38,'Sales Master'!$B$3:$F$3238,5,0)</f>
        <v>#N/A</v>
      </c>
      <c r="I38" s="481" t="e">
        <f>VLOOKUP(C38,'Sales Master'!$B$3:$E$3238,4,0)</f>
        <v>#N/A</v>
      </c>
      <c r="J38" s="481"/>
      <c r="K38" s="35" t="e">
        <f>VLOOKUP(C38,'Sales Master'!$B$3:$BO$583,66,0)</f>
        <v>#N/A</v>
      </c>
      <c r="L38" s="212" t="e">
        <f t="shared" si="1"/>
        <v>#N/A</v>
      </c>
    </row>
    <row r="39" spans="2:12" ht="20.149999999999999" customHeight="1" x14ac:dyDescent="0.45">
      <c r="B39" s="34"/>
      <c r="C39" s="22" t="s">
        <v>1198</v>
      </c>
      <c r="D39" s="508" t="e">
        <f>VLOOKUP(C39,'Sales Master'!B$3:D$499,2,)</f>
        <v>#N/A</v>
      </c>
      <c r="E39" s="508"/>
      <c r="F39" s="508"/>
      <c r="G39" s="22">
        <v>-11</v>
      </c>
      <c r="H39" s="68" t="e">
        <f>VLOOKUP(C39,'Sales Master'!$B$3:$F$3238,5,0)</f>
        <v>#N/A</v>
      </c>
      <c r="I39" s="481" t="e">
        <f>VLOOKUP(C39,'Sales Master'!$B$3:$E$3238,4,0)</f>
        <v>#N/A</v>
      </c>
      <c r="J39" s="481"/>
      <c r="K39" s="35" t="e">
        <f>VLOOKUP(C39,'Sales Master'!$B$3:$BO$583,66,0)</f>
        <v>#N/A</v>
      </c>
      <c r="L39" s="212" t="e">
        <f t="shared" si="0"/>
        <v>#N/A</v>
      </c>
    </row>
    <row r="40" spans="2:12" ht="20.149999999999999" customHeight="1" x14ac:dyDescent="0.45">
      <c r="B40" s="34"/>
      <c r="C40" s="22" t="s">
        <v>1199</v>
      </c>
      <c r="D40" s="508" t="e">
        <f>VLOOKUP(C40,'Sales Master'!B$3:D$499,2,)</f>
        <v>#N/A</v>
      </c>
      <c r="E40" s="508"/>
      <c r="F40" s="508"/>
      <c r="G40" s="22">
        <v>-0.8</v>
      </c>
      <c r="H40" s="68" t="e">
        <f>VLOOKUP(C40,'Sales Master'!$B$3:$F$3238,5,0)</f>
        <v>#N/A</v>
      </c>
      <c r="I40" s="481" t="e">
        <f>VLOOKUP(C40,'Sales Master'!$B$3:$E$3238,4,0)</f>
        <v>#N/A</v>
      </c>
      <c r="J40" s="481"/>
      <c r="K40" s="35" t="e">
        <f>VLOOKUP(C40,'Sales Master'!$B$3:$BO$583,66,0)</f>
        <v>#N/A</v>
      </c>
      <c r="L40" s="212" t="e">
        <f t="shared" si="0"/>
        <v>#N/A</v>
      </c>
    </row>
    <row r="41" spans="2:12" ht="20.149999999999999" customHeight="1" x14ac:dyDescent="0.45">
      <c r="B41" s="34"/>
      <c r="C41" s="153" t="s">
        <v>1140</v>
      </c>
      <c r="D41" s="614" t="str">
        <f>VLOOKUP(C41,'Sales Master'!B$3:D$499,2,)</f>
        <v>YELLOW Rock Suger黄冰糖</v>
      </c>
      <c r="E41" s="614"/>
      <c r="F41" s="614"/>
      <c r="G41" s="153">
        <f>-35/50</f>
        <v>-0.7</v>
      </c>
      <c r="H41" s="160" t="str">
        <f>VLOOKUP(C41,'Sales Master'!$B$3:$F$3238,5,0)</f>
        <v>400GM X 50</v>
      </c>
      <c r="I41" s="615">
        <f>VLOOKUP(C41,'Sales Master'!$B$3:$E$3238,4,0)</f>
        <v>0</v>
      </c>
      <c r="J41" s="615"/>
      <c r="K41" s="161">
        <f>VLOOKUP(C41,'Sales Master'!$B$3:$BO$583,66,0)</f>
        <v>58</v>
      </c>
      <c r="L41" s="212">
        <f>K41*G41</f>
        <v>-40.599999999999994</v>
      </c>
    </row>
    <row r="42" spans="2:12" ht="20.149999999999999" customHeight="1" x14ac:dyDescent="0.45">
      <c r="B42" s="155"/>
      <c r="C42" s="156"/>
      <c r="D42" s="556"/>
      <c r="E42" s="556"/>
      <c r="F42" s="556"/>
      <c r="G42" s="156"/>
      <c r="H42" s="189"/>
      <c r="I42" s="491"/>
      <c r="J42" s="491"/>
      <c r="K42" s="163"/>
      <c r="L42" s="213"/>
    </row>
    <row r="43" spans="2:12" ht="20.149999999999999" customHeight="1" thickBot="1" x14ac:dyDescent="0.5">
      <c r="B43" s="41"/>
      <c r="L43" s="42"/>
    </row>
    <row r="44" spans="2:12" ht="20.149999999999999" customHeight="1" x14ac:dyDescent="0.45">
      <c r="B44" s="11" t="s">
        <v>18</v>
      </c>
      <c r="C44" s="7"/>
      <c r="D44" s="7"/>
      <c r="E44" s="7"/>
      <c r="F44" s="7"/>
      <c r="G44" s="7"/>
      <c r="H44" s="7"/>
      <c r="I44" s="7"/>
      <c r="J44" s="510" t="s">
        <v>15</v>
      </c>
      <c r="K44" s="511"/>
      <c r="L44" s="43" t="e">
        <f>SUM(L17:L42)</f>
        <v>#N/A</v>
      </c>
    </row>
    <row r="45" spans="2:12" ht="20.149999999999999" customHeight="1" x14ac:dyDescent="0.45">
      <c r="B45" s="11" t="s">
        <v>19</v>
      </c>
      <c r="C45" s="7"/>
      <c r="D45" s="7"/>
      <c r="E45" s="7"/>
      <c r="F45" s="7"/>
      <c r="G45" s="7"/>
      <c r="H45" s="7"/>
      <c r="I45" s="7"/>
      <c r="J45" s="44" t="s">
        <v>22</v>
      </c>
      <c r="K45" s="45"/>
      <c r="L45" s="46" t="e">
        <f>L44*K45</f>
        <v>#N/A</v>
      </c>
    </row>
    <row r="46" spans="2:12" ht="20.149999999999999" customHeight="1" x14ac:dyDescent="0.45">
      <c r="B46" s="11" t="s">
        <v>20</v>
      </c>
      <c r="C46" s="7"/>
      <c r="D46" s="7"/>
      <c r="E46" s="7"/>
      <c r="F46" s="7"/>
      <c r="G46" s="7"/>
      <c r="H46" s="7"/>
      <c r="I46" s="7"/>
      <c r="J46" s="486" t="s">
        <v>21</v>
      </c>
      <c r="K46" s="487"/>
      <c r="L46" s="46" t="e">
        <f>L44-L45</f>
        <v>#N/A</v>
      </c>
    </row>
    <row r="47" spans="2:12" ht="20.149999999999999" customHeight="1" x14ac:dyDescent="0.45">
      <c r="B47" s="11" t="s">
        <v>24</v>
      </c>
      <c r="C47" s="7"/>
      <c r="D47" s="7"/>
      <c r="E47" s="7"/>
      <c r="F47" s="7"/>
      <c r="G47" s="7"/>
      <c r="H47" s="7"/>
      <c r="I47" s="7"/>
      <c r="J47" s="150" t="s">
        <v>17</v>
      </c>
      <c r="K47" s="151">
        <v>7.0000000000000007E-2</v>
      </c>
      <c r="L47" s="47" t="e">
        <f>L46*K47</f>
        <v>#N/A</v>
      </c>
    </row>
    <row r="48" spans="2:12" ht="20.149999999999999" customHeight="1" thickBot="1" x14ac:dyDescent="0.5">
      <c r="B48" s="11" t="s">
        <v>1400</v>
      </c>
      <c r="C48" s="7"/>
      <c r="D48" s="7"/>
      <c r="E48" s="7"/>
      <c r="F48" s="7"/>
      <c r="G48" s="7"/>
      <c r="H48" s="7"/>
      <c r="I48" s="7"/>
      <c r="J48" s="488" t="s">
        <v>23</v>
      </c>
      <c r="K48" s="489"/>
      <c r="L48" s="48" t="e">
        <f>L46+L47</f>
        <v>#N/A</v>
      </c>
    </row>
    <row r="49" spans="2:12" ht="20.149999999999999" customHeight="1" x14ac:dyDescent="0.45">
      <c r="B49" s="11" t="s">
        <v>26</v>
      </c>
      <c r="C49" s="7"/>
      <c r="D49" s="7"/>
      <c r="E49" s="7"/>
      <c r="F49" s="7"/>
      <c r="G49" s="7"/>
      <c r="H49" s="7"/>
      <c r="I49" s="7"/>
      <c r="L49" s="42"/>
    </row>
    <row r="50" spans="2:12" ht="20.149999999999999" customHeight="1" x14ac:dyDescent="0.45">
      <c r="B50" s="224" t="s">
        <v>1379</v>
      </c>
      <c r="L50" s="42"/>
    </row>
    <row r="51" spans="2:12" ht="20.149999999999999" customHeight="1" x14ac:dyDescent="0.45">
      <c r="B51" s="41"/>
      <c r="L51" s="42"/>
    </row>
    <row r="52" spans="2:12" ht="20.149999999999999" customHeight="1" x14ac:dyDescent="0.45">
      <c r="B52" s="41"/>
      <c r="L52" s="42"/>
    </row>
    <row r="53" spans="2:12" ht="20.149999999999999" customHeight="1" x14ac:dyDescent="0.45">
      <c r="B53" s="41"/>
      <c r="L53" s="42"/>
    </row>
    <row r="54" spans="2:12" ht="20.149999999999999" customHeight="1" x14ac:dyDescent="0.45">
      <c r="B54" s="49"/>
      <c r="C54" s="50"/>
      <c r="D54" s="50"/>
      <c r="J54" s="50"/>
      <c r="K54" s="50"/>
      <c r="L54" s="51"/>
    </row>
    <row r="55" spans="2:12" ht="20.149999999999999" customHeight="1" x14ac:dyDescent="0.45">
      <c r="B55" s="41" t="s">
        <v>27</v>
      </c>
      <c r="J55" s="24" t="s">
        <v>28</v>
      </c>
      <c r="L55" s="42"/>
    </row>
    <row r="56" spans="2:12" ht="19" thickBot="1" x14ac:dyDescent="0.5">
      <c r="B56" s="52"/>
      <c r="C56" s="53"/>
      <c r="D56" s="53"/>
      <c r="E56" s="53"/>
      <c r="F56" s="53"/>
      <c r="G56" s="53"/>
      <c r="H56" s="53"/>
      <c r="I56" s="53"/>
      <c r="J56" s="53"/>
      <c r="K56" s="53"/>
      <c r="L56" s="54"/>
    </row>
  </sheetData>
  <mergeCells count="67">
    <mergeCell ref="J48:K48"/>
    <mergeCell ref="I26:J26"/>
    <mergeCell ref="I40:J40"/>
    <mergeCell ref="D27:F27"/>
    <mergeCell ref="I27:J27"/>
    <mergeCell ref="D26:F26"/>
    <mergeCell ref="I31:J31"/>
    <mergeCell ref="D32:F32"/>
    <mergeCell ref="I32:J32"/>
    <mergeCell ref="D33:F33"/>
    <mergeCell ref="I33:J33"/>
    <mergeCell ref="D34:F34"/>
    <mergeCell ref="I34:J34"/>
    <mergeCell ref="D35:F35"/>
    <mergeCell ref="I35:J35"/>
    <mergeCell ref="D36:F36"/>
    <mergeCell ref="D25:F25"/>
    <mergeCell ref="I25:J25"/>
    <mergeCell ref="D42:F42"/>
    <mergeCell ref="J44:K44"/>
    <mergeCell ref="J46:K46"/>
    <mergeCell ref="I42:J42"/>
    <mergeCell ref="D39:F39"/>
    <mergeCell ref="I39:J39"/>
    <mergeCell ref="D40:F40"/>
    <mergeCell ref="D28:F28"/>
    <mergeCell ref="I28:J28"/>
    <mergeCell ref="D29:F29"/>
    <mergeCell ref="I29:J29"/>
    <mergeCell ref="D30:F30"/>
    <mergeCell ref="I30:J30"/>
    <mergeCell ref="D31:F31"/>
    <mergeCell ref="D22:F22"/>
    <mergeCell ref="I22:J22"/>
    <mergeCell ref="D23:F23"/>
    <mergeCell ref="I23:J23"/>
    <mergeCell ref="D24:F24"/>
    <mergeCell ref="I24:J24"/>
    <mergeCell ref="D20:F20"/>
    <mergeCell ref="I20:J20"/>
    <mergeCell ref="D21:F21"/>
    <mergeCell ref="I21:J21"/>
    <mergeCell ref="D19:F19"/>
    <mergeCell ref="I19:J19"/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18:J18"/>
    <mergeCell ref="D41:F41"/>
    <mergeCell ref="I41:J41"/>
    <mergeCell ref="I36:J36"/>
    <mergeCell ref="D37:F37"/>
    <mergeCell ref="I37:J37"/>
    <mergeCell ref="D38:F38"/>
    <mergeCell ref="I38:J38"/>
  </mergeCells>
  <pageMargins left="0.70866141732283472" right="0.31496062992125984" top="0.59055118110236227" bottom="0" header="0.31496062992125984" footer="0.31496062992125984"/>
  <pageSetup paperSize="9" scale="70" orientation="portrait" verticalDpi="3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0CCD1F-D8E4-440D-A150-665283AC0C45}">
  <sheetPr codeName="Sheet113">
    <tabColor theme="8"/>
    <pageSetUpPr fitToPage="1"/>
  </sheetPr>
  <dimension ref="B1:T44"/>
  <sheetViews>
    <sheetView topLeftCell="A9" zoomScaleNormal="100" workbookViewId="0">
      <selection activeCell="B1" sqref="B1:L43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6.54296875" style="24" customWidth="1"/>
    <col min="7" max="7" width="8.54296875" style="24" customWidth="1"/>
    <col min="8" max="8" width="17.36328125" style="24" customWidth="1"/>
    <col min="9" max="9" width="2.54296875" style="24" customWidth="1"/>
    <col min="10" max="10" width="15.54296875" style="24" customWidth="1"/>
    <col min="11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156</v>
      </c>
      <c r="J10" s="29" t="s">
        <v>29</v>
      </c>
      <c r="K10" s="452">
        <v>202209415</v>
      </c>
      <c r="L10" s="453"/>
    </row>
    <row r="11" spans="2:12" ht="20.149999999999999" customHeight="1" x14ac:dyDescent="0.45">
      <c r="B11" s="454" t="s">
        <v>646</v>
      </c>
      <c r="C11" s="455"/>
      <c r="D11" s="456"/>
      <c r="E11" s="30"/>
      <c r="F11" s="457" t="str">
        <f>VLOOKUP(H10,'Delivery Location'!A$4:N$416,2,0)</f>
        <v>Balestier Market Pte Ltd                       411, Balestier Road.                         Singapore 329930                                                (Drink Stall)</v>
      </c>
      <c r="G11" s="458"/>
      <c r="H11" s="459"/>
      <c r="J11" s="31" t="s">
        <v>11</v>
      </c>
      <c r="K11" s="466">
        <v>44831</v>
      </c>
      <c r="L11" s="467"/>
    </row>
    <row r="12" spans="2:12" ht="20.149999999999999" customHeight="1" x14ac:dyDescent="0.45">
      <c r="B12" s="468" t="s">
        <v>587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533</v>
      </c>
      <c r="L12" s="472"/>
    </row>
    <row r="13" spans="2:12" ht="20.149999999999999" customHeight="1" x14ac:dyDescent="0.45">
      <c r="B13" s="468" t="s">
        <v>588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14</v>
      </c>
      <c r="L13" s="472"/>
    </row>
    <row r="14" spans="2:12" ht="20.149999999999999" customHeight="1" x14ac:dyDescent="0.45">
      <c r="B14" s="468"/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55"/>
      <c r="C15" s="56"/>
      <c r="D15" s="57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20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20" ht="20.149999999999999" customHeight="1" x14ac:dyDescent="0.45">
      <c r="B18" s="34"/>
      <c r="C18" s="22" t="s">
        <v>1717</v>
      </c>
      <c r="D18" s="508" t="str">
        <f>VLOOKUP(C18,'Sales Master'!B$3:D$499,2,)</f>
        <v>Evaporated Creamer 淡奶水</v>
      </c>
      <c r="E18" s="508"/>
      <c r="F18" s="508"/>
      <c r="G18" s="22">
        <v>2</v>
      </c>
      <c r="H18" s="389" t="str">
        <f>VLOOKUP(C18,'Sales Master'!$B$3:$F$3247,5,0)</f>
        <v>48 can/Ctn</v>
      </c>
      <c r="I18" s="514" t="str">
        <f>VLOOKUP(C18,'Sales Master'!$B$3:$E$3247,4,0)</f>
        <v>Marigold</v>
      </c>
      <c r="J18" s="514"/>
      <c r="K18" s="94">
        <f>VLOOKUP(C18,'Sales Master'!B$3:P$499,15,0)</f>
        <v>54</v>
      </c>
      <c r="L18" s="77">
        <f>K18*G18</f>
        <v>108</v>
      </c>
      <c r="M18" s="78"/>
      <c r="N18" s="225">
        <f>VLOOKUP(C18,'Sales Master'!$B$3:$DA$3038,104,0)</f>
        <v>48.5</v>
      </c>
      <c r="O18" s="225">
        <f>K18-N18</f>
        <v>5.5</v>
      </c>
      <c r="P18" s="225">
        <f>O18*G18</f>
        <v>11</v>
      </c>
    </row>
    <row r="19" spans="2:20" ht="20.149999999999999" customHeight="1" x14ac:dyDescent="0.45">
      <c r="B19" s="34"/>
      <c r="C19" s="22" t="s">
        <v>1720</v>
      </c>
      <c r="D19" s="508" t="str">
        <f>VLOOKUP(C19,'Sales Master'!B$3:D$499,2,)</f>
        <v>Sweetened Creamer 练奶</v>
      </c>
      <c r="E19" s="508"/>
      <c r="F19" s="508"/>
      <c r="G19" s="22">
        <v>5</v>
      </c>
      <c r="H19" s="391" t="str">
        <f>VLOOKUP(C19,'Sales Master'!$B$3:$F$3247,5,0)</f>
        <v>380 gm x 48 can/Ctn</v>
      </c>
      <c r="I19" s="482" t="str">
        <f>VLOOKUP(C19,'Sales Master'!$B$3:$E$3247,4,0)</f>
        <v>Dawn牛</v>
      </c>
      <c r="J19" s="482"/>
      <c r="K19" s="94">
        <f>VLOOKUP(C19,'Sales Master'!B$3:P$499,15,0)</f>
        <v>43</v>
      </c>
      <c r="L19" s="77">
        <f>K19*G19</f>
        <v>215</v>
      </c>
      <c r="M19" s="78"/>
      <c r="N19" s="225">
        <f>VLOOKUP(C19,'Sales Master'!$B$3:$DA$3038,104,0)</f>
        <v>38</v>
      </c>
      <c r="O19" s="225">
        <f>K19-N19</f>
        <v>5</v>
      </c>
      <c r="P19" s="225">
        <f>O19*G19</f>
        <v>25</v>
      </c>
      <c r="R19" s="24">
        <v>3</v>
      </c>
      <c r="S19" s="24" t="s">
        <v>183</v>
      </c>
      <c r="T19" s="24" t="s">
        <v>184</v>
      </c>
    </row>
    <row r="20" spans="2:20" ht="20.149999999999999" customHeight="1" x14ac:dyDescent="0.45">
      <c r="B20" s="34"/>
      <c r="C20" s="22" t="s">
        <v>1771</v>
      </c>
      <c r="D20" s="508" t="str">
        <f>VLOOKUP(C20,'Sales Master'!B$3:D$499,2,)</f>
        <v>Fine Sugar 白糖</v>
      </c>
      <c r="E20" s="508"/>
      <c r="F20" s="508"/>
      <c r="G20" s="22">
        <v>2</v>
      </c>
      <c r="H20" s="389" t="str">
        <f>VLOOKUP(C20,'Sales Master'!$B$3:$F$3247,5,0)</f>
        <v>25 KGS</v>
      </c>
      <c r="I20" s="482" t="str">
        <f>VLOOKUP(C20,'Sales Master'!$B$3:$E$3247,4,0)</f>
        <v>MITRPHOL</v>
      </c>
      <c r="J20" s="482"/>
      <c r="K20" s="94">
        <f>VLOOKUP(C20,'Sales Master'!B$3:P$499,15,0)</f>
        <v>30</v>
      </c>
      <c r="L20" s="77">
        <f>K20*G20</f>
        <v>60</v>
      </c>
      <c r="M20" s="78"/>
      <c r="N20" s="225">
        <f>VLOOKUP(C20,'Sales Master'!$B$3:$DA$3038,104,0)</f>
        <v>24</v>
      </c>
      <c r="O20" s="225">
        <f>K20-N20</f>
        <v>6</v>
      </c>
      <c r="P20" s="225">
        <f>O20*G20</f>
        <v>12</v>
      </c>
    </row>
    <row r="21" spans="2:20" ht="20.149999999999999" customHeight="1" x14ac:dyDescent="0.45">
      <c r="B21" s="34"/>
      <c r="C21" s="22"/>
      <c r="G21" s="22"/>
      <c r="H21" s="68"/>
      <c r="I21" s="438"/>
      <c r="J21" s="438"/>
      <c r="K21" s="94"/>
      <c r="L21" s="77"/>
      <c r="M21" s="78"/>
      <c r="N21" s="225"/>
      <c r="O21" s="225"/>
      <c r="P21" s="225"/>
    </row>
    <row r="22" spans="2:20" ht="20.149999999999999" customHeight="1" x14ac:dyDescent="0.45">
      <c r="B22" s="34"/>
      <c r="F22" s="405"/>
      <c r="G22" s="22"/>
      <c r="H22" s="68"/>
      <c r="I22" s="482"/>
      <c r="J22" s="482"/>
      <c r="K22" s="94"/>
      <c r="L22" s="77"/>
      <c r="M22" s="78"/>
      <c r="N22" s="225"/>
      <c r="O22" s="225"/>
      <c r="P22" s="225"/>
    </row>
    <row r="23" spans="2:20" ht="20.149999999999999" customHeight="1" x14ac:dyDescent="0.45">
      <c r="B23" s="34"/>
      <c r="C23" s="22"/>
      <c r="D23" s="508"/>
      <c r="E23" s="508"/>
      <c r="F23" s="508"/>
      <c r="G23" s="22"/>
      <c r="H23" s="389"/>
      <c r="I23" s="482"/>
      <c r="J23" s="482"/>
      <c r="K23" s="94"/>
      <c r="L23" s="77"/>
      <c r="M23" s="78"/>
    </row>
    <row r="24" spans="2:20" ht="20.149999999999999" customHeight="1" x14ac:dyDescent="0.45">
      <c r="B24" s="34"/>
      <c r="G24" s="22"/>
      <c r="H24" s="389"/>
      <c r="I24" s="438"/>
      <c r="J24" s="438"/>
      <c r="K24" s="94"/>
      <c r="L24" s="77"/>
      <c r="M24" s="78"/>
    </row>
    <row r="25" spans="2:20" ht="20.149999999999999" customHeight="1" x14ac:dyDescent="0.45">
      <c r="B25" s="34"/>
      <c r="C25" s="285" t="s">
        <v>2317</v>
      </c>
      <c r="G25" s="401"/>
      <c r="H25" s="68"/>
      <c r="I25" s="438"/>
      <c r="J25" s="438"/>
      <c r="K25" s="394"/>
      <c r="L25" s="77"/>
      <c r="M25" s="78"/>
    </row>
    <row r="26" spans="2:20" ht="20.149999999999999" customHeight="1" x14ac:dyDescent="0.45">
      <c r="B26" s="34"/>
      <c r="C26" s="22" t="s">
        <v>1720</v>
      </c>
      <c r="D26" s="505" t="str">
        <f>VLOOKUP(C26,'Sales Master'!B$3:D$699,2,)</f>
        <v>Sweetened Creamer 练奶</v>
      </c>
      <c r="E26" s="505"/>
      <c r="F26" s="505"/>
      <c r="G26" s="401">
        <v>1</v>
      </c>
      <c r="H26" s="424" t="str">
        <f>VLOOKUP(C26,'Sales Master'!$B$3:$F$3179,5,0)</f>
        <v>380 gm x 48 can/Ctn</v>
      </c>
      <c r="I26" s="513" t="str">
        <f>VLOOKUP(C26,'Sales Master'!$B$3:$E$3179,4,0)</f>
        <v>Dawn牛</v>
      </c>
      <c r="J26" s="513"/>
      <c r="K26" s="394">
        <v>46</v>
      </c>
      <c r="L26" s="77"/>
      <c r="M26" s="78"/>
    </row>
    <row r="27" spans="2:20" ht="20.149999999999999" customHeight="1" x14ac:dyDescent="0.45">
      <c r="B27" s="34"/>
      <c r="C27" s="22"/>
      <c r="D27" s="508"/>
      <c r="E27" s="508"/>
      <c r="F27" s="508"/>
      <c r="G27" s="90"/>
      <c r="H27" s="389"/>
      <c r="I27" s="512"/>
      <c r="J27" s="512"/>
      <c r="K27" s="94"/>
      <c r="L27" s="77"/>
      <c r="M27" s="78"/>
    </row>
    <row r="28" spans="2:20" ht="20.149999999999999" customHeight="1" x14ac:dyDescent="0.45">
      <c r="B28" s="34"/>
      <c r="C28" s="22"/>
      <c r="G28" s="22"/>
      <c r="H28" s="389"/>
      <c r="I28" s="389"/>
      <c r="J28" s="389"/>
      <c r="K28" s="94"/>
      <c r="L28" s="77"/>
      <c r="M28" s="78"/>
    </row>
    <row r="29" spans="2:20" ht="20.149999999999999" customHeight="1" thickBot="1" x14ac:dyDescent="0.5">
      <c r="B29" s="37"/>
      <c r="C29" s="38"/>
      <c r="D29" s="509"/>
      <c r="E29" s="509"/>
      <c r="F29" s="509"/>
      <c r="G29" s="38"/>
      <c r="H29" s="69"/>
      <c r="I29" s="451"/>
      <c r="J29" s="451"/>
      <c r="K29" s="39"/>
      <c r="L29" s="40"/>
    </row>
    <row r="30" spans="2:20" ht="20.149999999999999" customHeight="1" thickBot="1" x14ac:dyDescent="0.5">
      <c r="B30" s="41"/>
      <c r="L30" s="42"/>
    </row>
    <row r="31" spans="2:20" ht="20.149999999999999" customHeight="1" x14ac:dyDescent="0.45">
      <c r="B31" s="11" t="s">
        <v>18</v>
      </c>
      <c r="C31" s="7"/>
      <c r="D31" s="7"/>
      <c r="E31" s="7"/>
      <c r="F31" s="7"/>
      <c r="G31" s="7"/>
      <c r="H31" s="7"/>
      <c r="I31" s="7"/>
      <c r="J31" s="510" t="s">
        <v>15</v>
      </c>
      <c r="K31" s="511"/>
      <c r="L31" s="43">
        <f>SUM(L17:L28)</f>
        <v>383</v>
      </c>
      <c r="M31" s="76">
        <f>SUM(P18:P29)</f>
        <v>48</v>
      </c>
      <c r="N31" s="201">
        <f>M31/L31</f>
        <v>0.12532637075718014</v>
      </c>
    </row>
    <row r="32" spans="2:20" ht="20.149999999999999" customHeight="1" x14ac:dyDescent="0.45">
      <c r="B32" s="11" t="s">
        <v>19</v>
      </c>
      <c r="C32" s="7"/>
      <c r="D32" s="7"/>
      <c r="E32" s="7"/>
      <c r="F32" s="7"/>
      <c r="G32" s="7"/>
      <c r="H32" s="7"/>
      <c r="I32" s="7"/>
      <c r="J32" s="44" t="s">
        <v>22</v>
      </c>
      <c r="K32" s="45"/>
      <c r="L32" s="46">
        <f>L31*K32</f>
        <v>0</v>
      </c>
    </row>
    <row r="33" spans="2:12" ht="20.149999999999999" customHeight="1" x14ac:dyDescent="0.45">
      <c r="B33" s="11" t="s">
        <v>20</v>
      </c>
      <c r="C33" s="7"/>
      <c r="D33" s="7"/>
      <c r="E33" s="7"/>
      <c r="F33" s="7"/>
      <c r="G33" s="7"/>
      <c r="H33" s="7"/>
      <c r="I33" s="7"/>
      <c r="J33" s="486" t="s">
        <v>21</v>
      </c>
      <c r="K33" s="487"/>
      <c r="L33" s="46">
        <f>L31-L32</f>
        <v>383</v>
      </c>
    </row>
    <row r="34" spans="2:12" ht="20.149999999999999" customHeight="1" x14ac:dyDescent="0.45">
      <c r="B34" s="11" t="s">
        <v>24</v>
      </c>
      <c r="C34" s="7"/>
      <c r="D34" s="7"/>
      <c r="E34" s="7"/>
      <c r="F34" s="7"/>
      <c r="G34" s="7"/>
      <c r="H34" s="7"/>
      <c r="I34" s="7"/>
      <c r="J34" s="150" t="s">
        <v>17</v>
      </c>
      <c r="K34" s="151">
        <v>7.0000000000000007E-2</v>
      </c>
      <c r="L34" s="47">
        <f>L33*K34</f>
        <v>26.810000000000002</v>
      </c>
    </row>
    <row r="35" spans="2:12" ht="20.149999999999999" customHeight="1" thickBot="1" x14ac:dyDescent="0.5">
      <c r="B35" s="11" t="s">
        <v>25</v>
      </c>
      <c r="C35" s="7"/>
      <c r="D35" s="7"/>
      <c r="E35" s="7"/>
      <c r="F35" s="7"/>
      <c r="G35" s="7"/>
      <c r="H35" s="7"/>
      <c r="I35" s="7"/>
      <c r="J35" s="488" t="s">
        <v>23</v>
      </c>
      <c r="K35" s="489"/>
      <c r="L35" s="48">
        <f>L33+L34</f>
        <v>409.81</v>
      </c>
    </row>
    <row r="36" spans="2:12" ht="20.149999999999999" customHeight="1" x14ac:dyDescent="0.45">
      <c r="B36" s="11" t="s">
        <v>26</v>
      </c>
      <c r="C36" s="7"/>
      <c r="D36" s="7"/>
      <c r="E36" s="7"/>
      <c r="F36" s="7"/>
      <c r="G36" s="7"/>
      <c r="H36" s="7"/>
      <c r="I36" s="7"/>
      <c r="L36" s="42"/>
    </row>
    <row r="37" spans="2:12" ht="20.149999999999999" customHeight="1" x14ac:dyDescent="0.45">
      <c r="B37" s="41"/>
      <c r="G37" s="24" t="s">
        <v>720</v>
      </c>
      <c r="H37" s="22"/>
      <c r="L37" s="42"/>
    </row>
    <row r="38" spans="2:12" ht="20.149999999999999" customHeight="1" x14ac:dyDescent="0.45">
      <c r="B38" s="41"/>
      <c r="L38" s="42"/>
    </row>
    <row r="39" spans="2:12" ht="20.149999999999999" customHeight="1" x14ac:dyDescent="0.45">
      <c r="B39" s="41"/>
      <c r="L39" s="42"/>
    </row>
    <row r="40" spans="2:12" ht="20.149999999999999" customHeight="1" x14ac:dyDescent="0.45">
      <c r="B40" s="41"/>
      <c r="L40" s="42"/>
    </row>
    <row r="41" spans="2:12" ht="20.149999999999999" customHeight="1" x14ac:dyDescent="0.45">
      <c r="B41" s="49"/>
      <c r="C41" s="50"/>
      <c r="D41" s="50"/>
      <c r="J41" s="50"/>
      <c r="K41" s="50"/>
      <c r="L41" s="51"/>
    </row>
    <row r="42" spans="2:12" ht="20.149999999999999" customHeight="1" x14ac:dyDescent="0.45">
      <c r="B42" s="41" t="s">
        <v>27</v>
      </c>
      <c r="J42" s="24" t="s">
        <v>28</v>
      </c>
      <c r="L42" s="42"/>
    </row>
    <row r="43" spans="2:12" ht="19" thickBot="1" x14ac:dyDescent="0.5">
      <c r="B43" s="52"/>
      <c r="C43" s="53"/>
      <c r="D43" s="53"/>
      <c r="E43" s="53"/>
      <c r="F43" s="53"/>
      <c r="G43" s="53"/>
      <c r="H43" s="53"/>
      <c r="I43" s="53"/>
      <c r="J43" s="53"/>
      <c r="K43" s="53"/>
      <c r="L43" s="54"/>
    </row>
    <row r="44" spans="2:12" ht="20.5" x14ac:dyDescent="0.45">
      <c r="F44" s="427"/>
    </row>
  </sheetData>
  <mergeCells count="32">
    <mergeCell ref="I22:J22"/>
    <mergeCell ref="D19:F19"/>
    <mergeCell ref="I19:J19"/>
    <mergeCell ref="D17:F17"/>
    <mergeCell ref="I17:J17"/>
    <mergeCell ref="D20:F20"/>
    <mergeCell ref="I20:J20"/>
    <mergeCell ref="D18:F18"/>
    <mergeCell ref="I18:J18"/>
    <mergeCell ref="J35:K35"/>
    <mergeCell ref="D29:F29"/>
    <mergeCell ref="I29:J29"/>
    <mergeCell ref="J33:K33"/>
    <mergeCell ref="J31:K31"/>
    <mergeCell ref="D27:F27"/>
    <mergeCell ref="I27:J27"/>
    <mergeCell ref="D26:F26"/>
    <mergeCell ref="I26:J26"/>
    <mergeCell ref="D23:F23"/>
    <mergeCell ref="I23:J23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</mergeCells>
  <conditionalFormatting sqref="C25">
    <cfRule type="duplicateValues" dxfId="144" priority="1"/>
  </conditionalFormatting>
  <pageMargins left="0.70866141732283505" right="0.31496062992126" top="0.59055118110236204" bottom="0" header="0.31496062992126" footer="0.31496062992126"/>
  <pageSetup paperSize="9" scale="75" orientation="portrait" horizontalDpi="300" verticalDpi="300" r:id="rId1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D92772-0216-42AB-9ADF-8AA176D1AEFD}">
  <sheetPr codeName="Sheet82">
    <tabColor rgb="FFFFFF00"/>
    <pageSetUpPr fitToPage="1"/>
  </sheetPr>
  <dimension ref="B1:V49"/>
  <sheetViews>
    <sheetView workbookViewId="0">
      <selection activeCell="B1" sqref="B1:L49"/>
    </sheetView>
  </sheetViews>
  <sheetFormatPr defaultColWidth="12.54296875" defaultRowHeight="18.5" x14ac:dyDescent="0.45"/>
  <cols>
    <col min="1" max="4" width="12.54296875" style="24" customWidth="1"/>
    <col min="5" max="5" width="1.54296875" style="24" customWidth="1"/>
    <col min="6" max="6" width="14.54296875" style="24" customWidth="1"/>
    <col min="7" max="7" width="8.54296875" style="24" customWidth="1"/>
    <col min="8" max="8" width="15.453125" style="24" customWidth="1"/>
    <col min="9" max="9" width="4.54296875" style="24" customWidth="1"/>
    <col min="10" max="10" width="15.54296875" style="24" customWidth="1"/>
    <col min="11" max="12" width="12.54296875" style="24" customWidth="1"/>
    <col min="13" max="16384" width="12.54296875" style="24"/>
  </cols>
  <sheetData>
    <row r="1" spans="2:13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3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3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3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3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3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3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3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  <c r="M8" s="93"/>
    </row>
    <row r="9" spans="2:13" ht="19" thickBot="1" x14ac:dyDescent="0.5"/>
    <row r="10" spans="2:13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1167</v>
      </c>
      <c r="J10" s="29" t="s">
        <v>29</v>
      </c>
      <c r="K10" s="452">
        <v>202109138</v>
      </c>
      <c r="L10" s="453"/>
    </row>
    <row r="11" spans="2:13" ht="20.149999999999999" customHeight="1" x14ac:dyDescent="0.45">
      <c r="B11" s="454"/>
      <c r="C11" s="455"/>
      <c r="D11" s="456"/>
      <c r="E11" s="30"/>
      <c r="F11" s="457" t="str">
        <f>VLOOKUP(H10,'Delivery Location'!A$4:N$416,2,0)</f>
        <v>KSY TEL: 94313399                                                         #01-173 Pasir Panjang Wholesale Centre, Singapore 110023</v>
      </c>
      <c r="G11" s="458"/>
      <c r="H11" s="459"/>
      <c r="J11" s="31" t="s">
        <v>11</v>
      </c>
      <c r="K11" s="551">
        <v>44447</v>
      </c>
      <c r="L11" s="472"/>
    </row>
    <row r="12" spans="2:13" ht="20.149999999999999" customHeight="1" x14ac:dyDescent="0.45">
      <c r="B12" s="468"/>
      <c r="C12" s="469"/>
      <c r="D12" s="470"/>
      <c r="E12" s="30"/>
      <c r="F12" s="460"/>
      <c r="G12" s="461"/>
      <c r="H12" s="462"/>
      <c r="J12" s="31" t="s">
        <v>171</v>
      </c>
      <c r="K12" s="471" t="s">
        <v>36</v>
      </c>
      <c r="L12" s="472"/>
    </row>
    <row r="13" spans="2:13" ht="20.149999999999999" customHeight="1" x14ac:dyDescent="0.45">
      <c r="B13" s="468"/>
      <c r="C13" s="469"/>
      <c r="D13" s="470"/>
      <c r="E13" s="30"/>
      <c r="F13" s="460"/>
      <c r="G13" s="461"/>
      <c r="H13" s="462"/>
      <c r="J13" s="31" t="s">
        <v>12</v>
      </c>
      <c r="K13" s="471" t="s">
        <v>692</v>
      </c>
      <c r="L13" s="472"/>
    </row>
    <row r="14" spans="2:13" ht="20.149999999999999" customHeight="1" x14ac:dyDescent="0.45">
      <c r="B14" s="468"/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3" ht="18" customHeight="1" thickBot="1" x14ac:dyDescent="0.5">
      <c r="B15" s="55"/>
      <c r="C15" s="56"/>
      <c r="D15" s="57"/>
      <c r="E15" s="26"/>
      <c r="F15" s="463"/>
      <c r="G15" s="464"/>
      <c r="H15" s="465"/>
      <c r="J15" s="32" t="s">
        <v>13</v>
      </c>
      <c r="K15" s="476"/>
      <c r="L15" s="477"/>
    </row>
    <row r="16" spans="2:13" ht="19" thickBot="1" x14ac:dyDescent="0.5">
      <c r="J16" s="22"/>
    </row>
    <row r="17" spans="2:22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3"/>
      <c r="O17" s="33"/>
    </row>
    <row r="18" spans="2:22" ht="20.149999999999999" customHeight="1" x14ac:dyDescent="0.45">
      <c r="B18" s="34"/>
      <c r="C18" s="22" t="s">
        <v>1474</v>
      </c>
      <c r="D18" s="508" t="str">
        <f>VLOOKUP(C18,'Sales Master'!B$3:D$499,2,)</f>
        <v>Sweet Potato Q - Orange番薯粉圆</v>
      </c>
      <c r="E18" s="508"/>
      <c r="F18" s="508"/>
      <c r="G18" s="22">
        <v>1</v>
      </c>
      <c r="H18" s="68" t="str">
        <f>VLOOKUP(C18,'Sales Master'!$B$3:$F$3238,5,0)</f>
        <v>700 GM/BOX</v>
      </c>
      <c r="I18" s="481" t="str">
        <f>VLOOKUP(C18,'Sales Master'!$B$3:$E$3238,4,0)</f>
        <v>DO!</v>
      </c>
      <c r="J18" s="481"/>
      <c r="K18" s="35">
        <f>VLOOKUP(C18,'Sales Master'!$B$3:$BQ$583,68,0)</f>
        <v>7</v>
      </c>
      <c r="L18" s="36">
        <f t="shared" ref="L18:L23" si="0">K18*G18</f>
        <v>7</v>
      </c>
      <c r="N18" s="24" t="s">
        <v>1106</v>
      </c>
      <c r="O18" s="24" t="s">
        <v>1128</v>
      </c>
      <c r="R18" s="24">
        <v>1</v>
      </c>
      <c r="S18" s="24" t="s">
        <v>1127</v>
      </c>
      <c r="T18" s="24">
        <v>0</v>
      </c>
      <c r="V18" s="24">
        <v>14.399999999999999</v>
      </c>
    </row>
    <row r="19" spans="2:22" ht="20.149999999999999" customHeight="1" x14ac:dyDescent="0.45">
      <c r="B19" s="34"/>
      <c r="C19" s="22" t="s">
        <v>1475</v>
      </c>
      <c r="D19" s="508" t="str">
        <f>VLOOKUP(C19,'Sales Master'!B$3:D$499,2,)</f>
        <v>Sweet Potato Q - Purple紫番薯粉圆</v>
      </c>
      <c r="E19" s="508"/>
      <c r="F19" s="508"/>
      <c r="G19" s="22">
        <v>1</v>
      </c>
      <c r="H19" s="68" t="str">
        <f>VLOOKUP(C19,'Sales Master'!$B$3:$F$3238,5,0)</f>
        <v>700 GM/BOX</v>
      </c>
      <c r="I19" s="481" t="str">
        <f>VLOOKUP(C19,'Sales Master'!$B$3:$E$3238,4,0)</f>
        <v>DO!</v>
      </c>
      <c r="J19" s="481"/>
      <c r="K19" s="35">
        <f>VLOOKUP(C19,'Sales Master'!$B$3:$BQ$583,68,0)</f>
        <v>8</v>
      </c>
      <c r="L19" s="36">
        <f t="shared" si="0"/>
        <v>8</v>
      </c>
      <c r="N19" s="24" t="s">
        <v>1107</v>
      </c>
      <c r="O19" s="24" t="s">
        <v>1129</v>
      </c>
      <c r="R19" s="24">
        <v>1</v>
      </c>
      <c r="S19" s="24" t="s">
        <v>1126</v>
      </c>
      <c r="T19" s="24" t="s">
        <v>1117</v>
      </c>
      <c r="V19" s="24">
        <v>12</v>
      </c>
    </row>
    <row r="20" spans="2:22" ht="20.149999999999999" customHeight="1" x14ac:dyDescent="0.45">
      <c r="B20" s="34"/>
      <c r="C20" s="22" t="s">
        <v>1476</v>
      </c>
      <c r="D20" s="508" t="str">
        <f>VLOOKUP(C20,'Sales Master'!B$3:D$499,2,)</f>
        <v>Taro Q - White芋头粉圆</v>
      </c>
      <c r="E20" s="508"/>
      <c r="F20" s="508"/>
      <c r="G20" s="22">
        <v>1</v>
      </c>
      <c r="H20" s="68" t="str">
        <f>VLOOKUP(C20,'Sales Master'!$B$3:$F$3238,5,0)</f>
        <v>700 GM/BOX</v>
      </c>
      <c r="I20" s="481" t="str">
        <f>VLOOKUP(C20,'Sales Master'!$B$3:$E$3238,4,0)</f>
        <v>DO!</v>
      </c>
      <c r="J20" s="481"/>
      <c r="K20" s="35">
        <f>VLOOKUP(C20,'Sales Master'!$B$3:$BQ$583,68,0)</f>
        <v>8</v>
      </c>
      <c r="L20" s="36">
        <f t="shared" si="0"/>
        <v>8</v>
      </c>
      <c r="N20" s="24" t="s">
        <v>1108</v>
      </c>
      <c r="O20" s="24" t="s">
        <v>1130</v>
      </c>
      <c r="R20" s="24">
        <v>1</v>
      </c>
      <c r="S20" s="24" t="s">
        <v>1125</v>
      </c>
      <c r="T20" s="24">
        <v>0</v>
      </c>
      <c r="V20" s="24">
        <v>18</v>
      </c>
    </row>
    <row r="21" spans="2:22" ht="20.149999999999999" customHeight="1" x14ac:dyDescent="0.45">
      <c r="B21" s="34"/>
      <c r="C21" s="22" t="s">
        <v>1712</v>
      </c>
      <c r="D21" s="508" t="str">
        <f>VLOOKUP(C21,'Sales Master'!B$3:D$499,2,)</f>
        <v>Canned Red Bean 罐头 红豆</v>
      </c>
      <c r="E21" s="508"/>
      <c r="F21" s="508"/>
      <c r="G21" s="22">
        <v>1</v>
      </c>
      <c r="H21" s="68" t="str">
        <f>VLOOKUP(C21,'Sales Master'!$B$3:$F$3238,5,0)</f>
        <v xml:space="preserve">3.3KG/Can </v>
      </c>
      <c r="I21" s="481" t="str">
        <f>VLOOKUP(C21,'Sales Master'!$B$3:$E$3238,4,0)</f>
        <v>Joy</v>
      </c>
      <c r="J21" s="481"/>
      <c r="K21" s="35">
        <f>VLOOKUP(C21,'Sales Master'!$B$3:$BQ$583,68,0)</f>
        <v>10</v>
      </c>
      <c r="L21" s="36">
        <f t="shared" si="0"/>
        <v>10</v>
      </c>
      <c r="N21" s="24" t="s">
        <v>1109</v>
      </c>
      <c r="O21" s="24" t="s">
        <v>1131</v>
      </c>
      <c r="R21" s="24">
        <v>12</v>
      </c>
      <c r="S21" s="24" t="s">
        <v>1124</v>
      </c>
      <c r="T21" s="24">
        <v>0</v>
      </c>
      <c r="V21" s="24">
        <v>2.2999999999999998</v>
      </c>
    </row>
    <row r="22" spans="2:22" ht="20.149999999999999" customHeight="1" x14ac:dyDescent="0.45">
      <c r="B22" s="34"/>
      <c r="C22" s="22" t="s">
        <v>1956</v>
      </c>
      <c r="D22" s="508" t="str">
        <f>VLOOKUP(C22,'Sales Master'!B$3:D$499,2,)</f>
        <v>MESONA LIQUID (GLASS JELLY)</v>
      </c>
      <c r="E22" s="508"/>
      <c r="F22" s="508"/>
      <c r="G22" s="22">
        <v>1</v>
      </c>
      <c r="H22" s="68" t="str">
        <f>VLOOKUP(C22,'Sales Master'!$B$3:$F$3238,5,0)</f>
        <v>3 KGS/TIN</v>
      </c>
      <c r="I22" s="481" t="str">
        <f>VLOOKUP(C22,'Sales Master'!$B$3:$E$3238,4,0)</f>
        <v>TAIWAN</v>
      </c>
      <c r="J22" s="481"/>
      <c r="K22" s="35">
        <f>VLOOKUP(C22,'Sales Master'!$B$3:$BQ$583,68,0)</f>
        <v>9.5</v>
      </c>
      <c r="L22" s="36">
        <f t="shared" si="0"/>
        <v>9.5</v>
      </c>
      <c r="N22" s="24" t="s">
        <v>1110</v>
      </c>
      <c r="O22" s="24" t="s">
        <v>1132</v>
      </c>
      <c r="R22" s="24">
        <v>12</v>
      </c>
      <c r="S22" s="24" t="s">
        <v>1124</v>
      </c>
      <c r="T22" s="24">
        <v>0</v>
      </c>
      <c r="V22" s="24">
        <v>1.5</v>
      </c>
    </row>
    <row r="23" spans="2:22" ht="20.149999999999999" customHeight="1" x14ac:dyDescent="0.45">
      <c r="B23" s="34"/>
      <c r="C23" s="22" t="s">
        <v>1510</v>
      </c>
      <c r="D23" s="508" t="str">
        <f>VLOOKUP(C23,'Sales Master'!B$3:D$499,2,)</f>
        <v>Mango Pudding Power 芒果布丁</v>
      </c>
      <c r="E23" s="508"/>
      <c r="F23" s="508"/>
      <c r="G23" s="22">
        <v>1</v>
      </c>
      <c r="H23" s="68" t="str">
        <f>VLOOKUP(C23,'Sales Master'!$B$3:$F$3238,5,0)</f>
        <v>10PKT X 200 GM/BAG</v>
      </c>
      <c r="I23" s="481" t="str">
        <f>VLOOKUP(C23,'Sales Master'!$B$3:$E$3238,4,0)</f>
        <v>-</v>
      </c>
      <c r="J23" s="481"/>
      <c r="K23" s="35">
        <f>VLOOKUP(C23,'Sales Master'!$B$3:$BQ$583,68,0)</f>
        <v>26</v>
      </c>
      <c r="L23" s="36">
        <f t="shared" si="0"/>
        <v>26</v>
      </c>
      <c r="N23" s="24" t="s">
        <v>1111</v>
      </c>
      <c r="O23" s="24" t="s">
        <v>1133</v>
      </c>
      <c r="R23" s="24">
        <v>1</v>
      </c>
      <c r="S23" s="24" t="s">
        <v>1120</v>
      </c>
      <c r="T23" s="24">
        <v>0</v>
      </c>
      <c r="V23" s="24">
        <v>29</v>
      </c>
    </row>
    <row r="24" spans="2:22" ht="20.149999999999999" customHeight="1" x14ac:dyDescent="0.45">
      <c r="B24" s="34"/>
      <c r="C24" s="22"/>
      <c r="D24" s="508"/>
      <c r="E24" s="508"/>
      <c r="F24" s="508"/>
      <c r="G24" s="22"/>
      <c r="H24" s="68"/>
      <c r="I24" s="481"/>
      <c r="J24" s="481"/>
      <c r="K24" s="35"/>
      <c r="L24" s="36"/>
      <c r="N24" s="24" t="s">
        <v>1112</v>
      </c>
      <c r="O24" s="24" t="s">
        <v>1134</v>
      </c>
      <c r="R24" s="24">
        <v>1</v>
      </c>
      <c r="S24" s="24" t="s">
        <v>1123</v>
      </c>
      <c r="T24" s="24">
        <v>0</v>
      </c>
      <c r="V24" s="24">
        <v>23.5</v>
      </c>
    </row>
    <row r="25" spans="2:22" ht="20.149999999999999" customHeight="1" x14ac:dyDescent="0.45">
      <c r="B25" s="34"/>
      <c r="C25" s="22"/>
      <c r="D25" s="508"/>
      <c r="E25" s="508"/>
      <c r="F25" s="508"/>
      <c r="G25" s="22"/>
      <c r="H25" s="68"/>
      <c r="I25" s="481"/>
      <c r="J25" s="481"/>
      <c r="K25" s="35"/>
      <c r="L25" s="36"/>
      <c r="N25" s="24" t="s">
        <v>1113</v>
      </c>
      <c r="O25" s="24" t="s">
        <v>1135</v>
      </c>
      <c r="R25" s="24">
        <v>1</v>
      </c>
      <c r="S25" s="24" t="s">
        <v>1122</v>
      </c>
      <c r="T25" s="24" t="s">
        <v>1118</v>
      </c>
      <c r="V25" s="24">
        <v>36</v>
      </c>
    </row>
    <row r="26" spans="2:22" ht="20.149999999999999" customHeight="1" x14ac:dyDescent="0.45">
      <c r="B26" s="34"/>
      <c r="C26" s="22"/>
      <c r="D26" s="508"/>
      <c r="E26" s="508"/>
      <c r="F26" s="508"/>
      <c r="G26" s="22"/>
      <c r="H26" s="68"/>
      <c r="I26" s="481"/>
      <c r="J26" s="481"/>
      <c r="K26" s="35"/>
      <c r="L26" s="36"/>
      <c r="N26" s="24" t="s">
        <v>1114</v>
      </c>
      <c r="O26" s="24" t="s">
        <v>1136</v>
      </c>
      <c r="R26" s="24">
        <v>1</v>
      </c>
      <c r="S26" s="24" t="s">
        <v>1119</v>
      </c>
      <c r="T26" s="24">
        <v>0</v>
      </c>
      <c r="V26" s="24">
        <v>22.5</v>
      </c>
    </row>
    <row r="27" spans="2:22" ht="20.149999999999999" customHeight="1" x14ac:dyDescent="0.45">
      <c r="B27" s="34"/>
      <c r="C27" s="22"/>
      <c r="D27" s="508"/>
      <c r="E27" s="508"/>
      <c r="F27" s="508"/>
      <c r="G27" s="22"/>
      <c r="H27" s="68"/>
      <c r="I27" s="481"/>
      <c r="J27" s="481"/>
      <c r="K27" s="35"/>
      <c r="L27" s="36"/>
      <c r="N27" s="24" t="s">
        <v>1115</v>
      </c>
      <c r="O27" s="24" t="s">
        <v>1137</v>
      </c>
      <c r="R27" s="24">
        <v>1</v>
      </c>
      <c r="S27" s="24" t="s">
        <v>1120</v>
      </c>
      <c r="T27" s="24">
        <v>0</v>
      </c>
      <c r="V27" s="24">
        <v>21.5</v>
      </c>
    </row>
    <row r="28" spans="2:22" ht="20.149999999999999" customHeight="1" x14ac:dyDescent="0.45">
      <c r="B28" s="34"/>
      <c r="C28" s="22"/>
      <c r="D28" s="508"/>
      <c r="E28" s="508"/>
      <c r="F28" s="508"/>
      <c r="G28" s="22"/>
      <c r="H28" s="68"/>
      <c r="I28" s="481"/>
      <c r="J28" s="481"/>
      <c r="K28" s="35"/>
      <c r="L28" s="36"/>
      <c r="N28" s="24" t="s">
        <v>1116</v>
      </c>
      <c r="O28" s="24" t="s">
        <v>1138</v>
      </c>
      <c r="R28" s="24">
        <v>1</v>
      </c>
      <c r="S28" s="24" t="s">
        <v>1121</v>
      </c>
      <c r="T28" s="24">
        <v>0</v>
      </c>
      <c r="V28" s="24">
        <v>50</v>
      </c>
    </row>
    <row r="29" spans="2:22" ht="20.149999999999999" customHeight="1" x14ac:dyDescent="0.45">
      <c r="B29" s="34"/>
      <c r="C29" s="22"/>
      <c r="D29" s="508"/>
      <c r="E29" s="508"/>
      <c r="F29" s="508"/>
      <c r="G29" s="22"/>
      <c r="H29" s="68"/>
      <c r="I29" s="481"/>
      <c r="J29" s="481"/>
      <c r="K29" s="35"/>
      <c r="L29" s="36"/>
      <c r="N29" s="24" t="s">
        <v>1140</v>
      </c>
      <c r="O29" s="24" t="s">
        <v>1139</v>
      </c>
      <c r="R29" s="24">
        <v>1</v>
      </c>
      <c r="S29" s="24" t="s">
        <v>1141</v>
      </c>
      <c r="T29" s="24">
        <v>0</v>
      </c>
      <c r="V29" s="24">
        <v>58</v>
      </c>
    </row>
    <row r="30" spans="2:22" ht="20.149999999999999" customHeight="1" x14ac:dyDescent="0.45">
      <c r="B30" s="34"/>
      <c r="C30" s="22"/>
      <c r="D30" s="508"/>
      <c r="E30" s="508"/>
      <c r="F30" s="508"/>
      <c r="G30" s="22"/>
      <c r="H30" s="68"/>
      <c r="I30" s="481"/>
      <c r="J30" s="481"/>
      <c r="K30" s="35"/>
      <c r="L30" s="36"/>
      <c r="N30" s="24" t="s">
        <v>1142</v>
      </c>
      <c r="O30" s="24" t="s">
        <v>1146</v>
      </c>
      <c r="R30" s="24">
        <v>12</v>
      </c>
      <c r="S30" s="24" t="s">
        <v>1145</v>
      </c>
      <c r="T30" s="24">
        <v>0</v>
      </c>
      <c r="V30" s="24">
        <v>1.2</v>
      </c>
    </row>
    <row r="31" spans="2:22" ht="20.149999999999999" customHeight="1" x14ac:dyDescent="0.45">
      <c r="B31" s="34"/>
      <c r="C31" s="22"/>
      <c r="D31" s="508"/>
      <c r="E31" s="508"/>
      <c r="F31" s="508"/>
      <c r="G31" s="22"/>
      <c r="H31" s="68"/>
      <c r="I31" s="481"/>
      <c r="J31" s="481"/>
      <c r="K31" s="35"/>
      <c r="L31" s="36"/>
      <c r="N31" s="24" t="s">
        <v>1143</v>
      </c>
      <c r="O31" s="24" t="s">
        <v>1147</v>
      </c>
      <c r="R31" s="24">
        <v>5</v>
      </c>
      <c r="S31" s="24" t="s">
        <v>1082</v>
      </c>
      <c r="T31" s="24">
        <v>0</v>
      </c>
      <c r="V31" s="24">
        <v>1.4</v>
      </c>
    </row>
    <row r="32" spans="2:22" ht="20.149999999999999" customHeight="1" x14ac:dyDescent="0.45">
      <c r="B32" s="34"/>
      <c r="C32" s="22"/>
      <c r="D32" s="508"/>
      <c r="E32" s="508"/>
      <c r="F32" s="508"/>
      <c r="G32" s="22"/>
      <c r="H32" s="68"/>
      <c r="I32" s="481"/>
      <c r="J32" s="481"/>
      <c r="K32" s="35"/>
      <c r="L32" s="36"/>
      <c r="N32" s="24" t="s">
        <v>1144</v>
      </c>
      <c r="O32" s="24" t="s">
        <v>1148</v>
      </c>
      <c r="R32" s="24">
        <v>5</v>
      </c>
      <c r="S32" s="24" t="s">
        <v>1082</v>
      </c>
      <c r="T32" s="24">
        <v>0</v>
      </c>
      <c r="V32" s="24">
        <v>1.2</v>
      </c>
    </row>
    <row r="33" spans="2:12" ht="20.149999999999999" customHeight="1" x14ac:dyDescent="0.45">
      <c r="B33" s="34"/>
      <c r="C33" s="22"/>
      <c r="D33" s="508"/>
      <c r="E33" s="508"/>
      <c r="F33" s="508"/>
      <c r="G33" s="22"/>
      <c r="H33" s="68"/>
      <c r="I33" s="481"/>
      <c r="J33" s="481"/>
      <c r="K33" s="35"/>
      <c r="L33" s="36"/>
    </row>
    <row r="34" spans="2:12" ht="20.149999999999999" customHeight="1" x14ac:dyDescent="0.45">
      <c r="B34" s="34"/>
      <c r="C34" s="22"/>
      <c r="D34" s="508"/>
      <c r="E34" s="508"/>
      <c r="F34" s="508"/>
      <c r="G34" s="22"/>
      <c r="H34" s="68"/>
      <c r="I34" s="481"/>
      <c r="J34" s="481"/>
      <c r="K34" s="35"/>
      <c r="L34" s="36"/>
    </row>
    <row r="35" spans="2:12" ht="20.149999999999999" customHeight="1" x14ac:dyDescent="0.45">
      <c r="B35" s="155"/>
      <c r="C35" s="156"/>
      <c r="D35" s="556"/>
      <c r="E35" s="556"/>
      <c r="F35" s="556"/>
      <c r="G35" s="156"/>
      <c r="H35" s="189"/>
      <c r="I35" s="491"/>
      <c r="J35" s="491"/>
      <c r="K35" s="163"/>
      <c r="L35" s="190"/>
    </row>
    <row r="36" spans="2:12" ht="20.149999999999999" customHeight="1" thickBot="1" x14ac:dyDescent="0.5">
      <c r="B36" s="41"/>
      <c r="L36" s="42"/>
    </row>
    <row r="37" spans="2:12" ht="20.149999999999999" customHeight="1" x14ac:dyDescent="0.45">
      <c r="B37" s="11" t="s">
        <v>18</v>
      </c>
      <c r="C37" s="7"/>
      <c r="D37" s="7"/>
      <c r="E37" s="7"/>
      <c r="F37" s="7"/>
      <c r="G37" s="7"/>
      <c r="H37" s="7"/>
      <c r="I37" s="7"/>
      <c r="J37" s="510" t="s">
        <v>15</v>
      </c>
      <c r="K37" s="511"/>
      <c r="L37" s="43">
        <f>SUM(L17:L35)</f>
        <v>68.5</v>
      </c>
    </row>
    <row r="38" spans="2:12" ht="20.149999999999999" customHeight="1" x14ac:dyDescent="0.45">
      <c r="B38" s="11" t="s">
        <v>19</v>
      </c>
      <c r="C38" s="7"/>
      <c r="D38" s="7"/>
      <c r="E38" s="7"/>
      <c r="F38" s="7"/>
      <c r="G38" s="7"/>
      <c r="H38" s="7"/>
      <c r="I38" s="7"/>
      <c r="J38" s="44" t="s">
        <v>22</v>
      </c>
      <c r="K38" s="45"/>
      <c r="L38" s="46">
        <f>L37*K38</f>
        <v>0</v>
      </c>
    </row>
    <row r="39" spans="2:12" ht="20.149999999999999" customHeight="1" x14ac:dyDescent="0.45">
      <c r="B39" s="11" t="s">
        <v>20</v>
      </c>
      <c r="C39" s="7"/>
      <c r="D39" s="7"/>
      <c r="E39" s="7"/>
      <c r="F39" s="7"/>
      <c r="G39" s="7"/>
      <c r="H39" s="7"/>
      <c r="I39" s="7"/>
      <c r="J39" s="486" t="s">
        <v>21</v>
      </c>
      <c r="K39" s="487"/>
      <c r="L39" s="46">
        <f>L37-L38</f>
        <v>68.5</v>
      </c>
    </row>
    <row r="40" spans="2:12" ht="20.149999999999999" customHeight="1" x14ac:dyDescent="0.45">
      <c r="B40" s="11" t="s">
        <v>24</v>
      </c>
      <c r="C40" s="7"/>
      <c r="D40" s="7"/>
      <c r="E40" s="7"/>
      <c r="F40" s="7"/>
      <c r="G40" s="7"/>
      <c r="H40" s="7"/>
      <c r="I40" s="7"/>
      <c r="J40" s="150" t="s">
        <v>17</v>
      </c>
      <c r="K40" s="151">
        <v>7.0000000000000007E-2</v>
      </c>
      <c r="L40" s="47">
        <f>L39*K40</f>
        <v>4.7950000000000008</v>
      </c>
    </row>
    <row r="41" spans="2:12" ht="20.149999999999999" customHeight="1" thickBot="1" x14ac:dyDescent="0.5">
      <c r="B41" s="11" t="s">
        <v>1400</v>
      </c>
      <c r="C41" s="7"/>
      <c r="D41" s="7"/>
      <c r="E41" s="7"/>
      <c r="F41" s="7"/>
      <c r="G41" s="7"/>
      <c r="H41" s="7"/>
      <c r="I41" s="7"/>
      <c r="J41" s="488" t="s">
        <v>23</v>
      </c>
      <c r="K41" s="489"/>
      <c r="L41" s="48">
        <f>L39+L40</f>
        <v>73.295000000000002</v>
      </c>
    </row>
    <row r="42" spans="2:12" ht="20.149999999999999" customHeight="1" x14ac:dyDescent="0.45">
      <c r="B42" s="11" t="s">
        <v>26</v>
      </c>
      <c r="C42" s="7"/>
      <c r="D42" s="7"/>
      <c r="E42" s="7"/>
      <c r="F42" s="7"/>
      <c r="G42" s="7"/>
      <c r="H42" s="7"/>
      <c r="I42" s="7"/>
      <c r="L42" s="42"/>
    </row>
    <row r="43" spans="2:12" ht="20.149999999999999" customHeight="1" x14ac:dyDescent="0.45">
      <c r="B43" s="224" t="s">
        <v>1379</v>
      </c>
      <c r="L43" s="42"/>
    </row>
    <row r="44" spans="2:12" ht="20.149999999999999" customHeight="1" x14ac:dyDescent="0.45">
      <c r="B44" s="41"/>
      <c r="L44" s="42"/>
    </row>
    <row r="45" spans="2:12" ht="20.149999999999999" customHeight="1" x14ac:dyDescent="0.45">
      <c r="B45" s="41"/>
      <c r="L45" s="42"/>
    </row>
    <row r="46" spans="2:12" ht="20.149999999999999" customHeight="1" x14ac:dyDescent="0.45">
      <c r="B46" s="41"/>
      <c r="L46" s="42"/>
    </row>
    <row r="47" spans="2:12" ht="20.149999999999999" customHeight="1" x14ac:dyDescent="0.45">
      <c r="B47" s="49"/>
      <c r="C47" s="50"/>
      <c r="D47" s="50"/>
      <c r="J47" s="50"/>
      <c r="K47" s="50"/>
      <c r="L47" s="51"/>
    </row>
    <row r="48" spans="2:12" ht="20.149999999999999" customHeight="1" x14ac:dyDescent="0.45">
      <c r="B48" s="41" t="s">
        <v>27</v>
      </c>
      <c r="J48" s="24" t="s">
        <v>28</v>
      </c>
      <c r="L48" s="42"/>
    </row>
    <row r="49" spans="2:12" ht="19" thickBot="1" x14ac:dyDescent="0.5">
      <c r="B49" s="52"/>
      <c r="C49" s="53"/>
      <c r="D49" s="53"/>
      <c r="E49" s="53"/>
      <c r="F49" s="53"/>
      <c r="G49" s="53"/>
      <c r="H49" s="53"/>
      <c r="I49" s="53"/>
      <c r="J49" s="53"/>
      <c r="K49" s="53"/>
      <c r="L49" s="54"/>
    </row>
  </sheetData>
  <mergeCells count="53">
    <mergeCell ref="D32:F32"/>
    <mergeCell ref="I32:J32"/>
    <mergeCell ref="D33:F33"/>
    <mergeCell ref="I33:J33"/>
    <mergeCell ref="J41:K41"/>
    <mergeCell ref="D34:F34"/>
    <mergeCell ref="I34:J34"/>
    <mergeCell ref="D35:F35"/>
    <mergeCell ref="I35:J35"/>
    <mergeCell ref="J37:K37"/>
    <mergeCell ref="J39:K39"/>
    <mergeCell ref="D29:F29"/>
    <mergeCell ref="I29:J29"/>
    <mergeCell ref="D30:F30"/>
    <mergeCell ref="I30:J30"/>
    <mergeCell ref="D31:F31"/>
    <mergeCell ref="I31:J31"/>
    <mergeCell ref="D26:F26"/>
    <mergeCell ref="I26:J26"/>
    <mergeCell ref="D27:F27"/>
    <mergeCell ref="I27:J27"/>
    <mergeCell ref="D28:F28"/>
    <mergeCell ref="I28:J28"/>
    <mergeCell ref="D23:F23"/>
    <mergeCell ref="I23:J23"/>
    <mergeCell ref="D24:F24"/>
    <mergeCell ref="I24:J24"/>
    <mergeCell ref="D25:F25"/>
    <mergeCell ref="I25:J25"/>
    <mergeCell ref="D20:F20"/>
    <mergeCell ref="I20:J20"/>
    <mergeCell ref="D21:F21"/>
    <mergeCell ref="I21:J21"/>
    <mergeCell ref="D22:F22"/>
    <mergeCell ref="I22:J22"/>
    <mergeCell ref="D17:F17"/>
    <mergeCell ref="I17:J17"/>
    <mergeCell ref="D18:F18"/>
    <mergeCell ref="I18:J18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</mergeCells>
  <pageMargins left="0.70866141732283472" right="0.31496062992125984" top="0.59055118110236227" bottom="0" header="0.31496062992125984" footer="0.31496062992125984"/>
  <pageSetup paperSize="9" scale="74" orientation="portrait" verticalDpi="300" r:id="rId1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A773DF-5E0B-4BC4-9A92-69B27E32D188}">
  <sheetPr codeName="Sheet83">
    <tabColor rgb="FFFFFF00"/>
    <pageSetUpPr fitToPage="1"/>
  </sheetPr>
  <dimension ref="B1:P49"/>
  <sheetViews>
    <sheetView workbookViewId="0">
      <selection activeCell="B1" sqref="B1:L8"/>
    </sheetView>
  </sheetViews>
  <sheetFormatPr defaultColWidth="12.54296875" defaultRowHeight="18.5" x14ac:dyDescent="0.45"/>
  <cols>
    <col min="1" max="4" width="12.54296875" style="24" customWidth="1"/>
    <col min="5" max="5" width="1.54296875" style="24" customWidth="1"/>
    <col min="6" max="6" width="14.54296875" style="24" customWidth="1"/>
    <col min="7" max="7" width="8.54296875" style="24" customWidth="1"/>
    <col min="8" max="8" width="15.453125" style="24" customWidth="1"/>
    <col min="9" max="9" width="4.54296875" style="24" customWidth="1"/>
    <col min="10" max="10" width="15.54296875" style="24" customWidth="1"/>
    <col min="11" max="12" width="12.54296875" style="24" customWidth="1"/>
    <col min="13" max="16384" width="12.54296875" style="24"/>
  </cols>
  <sheetData>
    <row r="1" spans="2:16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6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6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6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6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6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6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6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6" ht="19" thickBot="1" x14ac:dyDescent="0.5"/>
    <row r="10" spans="2:16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1172</v>
      </c>
      <c r="J10" s="29" t="s">
        <v>29</v>
      </c>
      <c r="K10" s="452">
        <v>202010350</v>
      </c>
      <c r="L10" s="453"/>
      <c r="N10" s="24" t="s">
        <v>475</v>
      </c>
      <c r="O10" s="24" t="s">
        <v>689</v>
      </c>
      <c r="P10" s="24" t="s">
        <v>1054</v>
      </c>
    </row>
    <row r="11" spans="2:16" ht="20.149999999999999" customHeight="1" x14ac:dyDescent="0.45">
      <c r="B11" s="454"/>
      <c r="C11" s="455"/>
      <c r="D11" s="456"/>
      <c r="E11" s="30"/>
      <c r="F11" s="457" t="str">
        <f>VLOOKUP(H10,'Delivery Location'!A$4:N$416,2,0)</f>
        <v>LEONG HIN FOODS PTE LTD                 #04-57 Blk 15  Woodland Loop singapore 738322</v>
      </c>
      <c r="G11" s="458"/>
      <c r="H11" s="459"/>
      <c r="J11" s="31" t="s">
        <v>11</v>
      </c>
      <c r="K11" s="551" t="s">
        <v>1347</v>
      </c>
      <c r="L11" s="472"/>
    </row>
    <row r="12" spans="2:16" ht="20.149999999999999" customHeight="1" x14ac:dyDescent="0.45">
      <c r="B12" s="468"/>
      <c r="C12" s="469"/>
      <c r="D12" s="470"/>
      <c r="E12" s="30"/>
      <c r="F12" s="460"/>
      <c r="G12" s="461"/>
      <c r="H12" s="462"/>
      <c r="J12" s="31" t="s">
        <v>171</v>
      </c>
      <c r="K12" s="471" t="s">
        <v>36</v>
      </c>
      <c r="L12" s="472"/>
    </row>
    <row r="13" spans="2:16" ht="20.149999999999999" customHeight="1" x14ac:dyDescent="0.45">
      <c r="B13" s="468"/>
      <c r="C13" s="469"/>
      <c r="D13" s="470"/>
      <c r="E13" s="30"/>
      <c r="F13" s="460"/>
      <c r="G13" s="461"/>
      <c r="H13" s="462"/>
      <c r="J13" s="31" t="s">
        <v>12</v>
      </c>
      <c r="K13" s="471" t="s">
        <v>688</v>
      </c>
      <c r="L13" s="472"/>
    </row>
    <row r="14" spans="2:16" ht="20.149999999999999" customHeight="1" x14ac:dyDescent="0.45">
      <c r="B14" s="468"/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6" ht="18" customHeight="1" thickBot="1" x14ac:dyDescent="0.5">
      <c r="B15" s="55"/>
      <c r="C15" s="56"/>
      <c r="D15" s="57"/>
      <c r="E15" s="26"/>
      <c r="F15" s="463"/>
      <c r="G15" s="464"/>
      <c r="H15" s="465"/>
      <c r="J15" s="32" t="s">
        <v>13</v>
      </c>
      <c r="K15" s="476"/>
      <c r="L15" s="477"/>
    </row>
    <row r="16" spans="2:16" ht="19" thickBot="1" x14ac:dyDescent="0.5">
      <c r="J16" s="22"/>
    </row>
    <row r="17" spans="2:15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3"/>
      <c r="O17" s="33"/>
    </row>
    <row r="18" spans="2:15" ht="20.149999999999999" customHeight="1" x14ac:dyDescent="0.45">
      <c r="B18" s="34"/>
      <c r="C18" s="22" t="s">
        <v>475</v>
      </c>
      <c r="D18" s="508" t="e">
        <f>VLOOKUP(C18,'Sales Master'!B$3:D$499,2,)</f>
        <v>#N/A</v>
      </c>
      <c r="E18" s="508"/>
      <c r="F18" s="508"/>
      <c r="G18" s="22">
        <v>4</v>
      </c>
      <c r="H18" s="68" t="e">
        <f>VLOOKUP(C18,'Sales Master'!$B$3:$F$3238,5,0)</f>
        <v>#N/A</v>
      </c>
      <c r="I18" s="481" t="e">
        <f>VLOOKUP(C18,'Sales Master'!$B$3:$E$3238,4,0)</f>
        <v>#N/A</v>
      </c>
      <c r="J18" s="481"/>
      <c r="K18" s="35">
        <v>21</v>
      </c>
      <c r="L18" s="36">
        <f>K18*G18</f>
        <v>84</v>
      </c>
    </row>
    <row r="19" spans="2:15" ht="20.149999999999999" customHeight="1" x14ac:dyDescent="0.45">
      <c r="B19" s="34"/>
      <c r="C19" s="22"/>
      <c r="D19" s="508"/>
      <c r="E19" s="508"/>
      <c r="F19" s="508"/>
      <c r="G19" s="22"/>
      <c r="H19" s="68"/>
      <c r="I19" s="481"/>
      <c r="J19" s="481"/>
      <c r="K19" s="35"/>
      <c r="L19" s="36"/>
    </row>
    <row r="20" spans="2:15" ht="20.149999999999999" customHeight="1" x14ac:dyDescent="0.45">
      <c r="B20" s="34"/>
      <c r="C20" s="22"/>
      <c r="D20" s="508"/>
      <c r="E20" s="508"/>
      <c r="F20" s="508"/>
      <c r="G20" s="22"/>
      <c r="H20" s="68"/>
      <c r="I20" s="481"/>
      <c r="J20" s="481"/>
      <c r="K20" s="35"/>
      <c r="L20" s="36"/>
    </row>
    <row r="21" spans="2:15" ht="20.149999999999999" customHeight="1" x14ac:dyDescent="0.45">
      <c r="B21" s="34"/>
      <c r="C21" s="22"/>
      <c r="D21" s="508"/>
      <c r="E21" s="508"/>
      <c r="F21" s="508"/>
      <c r="G21" s="22"/>
      <c r="H21" s="68"/>
      <c r="I21" s="481"/>
      <c r="J21" s="481"/>
      <c r="K21" s="35"/>
      <c r="L21" s="36"/>
    </row>
    <row r="22" spans="2:15" ht="20.149999999999999" customHeight="1" x14ac:dyDescent="0.45">
      <c r="B22" s="34"/>
      <c r="C22" s="22"/>
      <c r="D22" s="508"/>
      <c r="E22" s="508"/>
      <c r="F22" s="508"/>
      <c r="G22" s="22"/>
      <c r="H22" s="68"/>
      <c r="I22" s="481"/>
      <c r="J22" s="481"/>
      <c r="K22" s="35"/>
      <c r="L22" s="36"/>
    </row>
    <row r="23" spans="2:15" ht="20.149999999999999" customHeight="1" x14ac:dyDescent="0.45">
      <c r="B23" s="34"/>
      <c r="C23" s="22"/>
      <c r="D23" s="508"/>
      <c r="E23" s="508"/>
      <c r="F23" s="508"/>
      <c r="G23" s="22"/>
      <c r="H23" s="68"/>
      <c r="I23" s="481"/>
      <c r="J23" s="481"/>
      <c r="K23" s="35"/>
      <c r="L23" s="36"/>
    </row>
    <row r="24" spans="2:15" ht="20.149999999999999" customHeight="1" x14ac:dyDescent="0.45">
      <c r="B24" s="34"/>
      <c r="C24" s="22"/>
      <c r="D24" s="508"/>
      <c r="E24" s="508"/>
      <c r="F24" s="508"/>
      <c r="G24" s="22"/>
      <c r="H24" s="68"/>
      <c r="I24" s="481"/>
      <c r="J24" s="481"/>
      <c r="K24" s="35"/>
      <c r="L24" s="36"/>
    </row>
    <row r="25" spans="2:15" ht="20.149999999999999" customHeight="1" x14ac:dyDescent="0.45">
      <c r="B25" s="34"/>
      <c r="C25" s="22"/>
      <c r="D25" s="508"/>
      <c r="E25" s="508"/>
      <c r="F25" s="508"/>
      <c r="G25" s="22"/>
      <c r="H25" s="68"/>
      <c r="I25" s="481"/>
      <c r="J25" s="481"/>
      <c r="K25" s="35"/>
      <c r="L25" s="36"/>
    </row>
    <row r="26" spans="2:15" ht="20.149999999999999" customHeight="1" x14ac:dyDescent="0.45">
      <c r="B26" s="34"/>
      <c r="C26" s="22"/>
      <c r="D26" s="508"/>
      <c r="E26" s="508"/>
      <c r="F26" s="508"/>
      <c r="G26" s="22"/>
      <c r="H26" s="68"/>
      <c r="I26" s="481"/>
      <c r="J26" s="481"/>
      <c r="K26" s="35"/>
      <c r="L26" s="36"/>
    </row>
    <row r="27" spans="2:15" ht="20.149999999999999" customHeight="1" x14ac:dyDescent="0.45">
      <c r="B27" s="34"/>
      <c r="C27" s="22"/>
      <c r="D27" s="508"/>
      <c r="E27" s="508"/>
      <c r="F27" s="508"/>
      <c r="G27" s="22"/>
      <c r="H27" s="68"/>
      <c r="I27" s="481"/>
      <c r="J27" s="481"/>
      <c r="K27" s="35"/>
      <c r="L27" s="36"/>
    </row>
    <row r="28" spans="2:15" ht="20.149999999999999" customHeight="1" x14ac:dyDescent="0.45">
      <c r="B28" s="34"/>
      <c r="C28" s="22"/>
      <c r="D28" s="508"/>
      <c r="E28" s="508"/>
      <c r="F28" s="508"/>
      <c r="G28" s="22"/>
      <c r="H28" s="68"/>
      <c r="I28" s="481"/>
      <c r="J28" s="481"/>
      <c r="K28" s="35"/>
      <c r="L28" s="36"/>
    </row>
    <row r="29" spans="2:15" ht="20.149999999999999" customHeight="1" x14ac:dyDescent="0.45">
      <c r="B29" s="34"/>
      <c r="C29" s="22"/>
      <c r="D29" s="508"/>
      <c r="E29" s="508"/>
      <c r="F29" s="508"/>
      <c r="G29" s="22"/>
      <c r="H29" s="68"/>
      <c r="I29" s="481"/>
      <c r="J29" s="481"/>
      <c r="K29" s="35"/>
      <c r="L29" s="36"/>
    </row>
    <row r="30" spans="2:15" ht="20.149999999999999" customHeight="1" x14ac:dyDescent="0.45">
      <c r="B30" s="34"/>
      <c r="C30" s="22"/>
      <c r="D30" s="508"/>
      <c r="E30" s="508"/>
      <c r="F30" s="508"/>
      <c r="G30" s="22"/>
      <c r="H30" s="68"/>
      <c r="I30" s="481"/>
      <c r="J30" s="481"/>
      <c r="K30" s="35"/>
      <c r="L30" s="36"/>
    </row>
    <row r="31" spans="2:15" ht="20.149999999999999" customHeight="1" x14ac:dyDescent="0.45">
      <c r="B31" s="34"/>
      <c r="C31" s="22"/>
      <c r="D31" s="508"/>
      <c r="E31" s="508"/>
      <c r="F31" s="508"/>
      <c r="G31" s="22"/>
      <c r="H31" s="68"/>
      <c r="I31" s="481"/>
      <c r="J31" s="481"/>
      <c r="K31" s="35"/>
      <c r="L31" s="36"/>
    </row>
    <row r="32" spans="2:15" ht="20.149999999999999" customHeight="1" x14ac:dyDescent="0.45">
      <c r="B32" s="34"/>
      <c r="C32" s="22"/>
      <c r="D32" s="508"/>
      <c r="E32" s="508"/>
      <c r="F32" s="508"/>
      <c r="G32" s="22"/>
      <c r="H32" s="68"/>
      <c r="I32" s="481"/>
      <c r="J32" s="481"/>
      <c r="K32" s="35"/>
      <c r="L32" s="36"/>
    </row>
    <row r="33" spans="2:12" ht="20.149999999999999" customHeight="1" x14ac:dyDescent="0.45">
      <c r="B33" s="34"/>
      <c r="C33" s="22"/>
      <c r="D33" s="508"/>
      <c r="E33" s="508"/>
      <c r="F33" s="508"/>
      <c r="G33" s="22"/>
      <c r="H33" s="68"/>
      <c r="I33" s="481"/>
      <c r="J33" s="481"/>
      <c r="K33" s="35"/>
      <c r="L33" s="36"/>
    </row>
    <row r="34" spans="2:12" ht="20.149999999999999" customHeight="1" x14ac:dyDescent="0.45">
      <c r="B34" s="34"/>
      <c r="C34" s="22"/>
      <c r="D34" s="508"/>
      <c r="E34" s="508"/>
      <c r="F34" s="508"/>
      <c r="G34" s="22"/>
      <c r="H34" s="68"/>
      <c r="I34" s="481"/>
      <c r="J34" s="481"/>
      <c r="K34" s="35"/>
      <c r="L34" s="36"/>
    </row>
    <row r="35" spans="2:12" ht="20.149999999999999" customHeight="1" x14ac:dyDescent="0.45">
      <c r="B35" s="155"/>
      <c r="C35" s="156"/>
      <c r="D35" s="556"/>
      <c r="E35" s="556"/>
      <c r="F35" s="556"/>
      <c r="G35" s="156"/>
      <c r="H35" s="189"/>
      <c r="I35" s="491"/>
      <c r="J35" s="491"/>
      <c r="K35" s="163"/>
      <c r="L35" s="190"/>
    </row>
    <row r="36" spans="2:12" ht="20.149999999999999" customHeight="1" thickBot="1" x14ac:dyDescent="0.5">
      <c r="B36" s="41"/>
      <c r="L36" s="42"/>
    </row>
    <row r="37" spans="2:12" ht="20.149999999999999" customHeight="1" x14ac:dyDescent="0.45">
      <c r="B37" s="11" t="s">
        <v>18</v>
      </c>
      <c r="C37" s="7"/>
      <c r="D37" s="7"/>
      <c r="E37" s="7"/>
      <c r="F37" s="7"/>
      <c r="G37" s="7"/>
      <c r="H37" s="7"/>
      <c r="I37" s="7"/>
      <c r="J37" s="510" t="s">
        <v>15</v>
      </c>
      <c r="K37" s="511"/>
      <c r="L37" s="43">
        <f>SUM(L17:L35)</f>
        <v>84</v>
      </c>
    </row>
    <row r="38" spans="2:12" ht="20.149999999999999" customHeight="1" x14ac:dyDescent="0.45">
      <c r="B38" s="11" t="s">
        <v>19</v>
      </c>
      <c r="C38" s="7"/>
      <c r="D38" s="7"/>
      <c r="E38" s="7"/>
      <c r="F38" s="7"/>
      <c r="G38" s="7"/>
      <c r="H38" s="7"/>
      <c r="I38" s="7"/>
      <c r="J38" s="44" t="s">
        <v>22</v>
      </c>
      <c r="K38" s="45"/>
      <c r="L38" s="46">
        <f>L37*K38</f>
        <v>0</v>
      </c>
    </row>
    <row r="39" spans="2:12" ht="20.149999999999999" customHeight="1" x14ac:dyDescent="0.45">
      <c r="B39" s="11" t="s">
        <v>20</v>
      </c>
      <c r="C39" s="7"/>
      <c r="D39" s="7"/>
      <c r="E39" s="7"/>
      <c r="F39" s="7"/>
      <c r="G39" s="7"/>
      <c r="H39" s="7"/>
      <c r="I39" s="7"/>
      <c r="J39" s="486" t="s">
        <v>21</v>
      </c>
      <c r="K39" s="487"/>
      <c r="L39" s="46">
        <f>L37-L38</f>
        <v>84</v>
      </c>
    </row>
    <row r="40" spans="2:12" ht="20.149999999999999" customHeight="1" x14ac:dyDescent="0.45">
      <c r="B40" s="11" t="s">
        <v>24</v>
      </c>
      <c r="C40" s="7"/>
      <c r="D40" s="7"/>
      <c r="E40" s="7"/>
      <c r="F40" s="7"/>
      <c r="G40" s="7"/>
      <c r="H40" s="7"/>
      <c r="I40" s="7"/>
      <c r="J40" s="150" t="s">
        <v>17</v>
      </c>
      <c r="K40" s="151">
        <v>7.0000000000000007E-2</v>
      </c>
      <c r="L40" s="47">
        <f>L39*K40</f>
        <v>5.8800000000000008</v>
      </c>
    </row>
    <row r="41" spans="2:12" ht="20.149999999999999" customHeight="1" thickBot="1" x14ac:dyDescent="0.5">
      <c r="B41" s="11" t="s">
        <v>1400</v>
      </c>
      <c r="C41" s="7"/>
      <c r="D41" s="7"/>
      <c r="E41" s="7"/>
      <c r="F41" s="7"/>
      <c r="G41" s="7"/>
      <c r="H41" s="7"/>
      <c r="I41" s="7"/>
      <c r="J41" s="488" t="s">
        <v>23</v>
      </c>
      <c r="K41" s="489"/>
      <c r="L41" s="48">
        <f>L39+L40</f>
        <v>89.88</v>
      </c>
    </row>
    <row r="42" spans="2:12" ht="20.149999999999999" customHeight="1" x14ac:dyDescent="0.45">
      <c r="B42" s="11" t="s">
        <v>26</v>
      </c>
      <c r="C42" s="7"/>
      <c r="D42" s="7"/>
      <c r="E42" s="7"/>
      <c r="F42" s="7"/>
      <c r="G42" s="7"/>
      <c r="H42" s="7"/>
      <c r="I42" s="7"/>
      <c r="L42" s="42"/>
    </row>
    <row r="43" spans="2:12" ht="20.149999999999999" customHeight="1" x14ac:dyDescent="0.45">
      <c r="B43" s="224" t="s">
        <v>1379</v>
      </c>
      <c r="L43" s="42"/>
    </row>
    <row r="44" spans="2:12" ht="20.149999999999999" customHeight="1" x14ac:dyDescent="0.45">
      <c r="B44" s="41"/>
      <c r="L44" s="42"/>
    </row>
    <row r="45" spans="2:12" ht="20.149999999999999" customHeight="1" x14ac:dyDescent="0.45">
      <c r="B45" s="41"/>
      <c r="L45" s="42"/>
    </row>
    <row r="46" spans="2:12" ht="20.149999999999999" customHeight="1" x14ac:dyDescent="0.45">
      <c r="B46" s="41"/>
      <c r="L46" s="42"/>
    </row>
    <row r="47" spans="2:12" ht="20.149999999999999" customHeight="1" x14ac:dyDescent="0.45">
      <c r="B47" s="49"/>
      <c r="C47" s="50"/>
      <c r="D47" s="50"/>
      <c r="J47" s="50"/>
      <c r="K47" s="50"/>
      <c r="L47" s="51"/>
    </row>
    <row r="48" spans="2:12" ht="20.149999999999999" customHeight="1" x14ac:dyDescent="0.45">
      <c r="B48" s="41" t="s">
        <v>27</v>
      </c>
      <c r="J48" s="24" t="s">
        <v>28</v>
      </c>
      <c r="L48" s="42"/>
    </row>
    <row r="49" spans="2:12" ht="19" thickBot="1" x14ac:dyDescent="0.5">
      <c r="B49" s="52"/>
      <c r="C49" s="53"/>
      <c r="D49" s="53"/>
      <c r="E49" s="53"/>
      <c r="F49" s="53"/>
      <c r="G49" s="53"/>
      <c r="H49" s="53"/>
      <c r="I49" s="53"/>
      <c r="J49" s="53"/>
      <c r="K49" s="53"/>
      <c r="L49" s="54"/>
    </row>
  </sheetData>
  <mergeCells count="53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D17:F17"/>
    <mergeCell ref="I17:J17"/>
    <mergeCell ref="D18:F18"/>
    <mergeCell ref="I18:J18"/>
    <mergeCell ref="D19:F19"/>
    <mergeCell ref="I19:J19"/>
    <mergeCell ref="D20:F20"/>
    <mergeCell ref="I20:J20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D28:F28"/>
    <mergeCell ref="I28:J28"/>
    <mergeCell ref="D29:F29"/>
    <mergeCell ref="I29:J29"/>
    <mergeCell ref="D30:F30"/>
    <mergeCell ref="I30:J30"/>
    <mergeCell ref="D31:F31"/>
    <mergeCell ref="I31:J31"/>
    <mergeCell ref="D32:F32"/>
    <mergeCell ref="I32:J32"/>
    <mergeCell ref="D33:F33"/>
    <mergeCell ref="I33:J33"/>
    <mergeCell ref="J41:K41"/>
    <mergeCell ref="D34:F34"/>
    <mergeCell ref="I34:J34"/>
    <mergeCell ref="D35:F35"/>
    <mergeCell ref="I35:J35"/>
    <mergeCell ref="J37:K37"/>
    <mergeCell ref="J39:K39"/>
  </mergeCells>
  <pageMargins left="0.70866141732283472" right="0.31496062992125984" top="0.59055118110236227" bottom="0" header="0.31496062992125984" footer="0.31496062992125984"/>
  <pageSetup paperSize="9" scale="74" orientation="portrait" verticalDpi="300" r:id="rId1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7D8051-688B-4472-B748-3206C6E4C57B}">
  <sheetPr codeName="Sheet84">
    <tabColor rgb="FFFFFF00"/>
    <pageSetUpPr fitToPage="1"/>
  </sheetPr>
  <dimension ref="B1:V49"/>
  <sheetViews>
    <sheetView workbookViewId="0">
      <selection activeCell="B1" sqref="B1:L8"/>
    </sheetView>
  </sheetViews>
  <sheetFormatPr defaultColWidth="12.54296875" defaultRowHeight="18.5" x14ac:dyDescent="0.45"/>
  <cols>
    <col min="1" max="4" width="12.54296875" style="24" customWidth="1"/>
    <col min="5" max="5" width="1.54296875" style="24" customWidth="1"/>
    <col min="6" max="6" width="14.54296875" style="24" customWidth="1"/>
    <col min="7" max="7" width="8.54296875" style="24" customWidth="1"/>
    <col min="8" max="8" width="15.453125" style="24" customWidth="1"/>
    <col min="9" max="9" width="4.54296875" style="24" customWidth="1"/>
    <col min="10" max="10" width="15.54296875" style="24" customWidth="1"/>
    <col min="11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/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1209</v>
      </c>
      <c r="J10" s="29" t="s">
        <v>29</v>
      </c>
      <c r="K10" s="452">
        <v>202006217</v>
      </c>
      <c r="L10" s="453"/>
    </row>
    <row r="11" spans="2:12" ht="20.149999999999999" customHeight="1" x14ac:dyDescent="0.45">
      <c r="B11" s="454"/>
      <c r="C11" s="455"/>
      <c r="D11" s="456"/>
      <c r="E11" s="30"/>
      <c r="F11" s="457" t="str">
        <f>VLOOKUP(H10,'Delivery Location'!A$4:N$416,2,0)</f>
        <v>Zhonghua Cafe 92998953                                 51 Upper Bukit Timah MARKET #02-124 S588215</v>
      </c>
      <c r="G11" s="458"/>
      <c r="H11" s="459"/>
      <c r="J11" s="31" t="s">
        <v>11</v>
      </c>
      <c r="K11" s="551" t="s">
        <v>1208</v>
      </c>
      <c r="L11" s="472"/>
    </row>
    <row r="12" spans="2:12" ht="20.149999999999999" customHeight="1" x14ac:dyDescent="0.45">
      <c r="B12" s="468"/>
      <c r="C12" s="469"/>
      <c r="D12" s="470"/>
      <c r="E12" s="30"/>
      <c r="F12" s="460"/>
      <c r="G12" s="461"/>
      <c r="H12" s="462"/>
      <c r="J12" s="31" t="s">
        <v>171</v>
      </c>
      <c r="K12" s="471" t="s">
        <v>36</v>
      </c>
      <c r="L12" s="472"/>
    </row>
    <row r="13" spans="2:12" ht="20.149999999999999" customHeight="1" x14ac:dyDescent="0.45">
      <c r="B13" s="468"/>
      <c r="C13" s="469"/>
      <c r="D13" s="470"/>
      <c r="E13" s="30"/>
      <c r="F13" s="460"/>
      <c r="G13" s="461"/>
      <c r="H13" s="462"/>
      <c r="J13" s="31" t="s">
        <v>12</v>
      </c>
      <c r="K13" s="471" t="s">
        <v>688</v>
      </c>
      <c r="L13" s="472"/>
    </row>
    <row r="14" spans="2:12" ht="20.149999999999999" customHeight="1" x14ac:dyDescent="0.45">
      <c r="B14" s="468"/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55"/>
      <c r="C15" s="56"/>
      <c r="D15" s="57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22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3"/>
      <c r="O17" s="33"/>
    </row>
    <row r="18" spans="2:22" ht="20.149999999999999" customHeight="1" x14ac:dyDescent="0.45">
      <c r="B18" s="34"/>
      <c r="C18" s="22" t="s">
        <v>1169</v>
      </c>
      <c r="D18" s="508" t="e">
        <f>VLOOKUP(C18,'Sales Master'!B$3:D$499,2,)</f>
        <v>#N/A</v>
      </c>
      <c r="E18" s="508"/>
      <c r="F18" s="508"/>
      <c r="G18" s="22">
        <v>3</v>
      </c>
      <c r="H18" s="68" t="e">
        <f>VLOOKUP(C18,'Sales Master'!$B$3:$F$3238,5,0)</f>
        <v>#N/A</v>
      </c>
      <c r="I18" s="481" t="e">
        <f>VLOOKUP(C18,'Sales Master'!$B$3:$E$3238,4,0)</f>
        <v>#N/A</v>
      </c>
      <c r="J18" s="481"/>
      <c r="K18" s="35" t="e">
        <f>VLOOKUP(C18,'Sales Master'!$B$3:$BR$583,69,0)</f>
        <v>#N/A</v>
      </c>
      <c r="L18" s="36" t="e">
        <f>K18*G18</f>
        <v>#N/A</v>
      </c>
      <c r="N18" s="24" t="s">
        <v>1106</v>
      </c>
      <c r="O18" s="24" t="s">
        <v>1128</v>
      </c>
      <c r="R18" s="24">
        <v>1</v>
      </c>
      <c r="S18" s="24" t="s">
        <v>1127</v>
      </c>
      <c r="T18" s="24">
        <v>0</v>
      </c>
      <c r="V18" s="24">
        <v>14.399999999999999</v>
      </c>
    </row>
    <row r="19" spans="2:22" ht="20.149999999999999" customHeight="1" x14ac:dyDescent="0.45">
      <c r="B19" s="34"/>
      <c r="C19" s="22"/>
      <c r="D19" s="508"/>
      <c r="E19" s="508"/>
      <c r="F19" s="508"/>
      <c r="G19" s="22"/>
      <c r="H19" s="68"/>
      <c r="I19" s="481"/>
      <c r="J19" s="481"/>
      <c r="K19" s="35"/>
      <c r="L19" s="36"/>
      <c r="N19" s="24" t="s">
        <v>1107</v>
      </c>
      <c r="O19" s="24" t="s">
        <v>1129</v>
      </c>
      <c r="R19" s="24">
        <v>1</v>
      </c>
      <c r="S19" s="24" t="s">
        <v>1126</v>
      </c>
      <c r="T19" s="24" t="s">
        <v>1117</v>
      </c>
      <c r="V19" s="24">
        <v>12</v>
      </c>
    </row>
    <row r="20" spans="2:22" ht="20.149999999999999" customHeight="1" x14ac:dyDescent="0.45">
      <c r="B20" s="34"/>
      <c r="C20" s="22"/>
      <c r="D20" s="508"/>
      <c r="E20" s="508"/>
      <c r="F20" s="508"/>
      <c r="G20" s="22"/>
      <c r="H20" s="68"/>
      <c r="I20" s="481"/>
      <c r="J20" s="481"/>
      <c r="K20" s="35"/>
      <c r="L20" s="36"/>
      <c r="N20" s="24" t="s">
        <v>1108</v>
      </c>
      <c r="O20" s="24" t="s">
        <v>1130</v>
      </c>
      <c r="R20" s="24">
        <v>1</v>
      </c>
      <c r="S20" s="24" t="s">
        <v>1125</v>
      </c>
      <c r="T20" s="24">
        <v>0</v>
      </c>
      <c r="V20" s="24">
        <v>18</v>
      </c>
    </row>
    <row r="21" spans="2:22" ht="20.149999999999999" customHeight="1" x14ac:dyDescent="0.45">
      <c r="B21" s="34"/>
      <c r="C21" s="22"/>
      <c r="D21" s="508"/>
      <c r="E21" s="508"/>
      <c r="F21" s="508"/>
      <c r="G21" s="22"/>
      <c r="H21" s="68"/>
      <c r="I21" s="481"/>
      <c r="J21" s="481"/>
      <c r="K21" s="35"/>
      <c r="L21" s="36"/>
      <c r="N21" s="24" t="s">
        <v>1109</v>
      </c>
      <c r="O21" s="24" t="s">
        <v>1131</v>
      </c>
      <c r="R21" s="24">
        <v>12</v>
      </c>
      <c r="S21" s="24" t="s">
        <v>1124</v>
      </c>
      <c r="T21" s="24">
        <v>0</v>
      </c>
      <c r="V21" s="24">
        <v>2.2999999999999998</v>
      </c>
    </row>
    <row r="22" spans="2:22" ht="20.149999999999999" customHeight="1" x14ac:dyDescent="0.45">
      <c r="B22" s="34"/>
      <c r="C22" s="22"/>
      <c r="D22" s="508"/>
      <c r="E22" s="508"/>
      <c r="F22" s="508"/>
      <c r="G22" s="22"/>
      <c r="H22" s="68"/>
      <c r="I22" s="481"/>
      <c r="J22" s="481"/>
      <c r="K22" s="35"/>
      <c r="L22" s="36"/>
      <c r="N22" s="24" t="s">
        <v>1110</v>
      </c>
      <c r="O22" s="24" t="s">
        <v>1132</v>
      </c>
      <c r="R22" s="24">
        <v>12</v>
      </c>
      <c r="S22" s="24" t="s">
        <v>1124</v>
      </c>
      <c r="T22" s="24">
        <v>0</v>
      </c>
      <c r="V22" s="24">
        <v>1.5</v>
      </c>
    </row>
    <row r="23" spans="2:22" ht="20.149999999999999" customHeight="1" x14ac:dyDescent="0.45">
      <c r="B23" s="34"/>
      <c r="C23" s="22"/>
      <c r="D23" s="508"/>
      <c r="E23" s="508"/>
      <c r="F23" s="508"/>
      <c r="G23" s="22"/>
      <c r="H23" s="68"/>
      <c r="I23" s="481"/>
      <c r="J23" s="481"/>
      <c r="K23" s="35"/>
      <c r="L23" s="36"/>
      <c r="N23" s="24" t="s">
        <v>1111</v>
      </c>
      <c r="O23" s="24" t="s">
        <v>1133</v>
      </c>
      <c r="R23" s="24">
        <v>1</v>
      </c>
      <c r="S23" s="24" t="s">
        <v>1120</v>
      </c>
      <c r="T23" s="24">
        <v>0</v>
      </c>
      <c r="V23" s="24">
        <v>29</v>
      </c>
    </row>
    <row r="24" spans="2:22" ht="20.149999999999999" customHeight="1" x14ac:dyDescent="0.45">
      <c r="B24" s="34"/>
      <c r="C24" s="22"/>
      <c r="D24" s="508"/>
      <c r="E24" s="508"/>
      <c r="F24" s="508"/>
      <c r="G24" s="22"/>
      <c r="H24" s="68"/>
      <c r="I24" s="481"/>
      <c r="J24" s="481"/>
      <c r="K24" s="35"/>
      <c r="L24" s="36"/>
      <c r="N24" s="24" t="s">
        <v>1112</v>
      </c>
      <c r="O24" s="24" t="s">
        <v>1134</v>
      </c>
      <c r="R24" s="24">
        <v>1</v>
      </c>
      <c r="S24" s="24" t="s">
        <v>1123</v>
      </c>
      <c r="T24" s="24">
        <v>0</v>
      </c>
      <c r="V24" s="24">
        <v>23.5</v>
      </c>
    </row>
    <row r="25" spans="2:22" ht="20.149999999999999" customHeight="1" x14ac:dyDescent="0.45">
      <c r="B25" s="34"/>
      <c r="C25" s="22"/>
      <c r="D25" s="508"/>
      <c r="E25" s="508"/>
      <c r="F25" s="508"/>
      <c r="G25" s="22"/>
      <c r="H25" s="68"/>
      <c r="I25" s="481"/>
      <c r="J25" s="481"/>
      <c r="K25" s="35"/>
      <c r="L25" s="36"/>
      <c r="N25" s="24" t="s">
        <v>1113</v>
      </c>
      <c r="O25" s="24" t="s">
        <v>1135</v>
      </c>
      <c r="R25" s="24">
        <v>1</v>
      </c>
      <c r="S25" s="24" t="s">
        <v>1122</v>
      </c>
      <c r="T25" s="24" t="s">
        <v>1118</v>
      </c>
      <c r="V25" s="24">
        <v>36</v>
      </c>
    </row>
    <row r="26" spans="2:22" ht="20.149999999999999" customHeight="1" x14ac:dyDescent="0.45">
      <c r="B26" s="34"/>
      <c r="C26" s="22"/>
      <c r="D26" s="508"/>
      <c r="E26" s="508"/>
      <c r="F26" s="508"/>
      <c r="G26" s="22"/>
      <c r="H26" s="68"/>
      <c r="I26" s="481"/>
      <c r="J26" s="481"/>
      <c r="K26" s="35"/>
      <c r="L26" s="36"/>
      <c r="N26" s="24" t="s">
        <v>1114</v>
      </c>
      <c r="O26" s="24" t="s">
        <v>1136</v>
      </c>
      <c r="R26" s="24">
        <v>1</v>
      </c>
      <c r="S26" s="24" t="s">
        <v>1119</v>
      </c>
      <c r="T26" s="24">
        <v>0</v>
      </c>
      <c r="V26" s="24">
        <v>22.5</v>
      </c>
    </row>
    <row r="27" spans="2:22" ht="20.149999999999999" customHeight="1" x14ac:dyDescent="0.45">
      <c r="B27" s="34"/>
      <c r="C27" s="22"/>
      <c r="D27" s="508"/>
      <c r="E27" s="508"/>
      <c r="F27" s="508"/>
      <c r="G27" s="22"/>
      <c r="H27" s="68"/>
      <c r="I27" s="481"/>
      <c r="J27" s="481"/>
      <c r="K27" s="35"/>
      <c r="L27" s="36"/>
      <c r="N27" s="24" t="s">
        <v>1115</v>
      </c>
      <c r="O27" s="24" t="s">
        <v>1137</v>
      </c>
      <c r="R27" s="24">
        <v>1</v>
      </c>
      <c r="S27" s="24" t="s">
        <v>1120</v>
      </c>
      <c r="T27" s="24">
        <v>0</v>
      </c>
      <c r="V27" s="24">
        <v>21.5</v>
      </c>
    </row>
    <row r="28" spans="2:22" ht="20.149999999999999" customHeight="1" x14ac:dyDescent="0.45">
      <c r="B28" s="34"/>
      <c r="C28" s="22"/>
      <c r="D28" s="508"/>
      <c r="E28" s="508"/>
      <c r="F28" s="508"/>
      <c r="G28" s="22"/>
      <c r="H28" s="68"/>
      <c r="I28" s="481"/>
      <c r="J28" s="481"/>
      <c r="K28" s="35"/>
      <c r="L28" s="36"/>
      <c r="N28" s="24" t="s">
        <v>1116</v>
      </c>
      <c r="O28" s="24" t="s">
        <v>1138</v>
      </c>
      <c r="R28" s="24">
        <v>1</v>
      </c>
      <c r="S28" s="24" t="s">
        <v>1121</v>
      </c>
      <c r="T28" s="24">
        <v>0</v>
      </c>
      <c r="V28" s="24">
        <v>50</v>
      </c>
    </row>
    <row r="29" spans="2:22" ht="20.149999999999999" customHeight="1" x14ac:dyDescent="0.45">
      <c r="B29" s="34"/>
      <c r="C29" s="22"/>
      <c r="D29" s="508"/>
      <c r="E29" s="508"/>
      <c r="F29" s="508"/>
      <c r="G29" s="22"/>
      <c r="H29" s="68"/>
      <c r="I29" s="481"/>
      <c r="J29" s="481"/>
      <c r="K29" s="35"/>
      <c r="L29" s="36"/>
      <c r="N29" s="24" t="s">
        <v>1140</v>
      </c>
      <c r="O29" s="24" t="s">
        <v>1139</v>
      </c>
      <c r="R29" s="24">
        <v>1</v>
      </c>
      <c r="S29" s="24" t="s">
        <v>1141</v>
      </c>
      <c r="T29" s="24">
        <v>0</v>
      </c>
      <c r="V29" s="24">
        <v>58</v>
      </c>
    </row>
    <row r="30" spans="2:22" ht="20.149999999999999" customHeight="1" x14ac:dyDescent="0.45">
      <c r="B30" s="34"/>
      <c r="C30" s="22"/>
      <c r="D30" s="508"/>
      <c r="E30" s="508"/>
      <c r="F30" s="508"/>
      <c r="G30" s="22"/>
      <c r="H30" s="68"/>
      <c r="I30" s="481"/>
      <c r="J30" s="481"/>
      <c r="K30" s="35"/>
      <c r="L30" s="36"/>
      <c r="N30" s="24" t="s">
        <v>1142</v>
      </c>
      <c r="O30" s="24" t="s">
        <v>1146</v>
      </c>
      <c r="R30" s="24">
        <v>12</v>
      </c>
      <c r="S30" s="24" t="s">
        <v>1145</v>
      </c>
      <c r="T30" s="24">
        <v>0</v>
      </c>
      <c r="V30" s="24">
        <v>1.2</v>
      </c>
    </row>
    <row r="31" spans="2:22" ht="20.149999999999999" customHeight="1" x14ac:dyDescent="0.45">
      <c r="B31" s="34"/>
      <c r="C31" s="22"/>
      <c r="D31" s="508"/>
      <c r="E31" s="508"/>
      <c r="F31" s="508"/>
      <c r="G31" s="22"/>
      <c r="H31" s="68"/>
      <c r="I31" s="481"/>
      <c r="J31" s="481"/>
      <c r="K31" s="35"/>
      <c r="L31" s="36"/>
      <c r="N31" s="24" t="s">
        <v>1143</v>
      </c>
      <c r="O31" s="24" t="s">
        <v>1147</v>
      </c>
      <c r="R31" s="24">
        <v>5</v>
      </c>
      <c r="S31" s="24" t="s">
        <v>1082</v>
      </c>
      <c r="T31" s="24">
        <v>0</v>
      </c>
      <c r="V31" s="24">
        <v>1.4</v>
      </c>
    </row>
    <row r="32" spans="2:22" ht="20.149999999999999" customHeight="1" x14ac:dyDescent="0.45">
      <c r="B32" s="34"/>
      <c r="C32" s="22"/>
      <c r="D32" s="508"/>
      <c r="E32" s="508"/>
      <c r="F32" s="508"/>
      <c r="G32" s="22"/>
      <c r="H32" s="68"/>
      <c r="I32" s="481"/>
      <c r="J32" s="481"/>
      <c r="K32" s="35"/>
      <c r="L32" s="36"/>
      <c r="N32" s="24" t="s">
        <v>1144</v>
      </c>
      <c r="O32" s="24" t="s">
        <v>1148</v>
      </c>
      <c r="R32" s="24">
        <v>5</v>
      </c>
      <c r="S32" s="24" t="s">
        <v>1082</v>
      </c>
      <c r="T32" s="24">
        <v>0</v>
      </c>
      <c r="V32" s="24">
        <v>1.2</v>
      </c>
    </row>
    <row r="33" spans="2:12" ht="20.149999999999999" customHeight="1" x14ac:dyDescent="0.45">
      <c r="B33" s="34"/>
      <c r="C33" s="22"/>
      <c r="D33" s="508"/>
      <c r="E33" s="508"/>
      <c r="F33" s="508"/>
      <c r="G33" s="22"/>
      <c r="H33" s="68"/>
      <c r="I33" s="481"/>
      <c r="J33" s="481"/>
      <c r="K33" s="35"/>
      <c r="L33" s="36"/>
    </row>
    <row r="34" spans="2:12" ht="20.149999999999999" customHeight="1" x14ac:dyDescent="0.45">
      <c r="B34" s="34"/>
      <c r="C34" s="22"/>
      <c r="D34" s="508"/>
      <c r="E34" s="508"/>
      <c r="F34" s="508"/>
      <c r="G34" s="22"/>
      <c r="H34" s="68"/>
      <c r="I34" s="481"/>
      <c r="J34" s="481"/>
      <c r="K34" s="35"/>
      <c r="L34" s="36"/>
    </row>
    <row r="35" spans="2:12" ht="20.149999999999999" customHeight="1" x14ac:dyDescent="0.45">
      <c r="B35" s="155"/>
      <c r="C35" s="156"/>
      <c r="D35" s="556"/>
      <c r="E35" s="556"/>
      <c r="F35" s="556"/>
      <c r="G35" s="156"/>
      <c r="H35" s="189"/>
      <c r="I35" s="491"/>
      <c r="J35" s="491"/>
      <c r="K35" s="163"/>
      <c r="L35" s="190"/>
    </row>
    <row r="36" spans="2:12" ht="20.149999999999999" customHeight="1" thickBot="1" x14ac:dyDescent="0.5">
      <c r="B36" s="41"/>
      <c r="L36" s="42"/>
    </row>
    <row r="37" spans="2:12" ht="20.149999999999999" customHeight="1" x14ac:dyDescent="0.45">
      <c r="B37" s="11" t="s">
        <v>18</v>
      </c>
      <c r="C37" s="7"/>
      <c r="D37" s="7"/>
      <c r="E37" s="7"/>
      <c r="F37" s="7"/>
      <c r="G37" s="7"/>
      <c r="H37" s="7"/>
      <c r="I37" s="7"/>
      <c r="J37" s="510" t="s">
        <v>15</v>
      </c>
      <c r="K37" s="511"/>
      <c r="L37" s="43" t="e">
        <f>SUM(L17:L35)</f>
        <v>#N/A</v>
      </c>
    </row>
    <row r="38" spans="2:12" ht="20.149999999999999" customHeight="1" x14ac:dyDescent="0.45">
      <c r="B38" s="11" t="s">
        <v>19</v>
      </c>
      <c r="C38" s="7"/>
      <c r="D38" s="7"/>
      <c r="E38" s="7"/>
      <c r="F38" s="7"/>
      <c r="G38" s="7"/>
      <c r="H38" s="7"/>
      <c r="I38" s="7"/>
      <c r="J38" s="44" t="s">
        <v>22</v>
      </c>
      <c r="K38" s="45"/>
      <c r="L38" s="46" t="e">
        <f>L37*K38</f>
        <v>#N/A</v>
      </c>
    </row>
    <row r="39" spans="2:12" ht="20.149999999999999" customHeight="1" x14ac:dyDescent="0.45">
      <c r="B39" s="11" t="s">
        <v>20</v>
      </c>
      <c r="C39" s="7"/>
      <c r="D39" s="7"/>
      <c r="E39" s="7"/>
      <c r="F39" s="7"/>
      <c r="G39" s="7"/>
      <c r="H39" s="7"/>
      <c r="I39" s="7"/>
      <c r="J39" s="486" t="s">
        <v>21</v>
      </c>
      <c r="K39" s="487"/>
      <c r="L39" s="46" t="e">
        <f>L37-L38</f>
        <v>#N/A</v>
      </c>
    </row>
    <row r="40" spans="2:12" ht="20.149999999999999" customHeight="1" x14ac:dyDescent="0.45">
      <c r="B40" s="11" t="s">
        <v>24</v>
      </c>
      <c r="C40" s="7"/>
      <c r="D40" s="7"/>
      <c r="E40" s="7"/>
      <c r="F40" s="7"/>
      <c r="G40" s="7"/>
      <c r="H40" s="7"/>
      <c r="I40" s="7"/>
      <c r="J40" s="150" t="s">
        <v>17</v>
      </c>
      <c r="K40" s="151">
        <v>7.0000000000000007E-2</v>
      </c>
      <c r="L40" s="47" t="e">
        <f>L39*K40</f>
        <v>#N/A</v>
      </c>
    </row>
    <row r="41" spans="2:12" ht="20.149999999999999" customHeight="1" thickBot="1" x14ac:dyDescent="0.5">
      <c r="B41" s="11" t="s">
        <v>1400</v>
      </c>
      <c r="C41" s="7"/>
      <c r="D41" s="7"/>
      <c r="E41" s="7"/>
      <c r="F41" s="7"/>
      <c r="G41" s="7"/>
      <c r="H41" s="7"/>
      <c r="I41" s="7"/>
      <c r="J41" s="488" t="s">
        <v>23</v>
      </c>
      <c r="K41" s="489"/>
      <c r="L41" s="48" t="e">
        <f>L39+L40</f>
        <v>#N/A</v>
      </c>
    </row>
    <row r="42" spans="2:12" ht="20.149999999999999" customHeight="1" x14ac:dyDescent="0.45">
      <c r="B42" s="11" t="s">
        <v>26</v>
      </c>
      <c r="C42" s="7"/>
      <c r="D42" s="7"/>
      <c r="E42" s="7"/>
      <c r="F42" s="7"/>
      <c r="G42" s="7"/>
      <c r="H42" s="7"/>
      <c r="I42" s="7"/>
      <c r="L42" s="42"/>
    </row>
    <row r="43" spans="2:12" ht="20.149999999999999" customHeight="1" x14ac:dyDescent="0.45">
      <c r="B43" s="224" t="s">
        <v>1379</v>
      </c>
      <c r="L43" s="42"/>
    </row>
    <row r="44" spans="2:12" ht="20.149999999999999" customHeight="1" x14ac:dyDescent="0.45">
      <c r="B44" s="41"/>
      <c r="L44" s="42"/>
    </row>
    <row r="45" spans="2:12" ht="20.149999999999999" customHeight="1" x14ac:dyDescent="0.45">
      <c r="B45" s="41"/>
      <c r="L45" s="42"/>
    </row>
    <row r="46" spans="2:12" ht="20.149999999999999" customHeight="1" x14ac:dyDescent="0.45">
      <c r="B46" s="41"/>
      <c r="L46" s="42"/>
    </row>
    <row r="47" spans="2:12" ht="20.149999999999999" customHeight="1" x14ac:dyDescent="0.45">
      <c r="B47" s="49"/>
      <c r="C47" s="50"/>
      <c r="D47" s="50"/>
      <c r="J47" s="50"/>
      <c r="K47" s="50"/>
      <c r="L47" s="51"/>
    </row>
    <row r="48" spans="2:12" ht="20.149999999999999" customHeight="1" x14ac:dyDescent="0.45">
      <c r="B48" s="41" t="s">
        <v>27</v>
      </c>
      <c r="J48" s="24" t="s">
        <v>28</v>
      </c>
      <c r="L48" s="42"/>
    </row>
    <row r="49" spans="2:12" ht="19" thickBot="1" x14ac:dyDescent="0.5">
      <c r="B49" s="52"/>
      <c r="C49" s="53"/>
      <c r="D49" s="53"/>
      <c r="E49" s="53"/>
      <c r="F49" s="53"/>
      <c r="G49" s="53"/>
      <c r="H49" s="53"/>
      <c r="I49" s="53"/>
      <c r="J49" s="53"/>
      <c r="K49" s="53"/>
      <c r="L49" s="54"/>
    </row>
  </sheetData>
  <mergeCells count="53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D17:F17"/>
    <mergeCell ref="I17:J17"/>
    <mergeCell ref="D18:F18"/>
    <mergeCell ref="I18:J18"/>
    <mergeCell ref="D19:F19"/>
    <mergeCell ref="I19:J19"/>
    <mergeCell ref="D20:F20"/>
    <mergeCell ref="I20:J20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D28:F28"/>
    <mergeCell ref="I28:J28"/>
    <mergeCell ref="D29:F29"/>
    <mergeCell ref="I29:J29"/>
    <mergeCell ref="D30:F30"/>
    <mergeCell ref="I30:J30"/>
    <mergeCell ref="D31:F31"/>
    <mergeCell ref="I31:J31"/>
    <mergeCell ref="D32:F32"/>
    <mergeCell ref="I32:J32"/>
    <mergeCell ref="D33:F33"/>
    <mergeCell ref="I33:J33"/>
    <mergeCell ref="J41:K41"/>
    <mergeCell ref="D34:F34"/>
    <mergeCell ref="I34:J34"/>
    <mergeCell ref="D35:F35"/>
    <mergeCell ref="I35:J35"/>
    <mergeCell ref="J37:K37"/>
    <mergeCell ref="J39:K39"/>
  </mergeCells>
  <pageMargins left="0.70866141732283472" right="0.31496062992125984" top="0.59055118110236227" bottom="0" header="0.31496062992125984" footer="0.31496062992125984"/>
  <pageSetup paperSize="9" scale="74" orientation="portrait" verticalDpi="300" r:id="rId1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44060F-ED00-48DF-B646-2560682321B4}">
  <sheetPr codeName="Sheet85">
    <tabColor rgb="FFFFFF00"/>
    <pageSetUpPr fitToPage="1"/>
  </sheetPr>
  <dimension ref="B1:O42"/>
  <sheetViews>
    <sheetView zoomScaleNormal="100" workbookViewId="0">
      <selection activeCell="B1" sqref="B1:L8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6.54296875" style="24" customWidth="1"/>
    <col min="7" max="7" width="8.54296875" style="24" customWidth="1"/>
    <col min="8" max="8" width="19.453125" style="24" customWidth="1"/>
    <col min="9" max="9" width="2" style="24" customWidth="1"/>
    <col min="10" max="10" width="15.54296875" style="24" customWidth="1"/>
    <col min="11" max="12" width="12.54296875" style="24" customWidth="1"/>
    <col min="13" max="16384" width="12.54296875" style="24"/>
  </cols>
  <sheetData>
    <row r="1" spans="2:12" ht="18.649999999999999" customHeight="1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ht="18.649999999999999" customHeight="1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ht="18.649999999999999" customHeight="1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ht="18.649999999999999" customHeight="1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ht="18.649999999999999" customHeight="1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ht="18.649999999999999" customHeight="1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ht="18.649999999999999" customHeight="1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8.649999999999999" customHeight="1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191"/>
      <c r="C9" s="191"/>
      <c r="D9" s="191"/>
      <c r="E9" s="191"/>
      <c r="F9" s="191"/>
      <c r="G9" s="191"/>
      <c r="H9" s="191"/>
      <c r="I9" s="191"/>
      <c r="J9" s="191"/>
      <c r="K9" s="191"/>
      <c r="L9" s="191"/>
    </row>
    <row r="10" spans="2:12" ht="18" customHeight="1" thickTop="1" thickBot="1" x14ac:dyDescent="0.5">
      <c r="B10" s="25" t="s">
        <v>1252</v>
      </c>
      <c r="C10" s="25"/>
      <c r="D10" s="26"/>
      <c r="E10" s="26"/>
      <c r="F10" s="27" t="s">
        <v>1251</v>
      </c>
      <c r="G10" s="28"/>
      <c r="H10" s="28" t="s">
        <v>1255</v>
      </c>
      <c r="J10" s="188" t="s">
        <v>29</v>
      </c>
      <c r="K10" s="566">
        <v>202009086</v>
      </c>
      <c r="L10" s="567"/>
    </row>
    <row r="11" spans="2:12" ht="20.149999999999999" customHeight="1" x14ac:dyDescent="0.45">
      <c r="B11" s="454" t="s">
        <v>1257</v>
      </c>
      <c r="C11" s="455"/>
      <c r="D11" s="456"/>
      <c r="E11" s="30"/>
      <c r="F11" s="457" t="str">
        <f>VLOOKUP(H10,'Delivery Location'!A$4:N$416,2,0)</f>
        <v>Hock Seng Food Pte ltd                                   267 Pandan Loop                                                 Singapore 128439</v>
      </c>
      <c r="G11" s="458"/>
      <c r="H11" s="459"/>
      <c r="J11" s="31" t="s">
        <v>11</v>
      </c>
      <c r="K11" s="551">
        <v>43930</v>
      </c>
      <c r="L11" s="472"/>
    </row>
    <row r="12" spans="2:12" ht="20.149999999999999" customHeight="1" x14ac:dyDescent="0.45">
      <c r="B12" s="468"/>
      <c r="C12" s="469"/>
      <c r="D12" s="470"/>
      <c r="E12" s="30"/>
      <c r="F12" s="460"/>
      <c r="G12" s="461"/>
      <c r="H12" s="462"/>
      <c r="J12" s="31" t="s">
        <v>171</v>
      </c>
      <c r="K12" s="471" t="s">
        <v>36</v>
      </c>
      <c r="L12" s="472"/>
    </row>
    <row r="13" spans="2:12" ht="20.149999999999999" customHeight="1" x14ac:dyDescent="0.45">
      <c r="B13" s="468"/>
      <c r="C13" s="469"/>
      <c r="D13" s="470"/>
      <c r="E13" s="30"/>
      <c r="F13" s="460"/>
      <c r="G13" s="461"/>
      <c r="H13" s="462"/>
      <c r="J13" s="31" t="s">
        <v>12</v>
      </c>
      <c r="K13" s="471" t="s">
        <v>1258</v>
      </c>
      <c r="L13" s="472"/>
    </row>
    <row r="14" spans="2:12" ht="20.149999999999999" customHeight="1" x14ac:dyDescent="0.45">
      <c r="B14" s="468"/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473"/>
      <c r="C15" s="474"/>
      <c r="D15" s="475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15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3"/>
      <c r="O17" s="33"/>
    </row>
    <row r="18" spans="2:15" ht="20.149999999999999" customHeight="1" x14ac:dyDescent="0.45">
      <c r="B18" s="70"/>
      <c r="C18" s="22" t="s">
        <v>1096</v>
      </c>
      <c r="D18" s="24" t="e">
        <f>VLOOKUP(C18,'Sales Master'!B$3:D$499,2,)</f>
        <v>#N/A</v>
      </c>
      <c r="G18" s="22">
        <v>120</v>
      </c>
      <c r="H18" s="68" t="e">
        <f>VLOOKUP(C18,'Sales Master'!$B$3:$F$3179,5,0)</f>
        <v>#N/A</v>
      </c>
      <c r="I18" s="481" t="e">
        <f>VLOOKUP(C18,'Sales Master'!$B$3:$E$3179,4,0)</f>
        <v>#N/A</v>
      </c>
      <c r="J18" s="481"/>
      <c r="K18" s="35">
        <v>3.75</v>
      </c>
      <c r="L18" s="77">
        <f>K18*G18</f>
        <v>450</v>
      </c>
      <c r="M18" s="78"/>
    </row>
    <row r="19" spans="2:15" ht="20.149999999999999" customHeight="1" x14ac:dyDescent="0.45">
      <c r="B19" s="70"/>
      <c r="C19" s="22"/>
      <c r="G19" s="22"/>
      <c r="H19" s="68"/>
      <c r="I19" s="481"/>
      <c r="J19" s="481"/>
      <c r="K19" s="35"/>
      <c r="L19" s="77"/>
      <c r="M19" s="78"/>
    </row>
    <row r="20" spans="2:15" ht="20.149999999999999" customHeight="1" x14ac:dyDescent="0.45">
      <c r="B20" s="70"/>
      <c r="C20" s="22"/>
      <c r="G20" s="22"/>
      <c r="H20" s="68"/>
      <c r="I20" s="481"/>
      <c r="J20" s="481"/>
      <c r="K20" s="35"/>
      <c r="L20" s="77"/>
    </row>
    <row r="21" spans="2:15" ht="20.149999999999999" customHeight="1" x14ac:dyDescent="0.45">
      <c r="B21" s="70"/>
      <c r="C21" s="22"/>
      <c r="G21" s="22"/>
      <c r="H21" s="68"/>
      <c r="I21" s="481"/>
      <c r="J21" s="481"/>
      <c r="K21" s="35"/>
      <c r="L21" s="77"/>
      <c r="M21" s="78"/>
    </row>
    <row r="22" spans="2:15" ht="20.149999999999999" customHeight="1" x14ac:dyDescent="0.45">
      <c r="B22" s="70"/>
      <c r="C22" s="22"/>
      <c r="G22" s="22"/>
      <c r="H22" s="68"/>
      <c r="I22" s="481"/>
      <c r="J22" s="481"/>
      <c r="K22" s="35"/>
      <c r="L22" s="77"/>
    </row>
    <row r="23" spans="2:15" ht="20.149999999999999" customHeight="1" x14ac:dyDescent="0.45">
      <c r="B23" s="70"/>
      <c r="C23" s="22"/>
      <c r="G23" s="22"/>
      <c r="H23" s="68"/>
      <c r="I23" s="481"/>
      <c r="J23" s="481"/>
      <c r="K23" s="35"/>
      <c r="L23" s="77"/>
      <c r="M23" s="78"/>
    </row>
    <row r="24" spans="2:15" ht="20.149999999999999" customHeight="1" x14ac:dyDescent="0.45">
      <c r="B24" s="70"/>
      <c r="C24" s="22"/>
      <c r="G24" s="22"/>
      <c r="H24" s="68"/>
      <c r="I24" s="481"/>
      <c r="J24" s="481"/>
      <c r="K24" s="35"/>
      <c r="L24" s="77"/>
      <c r="M24" s="78"/>
    </row>
    <row r="25" spans="2:15" ht="20.149999999999999" customHeight="1" x14ac:dyDescent="0.45">
      <c r="B25" s="70"/>
      <c r="C25" s="22"/>
      <c r="G25" s="22"/>
      <c r="H25" s="68"/>
      <c r="I25" s="481"/>
      <c r="J25" s="481"/>
      <c r="K25" s="35"/>
      <c r="L25" s="77"/>
      <c r="M25" s="78"/>
    </row>
    <row r="26" spans="2:15" ht="20.149999999999999" customHeight="1" x14ac:dyDescent="0.45">
      <c r="B26" s="70"/>
      <c r="C26" s="22"/>
      <c r="G26" s="22"/>
      <c r="H26" s="68"/>
      <c r="I26" s="481"/>
      <c r="J26" s="481"/>
      <c r="K26" s="35"/>
      <c r="L26" s="77"/>
      <c r="M26" s="78"/>
    </row>
    <row r="27" spans="2:15" ht="20.149999999999999" customHeight="1" x14ac:dyDescent="0.45">
      <c r="B27" s="70"/>
      <c r="C27" s="22"/>
      <c r="G27" s="22"/>
      <c r="H27" s="68"/>
      <c r="I27" s="68"/>
      <c r="J27" s="68"/>
      <c r="K27" s="35"/>
      <c r="L27" s="77"/>
      <c r="M27" s="78"/>
    </row>
    <row r="28" spans="2:15" ht="20.149999999999999" customHeight="1" x14ac:dyDescent="0.45">
      <c r="B28" s="70"/>
      <c r="C28" s="22"/>
      <c r="G28" s="22"/>
      <c r="H28" s="68"/>
      <c r="I28" s="481"/>
      <c r="J28" s="481"/>
      <c r="K28" s="35"/>
      <c r="L28" s="77"/>
      <c r="M28" s="78"/>
    </row>
    <row r="29" spans="2:15" ht="20.149999999999999" customHeight="1" x14ac:dyDescent="0.45">
      <c r="B29" s="70"/>
      <c r="C29" s="22"/>
      <c r="G29" s="22"/>
      <c r="H29" s="68"/>
      <c r="I29" s="481"/>
      <c r="J29" s="481"/>
      <c r="K29" s="35"/>
      <c r="L29" s="77"/>
      <c r="M29" s="78"/>
    </row>
    <row r="30" spans="2:15" ht="20.149999999999999" customHeight="1" thickBot="1" x14ac:dyDescent="0.5">
      <c r="B30" s="101"/>
      <c r="C30" s="38"/>
      <c r="D30" s="577"/>
      <c r="E30" s="577"/>
      <c r="F30" s="577"/>
      <c r="G30" s="38"/>
      <c r="H30" s="69"/>
      <c r="I30" s="557"/>
      <c r="J30" s="557"/>
      <c r="K30" s="39"/>
      <c r="L30" s="89"/>
      <c r="M30" s="78"/>
    </row>
    <row r="31" spans="2:15" ht="20.149999999999999" customHeight="1" thickBot="1" x14ac:dyDescent="0.5">
      <c r="B31" s="41"/>
      <c r="L31" s="42"/>
    </row>
    <row r="32" spans="2:15" ht="20.149999999999999" customHeight="1" x14ac:dyDescent="0.45">
      <c r="B32" s="11" t="s">
        <v>18</v>
      </c>
      <c r="C32" s="7"/>
      <c r="D32" s="7"/>
      <c r="E32" s="7"/>
      <c r="F32" s="7"/>
      <c r="G32" s="7"/>
      <c r="H32" s="7"/>
      <c r="I32" s="7"/>
      <c r="J32" s="510" t="s">
        <v>15</v>
      </c>
      <c r="K32" s="511"/>
      <c r="L32" s="43">
        <f>SUM(L17:L30)</f>
        <v>450</v>
      </c>
      <c r="M32" s="76">
        <f>561.5-L32</f>
        <v>111.5</v>
      </c>
    </row>
    <row r="33" spans="2:13" ht="20.149999999999999" customHeight="1" x14ac:dyDescent="0.45">
      <c r="B33" s="11" t="s">
        <v>19</v>
      </c>
      <c r="C33" s="7"/>
      <c r="D33" s="7"/>
      <c r="E33" s="7"/>
      <c r="F33" s="7"/>
      <c r="G33" s="7"/>
      <c r="H33" s="7"/>
      <c r="I33" s="7"/>
      <c r="J33" s="44" t="s">
        <v>22</v>
      </c>
      <c r="K33" s="45"/>
      <c r="L33" s="46">
        <f>L32*K33</f>
        <v>0</v>
      </c>
    </row>
    <row r="34" spans="2:13" ht="20.149999999999999" customHeight="1" x14ac:dyDescent="0.45">
      <c r="B34" s="11" t="s">
        <v>20</v>
      </c>
      <c r="C34" s="7"/>
      <c r="D34" s="7"/>
      <c r="E34" s="7"/>
      <c r="F34" s="7"/>
      <c r="G34" s="7"/>
      <c r="H34" s="7"/>
      <c r="I34" s="7"/>
      <c r="J34" s="486" t="s">
        <v>21</v>
      </c>
      <c r="K34" s="487"/>
      <c r="L34" s="46">
        <f>L32-L33</f>
        <v>450</v>
      </c>
    </row>
    <row r="35" spans="2:13" ht="20.149999999999999" customHeight="1" x14ac:dyDescent="0.45">
      <c r="B35" s="11" t="s">
        <v>24</v>
      </c>
      <c r="C35" s="7"/>
      <c r="D35" s="7"/>
      <c r="E35" s="7"/>
      <c r="F35" s="7"/>
      <c r="G35" s="7"/>
      <c r="H35" s="7"/>
      <c r="I35" s="7"/>
      <c r="J35" s="150" t="s">
        <v>17</v>
      </c>
      <c r="K35" s="151">
        <v>7.0000000000000007E-2</v>
      </c>
      <c r="L35" s="47">
        <f>L34*K35</f>
        <v>31.500000000000004</v>
      </c>
    </row>
    <row r="36" spans="2:13" ht="20.149999999999999" customHeight="1" thickBot="1" x14ac:dyDescent="0.5">
      <c r="B36" s="11" t="s">
        <v>1400</v>
      </c>
      <c r="C36" s="7"/>
      <c r="D36" s="7"/>
      <c r="E36" s="7"/>
      <c r="F36" s="7"/>
      <c r="G36" s="7"/>
      <c r="H36" s="7"/>
      <c r="I36" s="7"/>
      <c r="J36" s="488" t="s">
        <v>23</v>
      </c>
      <c r="K36" s="489"/>
      <c r="L36" s="48">
        <f>L34+L35</f>
        <v>481.5</v>
      </c>
      <c r="M36" s="76">
        <f>L36*0.9</f>
        <v>433.35</v>
      </c>
    </row>
    <row r="37" spans="2:13" ht="20.149999999999999" customHeight="1" x14ac:dyDescent="0.45">
      <c r="B37" s="11" t="s">
        <v>26</v>
      </c>
      <c r="C37" s="7"/>
      <c r="D37" s="7"/>
      <c r="E37" s="7"/>
      <c r="F37" s="7"/>
      <c r="G37" s="7"/>
      <c r="H37" s="7"/>
      <c r="I37" s="7"/>
      <c r="K37" s="24" t="s">
        <v>720</v>
      </c>
      <c r="L37" s="42"/>
    </row>
    <row r="38" spans="2:13" ht="20.149999999999999" customHeight="1" x14ac:dyDescent="0.45">
      <c r="B38" s="224" t="s">
        <v>1379</v>
      </c>
      <c r="L38" s="42"/>
    </row>
    <row r="39" spans="2:13" ht="20.149999999999999" customHeight="1" x14ac:dyDescent="0.45">
      <c r="B39" s="41"/>
      <c r="L39" s="42"/>
    </row>
    <row r="40" spans="2:13" ht="20.149999999999999" customHeight="1" x14ac:dyDescent="0.45">
      <c r="B40" s="49"/>
      <c r="C40" s="50"/>
      <c r="D40" s="50"/>
      <c r="J40" s="50"/>
      <c r="K40" s="50"/>
      <c r="L40" s="51"/>
    </row>
    <row r="41" spans="2:13" ht="20.149999999999999" customHeight="1" x14ac:dyDescent="0.45">
      <c r="B41" s="41" t="s">
        <v>27</v>
      </c>
      <c r="J41" s="24" t="s">
        <v>28</v>
      </c>
      <c r="L41" s="42"/>
    </row>
    <row r="42" spans="2:13" ht="19" thickBot="1" x14ac:dyDescent="0.5">
      <c r="B42" s="52"/>
      <c r="C42" s="53"/>
      <c r="D42" s="53"/>
      <c r="E42" s="53"/>
      <c r="F42" s="53"/>
      <c r="G42" s="53"/>
      <c r="H42" s="53"/>
      <c r="I42" s="53"/>
      <c r="J42" s="53"/>
      <c r="K42" s="53"/>
      <c r="L42" s="54"/>
    </row>
  </sheetData>
  <mergeCells count="31">
    <mergeCell ref="I18:J18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I17:J17"/>
    <mergeCell ref="D30:F30"/>
    <mergeCell ref="I30:J30"/>
    <mergeCell ref="I19:J19"/>
    <mergeCell ref="I20:J20"/>
    <mergeCell ref="I21:J21"/>
    <mergeCell ref="I22:J22"/>
    <mergeCell ref="I23:J23"/>
    <mergeCell ref="I24:J24"/>
    <mergeCell ref="J32:K32"/>
    <mergeCell ref="J34:K34"/>
    <mergeCell ref="J36:K36"/>
    <mergeCell ref="I25:J25"/>
    <mergeCell ref="I26:J26"/>
    <mergeCell ref="I28:J28"/>
    <mergeCell ref="I29:J29"/>
  </mergeCells>
  <printOptions horizontalCentered="1" verticalCentered="1"/>
  <pageMargins left="0.23622047244094491" right="0.23622047244094491" top="0.51181102362204722" bottom="0.51181102362204722" header="0.31496062992125984" footer="0.31496062992125984"/>
  <pageSetup paperSize="9" scale="78" orientation="portrait" verticalDpi="300" r:id="rId1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62E3B-4840-4E4E-8A5C-1EE7C57E1AC1}">
  <sheetPr codeName="Sheet86">
    <tabColor rgb="FFFFFF00"/>
    <pageSetUpPr fitToPage="1"/>
  </sheetPr>
  <dimension ref="B1:O51"/>
  <sheetViews>
    <sheetView workbookViewId="0">
      <selection activeCell="B1" sqref="B1:L8"/>
    </sheetView>
  </sheetViews>
  <sheetFormatPr defaultColWidth="12.54296875" defaultRowHeight="18.5" x14ac:dyDescent="0.45"/>
  <cols>
    <col min="1" max="1" width="12.54296875" style="24"/>
    <col min="2" max="3" width="12.54296875" style="24" customWidth="1"/>
    <col min="4" max="4" width="14.54296875" style="24" customWidth="1"/>
    <col min="5" max="5" width="1.54296875" style="24" customWidth="1"/>
    <col min="6" max="6" width="14.54296875" style="24" customWidth="1"/>
    <col min="7" max="7" width="8.54296875" style="24" customWidth="1"/>
    <col min="8" max="8" width="15.81640625" style="24" customWidth="1"/>
    <col min="9" max="9" width="1.54296875" style="81" customWidth="1"/>
    <col min="10" max="10" width="15.54296875" style="81" customWidth="1"/>
    <col min="11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/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847</v>
      </c>
      <c r="J10" s="82" t="s">
        <v>29</v>
      </c>
      <c r="K10" s="452">
        <v>202003146</v>
      </c>
      <c r="L10" s="453"/>
    </row>
    <row r="11" spans="2:12" ht="20.149999999999999" customHeight="1" x14ac:dyDescent="0.45">
      <c r="B11" s="569" t="s">
        <v>849</v>
      </c>
      <c r="C11" s="570"/>
      <c r="D11" s="571"/>
      <c r="E11" s="30"/>
      <c r="F11" s="457" t="str">
        <f>VLOOKUP(H10,'Delivery Location'!A$4:N$416,2,0)</f>
        <v>福山满                                                101, Upper Cross Street #B1. People's Park Centre Singapore 058357</v>
      </c>
      <c r="G11" s="458"/>
      <c r="H11" s="459"/>
      <c r="J11" s="83" t="s">
        <v>11</v>
      </c>
      <c r="K11" s="551">
        <v>44077</v>
      </c>
      <c r="L11" s="472"/>
    </row>
    <row r="12" spans="2:12" ht="20.149999999999999" customHeight="1" x14ac:dyDescent="0.45">
      <c r="B12" s="468"/>
      <c r="C12" s="469"/>
      <c r="D12" s="470"/>
      <c r="E12" s="30"/>
      <c r="F12" s="460"/>
      <c r="G12" s="461"/>
      <c r="H12" s="462"/>
      <c r="J12" s="83" t="s">
        <v>171</v>
      </c>
      <c r="K12" s="471" t="s">
        <v>533</v>
      </c>
      <c r="L12" s="472"/>
    </row>
    <row r="13" spans="2:12" ht="20.149999999999999" customHeight="1" x14ac:dyDescent="0.45">
      <c r="B13" s="468"/>
      <c r="C13" s="469"/>
      <c r="D13" s="470"/>
      <c r="E13" s="30"/>
      <c r="F13" s="460"/>
      <c r="G13" s="461"/>
      <c r="H13" s="462"/>
      <c r="J13" s="83" t="s">
        <v>12</v>
      </c>
      <c r="K13" s="471" t="s">
        <v>688</v>
      </c>
      <c r="L13" s="472"/>
    </row>
    <row r="14" spans="2:12" ht="20.149999999999999" customHeight="1" x14ac:dyDescent="0.45">
      <c r="B14" s="468"/>
      <c r="C14" s="469"/>
      <c r="D14" s="470"/>
      <c r="E14" s="30"/>
      <c r="F14" s="460"/>
      <c r="G14" s="461"/>
      <c r="H14" s="462"/>
      <c r="J14" s="83" t="s">
        <v>30</v>
      </c>
      <c r="K14" s="471" t="s">
        <v>16</v>
      </c>
      <c r="L14" s="472"/>
    </row>
    <row r="15" spans="2:12" ht="18" customHeight="1" thickBot="1" x14ac:dyDescent="0.5">
      <c r="B15" s="55"/>
      <c r="C15" s="56"/>
      <c r="D15" s="57"/>
      <c r="E15" s="26"/>
      <c r="F15" s="463"/>
      <c r="G15" s="464"/>
      <c r="H15" s="465"/>
      <c r="J15" s="84" t="s">
        <v>13</v>
      </c>
      <c r="K15" s="476"/>
      <c r="L15" s="477"/>
    </row>
    <row r="16" spans="2:12" ht="19" thickBot="1" x14ac:dyDescent="0.5">
      <c r="J16" s="85"/>
    </row>
    <row r="17" spans="2:15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3"/>
      <c r="O17" s="33"/>
    </row>
    <row r="18" spans="2:15" ht="20.149999999999999" customHeight="1" x14ac:dyDescent="0.45">
      <c r="B18" s="34"/>
      <c r="C18" s="22" t="s">
        <v>612</v>
      </c>
      <c r="D18" s="508" t="e">
        <f>VLOOKUP(C18,'Sales Master'!B$3:D$499,2,)</f>
        <v>#N/A</v>
      </c>
      <c r="E18" s="508"/>
      <c r="F18" s="508"/>
      <c r="G18" s="90">
        <v>5</v>
      </c>
      <c r="H18" s="68" t="e">
        <f>VLOOKUP(C18,'Sales Master'!$B$3:$F$3179,5,0)</f>
        <v>#N/A</v>
      </c>
      <c r="I18" s="481" t="e">
        <f>VLOOKUP(C18,'Sales Master'!$B$3:$E$3179,4,0)</f>
        <v>#N/A</v>
      </c>
      <c r="J18" s="481"/>
      <c r="K18" s="35">
        <v>6.5</v>
      </c>
      <c r="L18" s="77">
        <f>K18*G18</f>
        <v>32.5</v>
      </c>
      <c r="M18" s="78"/>
    </row>
    <row r="19" spans="2:15" ht="20.149999999999999" customHeight="1" x14ac:dyDescent="0.45">
      <c r="B19" s="34"/>
      <c r="C19" s="22" t="s">
        <v>631</v>
      </c>
      <c r="D19" s="508" t="e">
        <f>VLOOKUP(C19,'Sales Master'!B$3:D$499,2,)</f>
        <v>#N/A</v>
      </c>
      <c r="E19" s="508"/>
      <c r="F19" s="508"/>
      <c r="G19" s="90">
        <v>5</v>
      </c>
      <c r="H19" s="68" t="e">
        <f>VLOOKUP(C19,'Sales Master'!$B$3:$F$3179,5,0)</f>
        <v>#N/A</v>
      </c>
      <c r="I19" s="481" t="e">
        <f>VLOOKUP(C19,'Sales Master'!$B$3:$E$3179,4,0)</f>
        <v>#N/A</v>
      </c>
      <c r="J19" s="481"/>
      <c r="K19" s="35">
        <v>5</v>
      </c>
      <c r="L19" s="77">
        <f>K19*G19</f>
        <v>25</v>
      </c>
      <c r="M19" s="78"/>
    </row>
    <row r="20" spans="2:15" ht="20.149999999999999" customHeight="1" x14ac:dyDescent="0.45">
      <c r="B20" s="34"/>
      <c r="C20" s="22"/>
      <c r="D20" s="508"/>
      <c r="E20" s="508"/>
      <c r="F20" s="508"/>
      <c r="G20" s="90"/>
      <c r="H20" s="68"/>
      <c r="I20" s="604"/>
      <c r="J20" s="604"/>
      <c r="K20" s="35"/>
      <c r="L20" s="77"/>
      <c r="M20" s="78"/>
    </row>
    <row r="21" spans="2:15" ht="20.149999999999999" customHeight="1" x14ac:dyDescent="0.45">
      <c r="B21" s="34"/>
      <c r="C21" s="22"/>
      <c r="D21" s="508"/>
      <c r="E21" s="508"/>
      <c r="F21" s="508"/>
      <c r="G21" s="90"/>
      <c r="H21" s="68"/>
      <c r="I21" s="604"/>
      <c r="J21" s="604"/>
      <c r="K21" s="35"/>
      <c r="L21" s="77"/>
      <c r="M21" s="78"/>
    </row>
    <row r="22" spans="2:15" ht="20.149999999999999" customHeight="1" x14ac:dyDescent="0.45">
      <c r="B22" s="80"/>
      <c r="C22" s="22"/>
      <c r="D22" s="508"/>
      <c r="E22" s="508"/>
      <c r="F22" s="508"/>
      <c r="G22" s="90"/>
      <c r="H22" s="68"/>
      <c r="I22" s="604"/>
      <c r="J22" s="604"/>
      <c r="K22" s="35"/>
      <c r="L22" s="77"/>
      <c r="M22" s="78"/>
    </row>
    <row r="23" spans="2:15" ht="20.149999999999999" customHeight="1" x14ac:dyDescent="0.45">
      <c r="B23" s="34"/>
      <c r="C23" s="22"/>
      <c r="D23" s="508"/>
      <c r="E23" s="508"/>
      <c r="F23" s="508"/>
      <c r="G23" s="90"/>
      <c r="H23" s="68"/>
      <c r="I23" s="604"/>
      <c r="J23" s="604"/>
      <c r="K23" s="35"/>
      <c r="L23" s="77"/>
      <c r="M23" s="78"/>
    </row>
    <row r="24" spans="2:15" ht="20.149999999999999" customHeight="1" x14ac:dyDescent="0.45">
      <c r="B24" s="34"/>
      <c r="C24" s="22"/>
      <c r="D24" s="508"/>
      <c r="E24" s="508"/>
      <c r="F24" s="508"/>
      <c r="G24" s="90"/>
      <c r="H24" s="68"/>
      <c r="I24" s="604"/>
      <c r="J24" s="604"/>
      <c r="K24" s="35"/>
      <c r="L24" s="77"/>
      <c r="M24" s="78"/>
    </row>
    <row r="25" spans="2:15" ht="20.149999999999999" customHeight="1" x14ac:dyDescent="0.45">
      <c r="B25" s="34"/>
      <c r="C25" s="22"/>
      <c r="D25" s="508"/>
      <c r="E25" s="508"/>
      <c r="F25" s="508"/>
      <c r="G25" s="90"/>
      <c r="H25" s="68"/>
      <c r="I25" s="604"/>
      <c r="J25" s="604"/>
      <c r="K25" s="35"/>
      <c r="L25" s="77"/>
      <c r="M25" s="78"/>
    </row>
    <row r="26" spans="2:15" ht="20.149999999999999" customHeight="1" x14ac:dyDescent="0.45">
      <c r="B26" s="34"/>
      <c r="C26" s="22"/>
      <c r="D26" s="508"/>
      <c r="E26" s="508"/>
      <c r="F26" s="508"/>
      <c r="G26" s="90"/>
      <c r="H26" s="68"/>
      <c r="I26" s="604"/>
      <c r="J26" s="604"/>
      <c r="K26" s="35"/>
      <c r="L26" s="77"/>
      <c r="M26" s="78"/>
    </row>
    <row r="27" spans="2:15" ht="20.149999999999999" customHeight="1" x14ac:dyDescent="0.45">
      <c r="B27" s="34"/>
      <c r="C27" s="22"/>
      <c r="D27" s="508"/>
      <c r="E27" s="508"/>
      <c r="F27" s="508"/>
      <c r="G27" s="90"/>
      <c r="H27" s="68"/>
      <c r="I27" s="604"/>
      <c r="J27" s="604"/>
      <c r="K27" s="35"/>
      <c r="L27" s="77"/>
      <c r="M27" s="78"/>
    </row>
    <row r="28" spans="2:15" ht="20.149999999999999" customHeight="1" x14ac:dyDescent="0.45">
      <c r="B28" s="34"/>
      <c r="C28" s="22"/>
      <c r="D28" s="508"/>
      <c r="E28" s="508"/>
      <c r="F28" s="508"/>
      <c r="G28" s="91"/>
      <c r="H28" s="68"/>
      <c r="I28" s="604"/>
      <c r="J28" s="604"/>
      <c r="K28" s="35"/>
      <c r="L28" s="77"/>
      <c r="M28" s="78"/>
    </row>
    <row r="29" spans="2:15" ht="20.149999999999999" customHeight="1" x14ac:dyDescent="0.45">
      <c r="B29" s="34"/>
      <c r="C29" s="22"/>
      <c r="D29" s="508"/>
      <c r="E29" s="508"/>
      <c r="F29" s="508"/>
      <c r="G29" s="91"/>
      <c r="H29" s="68"/>
      <c r="I29" s="604"/>
      <c r="J29" s="604"/>
      <c r="K29" s="35"/>
      <c r="L29" s="77"/>
      <c r="M29" s="78"/>
    </row>
    <row r="30" spans="2:15" ht="20.149999999999999" customHeight="1" x14ac:dyDescent="0.45">
      <c r="B30" s="34"/>
      <c r="C30" s="22"/>
      <c r="D30" s="508"/>
      <c r="E30" s="508"/>
      <c r="F30" s="508"/>
      <c r="G30" s="91"/>
      <c r="H30" s="68"/>
      <c r="I30" s="604"/>
      <c r="J30" s="604"/>
      <c r="K30" s="35"/>
      <c r="L30" s="77"/>
      <c r="M30" s="78"/>
    </row>
    <row r="31" spans="2:15" ht="20.149999999999999" customHeight="1" x14ac:dyDescent="0.45">
      <c r="B31" s="34"/>
      <c r="C31" s="22"/>
      <c r="D31" s="508"/>
      <c r="E31" s="508"/>
      <c r="F31" s="508"/>
      <c r="G31" s="91"/>
      <c r="H31" s="68"/>
      <c r="I31" s="604"/>
      <c r="J31" s="604"/>
      <c r="K31" s="35"/>
      <c r="L31" s="77"/>
      <c r="M31" s="78"/>
    </row>
    <row r="32" spans="2:15" ht="20.149999999999999" customHeight="1" x14ac:dyDescent="0.45">
      <c r="B32" s="34"/>
      <c r="C32" s="22"/>
      <c r="D32" s="508"/>
      <c r="E32" s="508"/>
      <c r="F32" s="508"/>
      <c r="G32" s="91"/>
      <c r="H32" s="68"/>
      <c r="I32" s="604"/>
      <c r="J32" s="604"/>
      <c r="K32" s="35"/>
      <c r="L32" s="77"/>
      <c r="M32" s="78"/>
    </row>
    <row r="33" spans="2:13" ht="20.149999999999999" customHeight="1" x14ac:dyDescent="0.45">
      <c r="B33" s="34"/>
      <c r="C33" s="22"/>
      <c r="D33" s="508"/>
      <c r="E33" s="508"/>
      <c r="F33" s="508"/>
      <c r="G33" s="91"/>
      <c r="H33" s="68"/>
      <c r="I33" s="604"/>
      <c r="J33" s="604"/>
      <c r="K33" s="35"/>
      <c r="L33" s="77"/>
      <c r="M33" s="78"/>
    </row>
    <row r="34" spans="2:13" ht="20.149999999999999" customHeight="1" x14ac:dyDescent="0.45">
      <c r="B34" s="34"/>
      <c r="C34" s="22"/>
      <c r="D34" s="508"/>
      <c r="E34" s="508"/>
      <c r="F34" s="508"/>
      <c r="G34" s="91"/>
      <c r="H34" s="68"/>
      <c r="I34" s="604"/>
      <c r="J34" s="604"/>
      <c r="K34" s="35"/>
      <c r="L34" s="77"/>
      <c r="M34" s="78"/>
    </row>
    <row r="35" spans="2:13" ht="20.149999999999999" customHeight="1" x14ac:dyDescent="0.45">
      <c r="B35" s="34"/>
      <c r="C35" s="22"/>
      <c r="G35" s="91"/>
      <c r="H35" s="68"/>
      <c r="I35" s="604"/>
      <c r="J35" s="604"/>
      <c r="K35" s="35"/>
      <c r="L35" s="77"/>
      <c r="M35" s="78"/>
    </row>
    <row r="36" spans="2:13" ht="20.149999999999999" customHeight="1" x14ac:dyDescent="0.45">
      <c r="B36" s="34"/>
      <c r="C36" s="22"/>
      <c r="D36" s="508"/>
      <c r="E36" s="508"/>
      <c r="F36" s="508"/>
      <c r="G36" s="91"/>
      <c r="H36" s="68"/>
      <c r="I36" s="604"/>
      <c r="J36" s="604"/>
      <c r="K36" s="35"/>
      <c r="L36" s="77"/>
    </row>
    <row r="37" spans="2:13" ht="20.149999999999999" customHeight="1" thickBot="1" x14ac:dyDescent="0.5">
      <c r="B37" s="37"/>
      <c r="C37" s="38"/>
      <c r="D37" s="509"/>
      <c r="E37" s="509"/>
      <c r="F37" s="509"/>
      <c r="G37" s="38"/>
      <c r="H37" s="69"/>
      <c r="I37" s="588"/>
      <c r="J37" s="588"/>
      <c r="K37" s="39"/>
      <c r="L37" s="40"/>
    </row>
    <row r="38" spans="2:13" ht="20.149999999999999" customHeight="1" thickBot="1" x14ac:dyDescent="0.5">
      <c r="B38" s="41"/>
      <c r="L38" s="42"/>
    </row>
    <row r="39" spans="2:13" ht="20.149999999999999" customHeight="1" x14ac:dyDescent="0.45">
      <c r="B39" s="11" t="s">
        <v>18</v>
      </c>
      <c r="C39" s="7"/>
      <c r="D39" s="7"/>
      <c r="E39" s="7"/>
      <c r="F39" s="7"/>
      <c r="G39" s="7"/>
      <c r="H39" s="7"/>
      <c r="I39" s="86"/>
      <c r="J39" s="510" t="s">
        <v>15</v>
      </c>
      <c r="K39" s="511"/>
      <c r="L39" s="43">
        <f>SUM(L17:L37)</f>
        <v>57.5</v>
      </c>
      <c r="M39" s="76">
        <f>166+26</f>
        <v>192</v>
      </c>
    </row>
    <row r="40" spans="2:13" ht="20.149999999999999" customHeight="1" x14ac:dyDescent="0.45">
      <c r="B40" s="11" t="s">
        <v>19</v>
      </c>
      <c r="C40" s="7"/>
      <c r="D40" s="7"/>
      <c r="E40" s="7"/>
      <c r="F40" s="7"/>
      <c r="G40" s="7"/>
      <c r="H40" s="7"/>
      <c r="I40" s="86"/>
      <c r="J40" s="44" t="s">
        <v>22</v>
      </c>
      <c r="K40" s="45"/>
      <c r="L40" s="46">
        <f>L39*K40</f>
        <v>0</v>
      </c>
    </row>
    <row r="41" spans="2:13" ht="20.149999999999999" customHeight="1" x14ac:dyDescent="0.45">
      <c r="B41" s="11" t="s">
        <v>20</v>
      </c>
      <c r="C41" s="7"/>
      <c r="D41" s="7"/>
      <c r="E41" s="7"/>
      <c r="F41" s="7"/>
      <c r="G41" s="7"/>
      <c r="H41" s="7"/>
      <c r="I41" s="86"/>
      <c r="J41" s="486" t="s">
        <v>21</v>
      </c>
      <c r="K41" s="487"/>
      <c r="L41" s="46">
        <f>L39-L40</f>
        <v>57.5</v>
      </c>
    </row>
    <row r="42" spans="2:13" ht="20.149999999999999" customHeight="1" x14ac:dyDescent="0.45">
      <c r="B42" s="11" t="s">
        <v>24</v>
      </c>
      <c r="C42" s="7"/>
      <c r="D42" s="7"/>
      <c r="E42" s="7"/>
      <c r="F42" s="7"/>
      <c r="G42" s="7"/>
      <c r="H42" s="7"/>
      <c r="I42" s="86"/>
      <c r="J42" s="150" t="s">
        <v>17</v>
      </c>
      <c r="K42" s="151">
        <v>7.0000000000000007E-2</v>
      </c>
      <c r="L42" s="47">
        <f>L41*K42</f>
        <v>4.0250000000000004</v>
      </c>
    </row>
    <row r="43" spans="2:13" ht="20.149999999999999" customHeight="1" thickBot="1" x14ac:dyDescent="0.5">
      <c r="B43" s="11" t="s">
        <v>1400</v>
      </c>
      <c r="C43" s="7"/>
      <c r="D43" s="7"/>
      <c r="E43" s="7"/>
      <c r="F43" s="7"/>
      <c r="G43" s="7"/>
      <c r="H43" s="7"/>
      <c r="I43" s="86"/>
      <c r="J43" s="488" t="s">
        <v>23</v>
      </c>
      <c r="K43" s="489"/>
      <c r="L43" s="48">
        <f>L41+L42</f>
        <v>61.524999999999999</v>
      </c>
    </row>
    <row r="44" spans="2:13" ht="20.149999999999999" customHeight="1" x14ac:dyDescent="0.45">
      <c r="B44" s="11" t="s">
        <v>26</v>
      </c>
      <c r="C44" s="7"/>
      <c r="D44" s="7"/>
      <c r="E44" s="7"/>
      <c r="F44" s="7"/>
      <c r="G44" s="7"/>
      <c r="H44" s="7"/>
      <c r="I44" s="86"/>
      <c r="L44" s="42"/>
    </row>
    <row r="45" spans="2:13" ht="20.149999999999999" customHeight="1" x14ac:dyDescent="0.45">
      <c r="B45" s="224" t="s">
        <v>1379</v>
      </c>
      <c r="L45" s="42"/>
    </row>
    <row r="46" spans="2:13" ht="20.149999999999999" customHeight="1" x14ac:dyDescent="0.45">
      <c r="B46" s="41"/>
      <c r="L46" s="42"/>
    </row>
    <row r="47" spans="2:13" ht="20.149999999999999" customHeight="1" x14ac:dyDescent="0.45">
      <c r="B47" s="41"/>
      <c r="L47" s="42"/>
    </row>
    <row r="48" spans="2:13" ht="20.149999999999999" customHeight="1" x14ac:dyDescent="0.45">
      <c r="B48" s="41"/>
      <c r="L48" s="42"/>
    </row>
    <row r="49" spans="2:12" ht="20.149999999999999" customHeight="1" x14ac:dyDescent="0.45">
      <c r="B49" s="49"/>
      <c r="C49" s="50"/>
      <c r="D49" s="50"/>
      <c r="J49" s="87"/>
      <c r="K49" s="50"/>
      <c r="L49" s="51"/>
    </row>
    <row r="50" spans="2:12" ht="20.149999999999999" customHeight="1" x14ac:dyDescent="0.45">
      <c r="B50" s="41" t="s">
        <v>27</v>
      </c>
      <c r="J50" s="81" t="s">
        <v>28</v>
      </c>
      <c r="L50" s="42"/>
    </row>
    <row r="51" spans="2:12" ht="19" thickBot="1" x14ac:dyDescent="0.5">
      <c r="B51" s="52"/>
      <c r="C51" s="53"/>
      <c r="D51" s="53"/>
      <c r="E51" s="53"/>
      <c r="F51" s="53"/>
      <c r="G51" s="53"/>
      <c r="H51" s="53"/>
      <c r="I51" s="88"/>
      <c r="J51" s="88"/>
      <c r="K51" s="53"/>
      <c r="L51" s="54"/>
    </row>
  </sheetData>
  <mergeCells count="56"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18:J18"/>
    <mergeCell ref="D20:F20"/>
    <mergeCell ref="I20:J20"/>
    <mergeCell ref="D21:F21"/>
    <mergeCell ref="I21:J21"/>
    <mergeCell ref="D19:F19"/>
    <mergeCell ref="I19:J19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I33:J33"/>
    <mergeCell ref="D28:F28"/>
    <mergeCell ref="I28:J28"/>
    <mergeCell ref="D29:F29"/>
    <mergeCell ref="I29:J29"/>
    <mergeCell ref="D30:F30"/>
    <mergeCell ref="I30:J30"/>
    <mergeCell ref="B1:L8"/>
    <mergeCell ref="D34:F34"/>
    <mergeCell ref="I34:J34"/>
    <mergeCell ref="J41:K41"/>
    <mergeCell ref="J43:K43"/>
    <mergeCell ref="I35:J35"/>
    <mergeCell ref="D36:F36"/>
    <mergeCell ref="I36:J36"/>
    <mergeCell ref="D37:F37"/>
    <mergeCell ref="I37:J37"/>
    <mergeCell ref="J39:K39"/>
    <mergeCell ref="D31:F31"/>
    <mergeCell ref="I31:J31"/>
    <mergeCell ref="D32:F32"/>
    <mergeCell ref="I32:J32"/>
    <mergeCell ref="D33:F33"/>
  </mergeCells>
  <pageMargins left="0.70866141732283505" right="0.31496062992126" top="2.1653543307086598" bottom="0" header="0.31496062992126" footer="0.31496062992126"/>
  <pageSetup paperSize="9" scale="74" orientation="portrait" verticalDpi="300" r:id="rId1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459B01-C8E1-41F9-A44E-E3D79CBCB174}">
  <sheetPr codeName="Sheet88">
    <tabColor rgb="FFFFFF00"/>
    <pageSetUpPr fitToPage="1"/>
  </sheetPr>
  <dimension ref="B1:V49"/>
  <sheetViews>
    <sheetView workbookViewId="0">
      <selection activeCell="B1" sqref="B1:L8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6.54296875" style="24" customWidth="1"/>
    <col min="7" max="7" width="8.54296875" style="24" customWidth="1"/>
    <col min="8" max="8" width="15.54296875" style="24" customWidth="1"/>
    <col min="9" max="9" width="2.54296875" style="24" customWidth="1"/>
    <col min="10" max="10" width="15.54296875" style="24" customWidth="1"/>
    <col min="11" max="11" width="10.54296875" style="24" customWidth="1"/>
    <col min="12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214</v>
      </c>
      <c r="J10" s="29" t="s">
        <v>29</v>
      </c>
      <c r="K10" s="452">
        <v>202007208</v>
      </c>
      <c r="L10" s="453"/>
    </row>
    <row r="11" spans="2:12" ht="20.149999999999999" customHeight="1" x14ac:dyDescent="0.45">
      <c r="B11" s="454" t="s">
        <v>579</v>
      </c>
      <c r="C11" s="455"/>
      <c r="D11" s="456"/>
      <c r="E11" s="30"/>
      <c r="F11" s="457" t="str">
        <f>VLOOKUP(H10,'Delivery Location'!A$4:N$416,2,0)</f>
        <v>Rasa Rasa Food Fiesta Restaurant  LLP       Block 160A, Jln Teck Whye         #01-01 Singapore 691160</v>
      </c>
      <c r="G11" s="458"/>
      <c r="H11" s="459"/>
      <c r="J11" s="31" t="s">
        <v>11</v>
      </c>
      <c r="K11" s="551" t="s">
        <v>1221</v>
      </c>
      <c r="L11" s="472"/>
    </row>
    <row r="12" spans="2:12" ht="20.149999999999999" customHeight="1" x14ac:dyDescent="0.45">
      <c r="B12" s="468" t="s">
        <v>580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533</v>
      </c>
      <c r="L12" s="472"/>
    </row>
    <row r="13" spans="2:12" ht="20.149999999999999" customHeight="1" x14ac:dyDescent="0.45">
      <c r="B13" s="468" t="s">
        <v>581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14</v>
      </c>
      <c r="L13" s="472"/>
    </row>
    <row r="14" spans="2:12" ht="20.149999999999999" customHeight="1" x14ac:dyDescent="0.45">
      <c r="B14" s="468" t="s">
        <v>563</v>
      </c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552" t="s">
        <v>582</v>
      </c>
      <c r="C15" s="474"/>
      <c r="D15" s="475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22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3"/>
      <c r="O17" s="33"/>
    </row>
    <row r="18" spans="2:22" ht="20.149999999999999" customHeight="1" x14ac:dyDescent="0.45">
      <c r="B18" s="34"/>
      <c r="C18" s="22" t="s">
        <v>367</v>
      </c>
      <c r="D18" s="508" t="e">
        <f>VLOOKUP(C18,'Sales Master'!B$3:D$499,2,)</f>
        <v>#N/A</v>
      </c>
      <c r="E18" s="508"/>
      <c r="F18" s="508"/>
      <c r="G18" s="22">
        <v>1</v>
      </c>
      <c r="H18" s="68" t="e">
        <f>VLOOKUP(C18,'Sales Master'!$B$3:$F$715,5,0)</f>
        <v>#N/A</v>
      </c>
      <c r="I18" s="481" t="str">
        <f>VLOOKUP(C18,'[2]Sales Master'!B$3:E$736,4,0)</f>
        <v>DO!</v>
      </c>
      <c r="J18" s="481"/>
      <c r="K18" s="94" t="e">
        <f>VLOOKUP(C18,'Sales Master'!B$3:T$499,19,0)</f>
        <v>#N/A</v>
      </c>
      <c r="L18" s="77" t="e">
        <f t="shared" ref="L18:L27" si="0">K18*G18</f>
        <v>#N/A</v>
      </c>
      <c r="M18" s="78"/>
      <c r="N18" s="125" t="s">
        <v>627</v>
      </c>
      <c r="O18" s="24" t="s">
        <v>341</v>
      </c>
      <c r="R18" s="24">
        <v>1</v>
      </c>
      <c r="S18" s="24" t="s">
        <v>61</v>
      </c>
      <c r="T18" s="24" t="s">
        <v>664</v>
      </c>
      <c r="V18" s="24">
        <v>12</v>
      </c>
    </row>
    <row r="19" spans="2:22" ht="20.149999999999999" customHeight="1" x14ac:dyDescent="0.45">
      <c r="B19" s="34"/>
      <c r="C19" s="22" t="s">
        <v>371</v>
      </c>
      <c r="D19" s="508" t="e">
        <f>VLOOKUP(C19,'Sales Master'!B$3:D$499,2,)</f>
        <v>#N/A</v>
      </c>
      <c r="E19" s="508"/>
      <c r="F19" s="508"/>
      <c r="G19" s="22">
        <v>2</v>
      </c>
      <c r="H19" s="68" t="e">
        <f>VLOOKUP(C19,'Sales Master'!$B$3:$F$715,5,0)</f>
        <v>#N/A</v>
      </c>
      <c r="I19" s="481" t="str">
        <f>VLOOKUP(C19,'[2]Sales Master'!B$3:E$736,4,0)</f>
        <v>DO!</v>
      </c>
      <c r="J19" s="481"/>
      <c r="K19" s="94" t="e">
        <f>VLOOKUP(C19,'Sales Master'!B$3:T$499,19,0)</f>
        <v>#N/A</v>
      </c>
      <c r="L19" s="77" t="e">
        <f t="shared" si="0"/>
        <v>#N/A</v>
      </c>
      <c r="M19" s="78"/>
      <c r="N19" s="125" t="s">
        <v>398</v>
      </c>
      <c r="O19" s="24" t="s">
        <v>336</v>
      </c>
      <c r="R19" s="24">
        <v>1</v>
      </c>
      <c r="S19" s="24" t="s">
        <v>36</v>
      </c>
      <c r="T19" s="24" t="s">
        <v>545</v>
      </c>
      <c r="V19" s="24">
        <v>16</v>
      </c>
    </row>
    <row r="20" spans="2:22" ht="20.149999999999999" customHeight="1" x14ac:dyDescent="0.45">
      <c r="B20" s="34"/>
      <c r="C20" s="22" t="s">
        <v>372</v>
      </c>
      <c r="D20" s="508" t="e">
        <f>VLOOKUP(C20,'Sales Master'!B$3:D$499,2,)</f>
        <v>#N/A</v>
      </c>
      <c r="E20" s="508"/>
      <c r="F20" s="508"/>
      <c r="G20" s="22">
        <v>3</v>
      </c>
      <c r="H20" s="68" t="e">
        <f>VLOOKUP(C20,'Sales Master'!$B$3:$F$715,5,0)</f>
        <v>#N/A</v>
      </c>
      <c r="I20" s="481" t="str">
        <f>VLOOKUP(C20,'[2]Sales Master'!B$3:E$736,4,0)</f>
        <v>DO!</v>
      </c>
      <c r="J20" s="481"/>
      <c r="K20" s="94" t="e">
        <f>VLOOKUP(C20,'Sales Master'!B$3:T$499,19,0)</f>
        <v>#N/A</v>
      </c>
      <c r="L20" s="77" t="e">
        <f t="shared" si="0"/>
        <v>#N/A</v>
      </c>
      <c r="M20" s="78"/>
      <c r="N20" s="125"/>
    </row>
    <row r="21" spans="2:22" ht="20.149999999999999" customHeight="1" x14ac:dyDescent="0.45">
      <c r="B21" s="34"/>
      <c r="C21" s="22" t="s">
        <v>375</v>
      </c>
      <c r="D21" s="508" t="e">
        <f>VLOOKUP(C21,'Sales Master'!B$3:D$499,2,)</f>
        <v>#N/A</v>
      </c>
      <c r="E21" s="508"/>
      <c r="F21" s="508"/>
      <c r="G21" s="22">
        <v>1</v>
      </c>
      <c r="H21" s="68" t="e">
        <f>VLOOKUP(C21,'Sales Master'!$B$3:$F$715,5,0)</f>
        <v>#N/A</v>
      </c>
      <c r="I21" s="481" t="str">
        <f>VLOOKUP(C21,'[2]Sales Master'!B$3:E$736,4,0)</f>
        <v>DO!</v>
      </c>
      <c r="J21" s="481"/>
      <c r="K21" s="94" t="e">
        <f>VLOOKUP(C21,'Sales Master'!B$3:T$499,19,0)</f>
        <v>#N/A</v>
      </c>
      <c r="L21" s="77" t="e">
        <f t="shared" si="0"/>
        <v>#N/A</v>
      </c>
      <c r="M21" s="78"/>
      <c r="N21" s="125"/>
    </row>
    <row r="22" spans="2:22" ht="20.149999999999999" customHeight="1" x14ac:dyDescent="0.45">
      <c r="B22" s="34"/>
      <c r="C22" s="22" t="s">
        <v>612</v>
      </c>
      <c r="D22" s="508" t="e">
        <f>VLOOKUP(C22,'Sales Master'!B$3:D$499,2,)</f>
        <v>#N/A</v>
      </c>
      <c r="E22" s="508"/>
      <c r="F22" s="508"/>
      <c r="G22" s="22">
        <v>2</v>
      </c>
      <c r="H22" s="68" t="e">
        <f>VLOOKUP(C22,'Sales Master'!$B$3:$F$715,5,0)</f>
        <v>#N/A</v>
      </c>
      <c r="I22" s="481" t="str">
        <f>VLOOKUP(C22,'[2]Sales Master'!B$3:E$736,4,0)</f>
        <v>DO!</v>
      </c>
      <c r="J22" s="481"/>
      <c r="K22" s="94" t="e">
        <f>VLOOKUP(C22,'Sales Master'!B$3:T$499,19,0)</f>
        <v>#N/A</v>
      </c>
      <c r="L22" s="77" t="e">
        <f t="shared" si="0"/>
        <v>#N/A</v>
      </c>
      <c r="M22" s="78"/>
      <c r="N22" s="125" t="s">
        <v>367</v>
      </c>
      <c r="O22" s="24" t="s">
        <v>270</v>
      </c>
    </row>
    <row r="23" spans="2:22" ht="20.149999999999999" customHeight="1" x14ac:dyDescent="0.45">
      <c r="B23" s="34"/>
      <c r="C23" s="22" t="s">
        <v>627</v>
      </c>
      <c r="D23" s="508" t="e">
        <f>VLOOKUP(C23,'Sales Master'!B$3:D$499,2,)</f>
        <v>#N/A</v>
      </c>
      <c r="E23" s="508"/>
      <c r="F23" s="508"/>
      <c r="G23" s="22">
        <v>1</v>
      </c>
      <c r="H23" s="68" t="e">
        <f>VLOOKUP(C23,'Sales Master'!$B$3:$F$715,5,0)</f>
        <v>#N/A</v>
      </c>
      <c r="I23" s="481" t="str">
        <f>VLOOKUP(C23,'[2]Sales Master'!B$3:E$736,4,0)</f>
        <v>DO!</v>
      </c>
      <c r="J23" s="481"/>
      <c r="K23" s="94" t="e">
        <f>VLOOKUP(C23,'Sales Master'!B$3:T$499,19,0)</f>
        <v>#N/A</v>
      </c>
      <c r="L23" s="77" t="e">
        <f t="shared" si="0"/>
        <v>#N/A</v>
      </c>
      <c r="M23" s="78"/>
      <c r="N23" s="125" t="s">
        <v>371</v>
      </c>
      <c r="O23" s="24" t="s">
        <v>272</v>
      </c>
    </row>
    <row r="24" spans="2:22" ht="20.149999999999999" customHeight="1" x14ac:dyDescent="0.45">
      <c r="B24" s="34"/>
      <c r="C24" s="22" t="s">
        <v>629</v>
      </c>
      <c r="D24" s="508" t="e">
        <f>VLOOKUP(C24,'Sales Master'!B$3:D$499,2,)</f>
        <v>#N/A</v>
      </c>
      <c r="E24" s="508"/>
      <c r="F24" s="508"/>
      <c r="G24" s="22">
        <v>1</v>
      </c>
      <c r="H24" s="68" t="e">
        <f>VLOOKUP(C24,'Sales Master'!$B$3:$F$715,5,0)</f>
        <v>#N/A</v>
      </c>
      <c r="I24" s="481" t="str">
        <f>VLOOKUP(C24,'[2]Sales Master'!B$3:E$736,4,0)</f>
        <v>-</v>
      </c>
      <c r="J24" s="481"/>
      <c r="K24" s="94" t="e">
        <f>VLOOKUP(C24,'Sales Master'!B$3:T$499,19,0)</f>
        <v>#N/A</v>
      </c>
      <c r="L24" s="77" t="e">
        <f t="shared" si="0"/>
        <v>#N/A</v>
      </c>
      <c r="M24" s="78"/>
      <c r="N24" s="125" t="s">
        <v>372</v>
      </c>
      <c r="O24" s="24" t="s">
        <v>273</v>
      </c>
    </row>
    <row r="25" spans="2:22" ht="20.149999999999999" customHeight="1" x14ac:dyDescent="0.45">
      <c r="B25" s="34"/>
      <c r="C25" s="22" t="s">
        <v>631</v>
      </c>
      <c r="D25" s="508" t="e">
        <f>VLOOKUP(C25,'Sales Master'!B$3:D$499,2,)</f>
        <v>#N/A</v>
      </c>
      <c r="E25" s="508"/>
      <c r="F25" s="508"/>
      <c r="G25" s="22">
        <v>2</v>
      </c>
      <c r="H25" s="68" t="e">
        <f>VLOOKUP(C25,'Sales Master'!$B$3:$F$715,5,0)</f>
        <v>#N/A</v>
      </c>
      <c r="I25" s="481" t="str">
        <f>VLOOKUP(C25,'[2]Sales Master'!B$3:E$736,4,0)</f>
        <v>-</v>
      </c>
      <c r="J25" s="481"/>
      <c r="K25" s="94" t="e">
        <f>VLOOKUP(C25,'Sales Master'!B$3:T$499,19,0)</f>
        <v>#N/A</v>
      </c>
      <c r="L25" s="77" t="e">
        <f t="shared" si="0"/>
        <v>#N/A</v>
      </c>
      <c r="M25" s="78"/>
      <c r="N25" s="125" t="s">
        <v>631</v>
      </c>
      <c r="O25" s="24" t="s">
        <v>283</v>
      </c>
    </row>
    <row r="26" spans="2:22" ht="20.149999999999999" customHeight="1" x14ac:dyDescent="0.45">
      <c r="B26" s="34"/>
      <c r="C26" s="197" t="s">
        <v>398</v>
      </c>
      <c r="D26" s="508" t="e">
        <f>VLOOKUP(C26,'Sales Master'!B$3:D$499,2,)</f>
        <v>#N/A</v>
      </c>
      <c r="E26" s="508"/>
      <c r="F26" s="508"/>
      <c r="G26" s="22">
        <v>1</v>
      </c>
      <c r="H26" s="68" t="e">
        <f>VLOOKUP(C26,'Sales Master'!$B$3:$F$715,5,0)</f>
        <v>#N/A</v>
      </c>
      <c r="I26" s="481" t="str">
        <f>VLOOKUP(C26,'[2]Sales Master'!B$3:E$736,4,0)</f>
        <v>-</v>
      </c>
      <c r="J26" s="481"/>
      <c r="K26" s="94" t="e">
        <f>VLOOKUP(C26,'Sales Master'!B$3:T$499,19,0)</f>
        <v>#N/A</v>
      </c>
      <c r="L26" s="77" t="e">
        <f t="shared" si="0"/>
        <v>#N/A</v>
      </c>
      <c r="M26" s="78"/>
      <c r="N26" s="125" t="s">
        <v>375</v>
      </c>
      <c r="O26" s="24" t="s">
        <v>343</v>
      </c>
    </row>
    <row r="27" spans="2:22" ht="20.149999999999999" customHeight="1" x14ac:dyDescent="0.45">
      <c r="B27" s="34"/>
      <c r="C27" s="22" t="s">
        <v>438</v>
      </c>
      <c r="D27" s="508" t="e">
        <f>VLOOKUP(C27,'Sales Master'!B$3:D$499,2,)</f>
        <v>#N/A</v>
      </c>
      <c r="E27" s="508"/>
      <c r="F27" s="508"/>
      <c r="G27" s="22">
        <v>5</v>
      </c>
      <c r="H27" s="68" t="e">
        <f>VLOOKUP(C27,'Sales Master'!$B$3:$F$715,5,0)</f>
        <v>#N/A</v>
      </c>
      <c r="I27" s="481" t="str">
        <f>VLOOKUP(C27,'[2]Sales Master'!B$3:E$736,4,0)</f>
        <v>Yit Hong</v>
      </c>
      <c r="J27" s="481"/>
      <c r="K27" s="94" t="e">
        <f>VLOOKUP(C27,'Sales Master'!B$3:T$499,19,0)</f>
        <v>#N/A</v>
      </c>
      <c r="L27" s="77" t="e">
        <f t="shared" si="0"/>
        <v>#N/A</v>
      </c>
      <c r="M27" s="78"/>
      <c r="N27" s="125" t="s">
        <v>438</v>
      </c>
      <c r="O27" s="24" t="s">
        <v>287</v>
      </c>
    </row>
    <row r="28" spans="2:22" ht="20.149999999999999" customHeight="1" x14ac:dyDescent="0.45">
      <c r="B28" s="34"/>
      <c r="C28" s="22"/>
      <c r="D28" s="508"/>
      <c r="E28" s="508"/>
      <c r="F28" s="508"/>
      <c r="G28" s="22"/>
      <c r="H28" s="68"/>
      <c r="I28" s="481"/>
      <c r="J28" s="481"/>
      <c r="K28" s="98"/>
      <c r="L28" s="99"/>
      <c r="M28" s="78"/>
      <c r="N28" s="147" t="s">
        <v>441</v>
      </c>
      <c r="O28" s="24" t="s">
        <v>289</v>
      </c>
      <c r="R28" s="24">
        <v>1</v>
      </c>
      <c r="S28" s="24" t="s">
        <v>706</v>
      </c>
      <c r="T28" s="24" t="s">
        <v>48</v>
      </c>
      <c r="V28" s="24">
        <v>32</v>
      </c>
    </row>
    <row r="29" spans="2:22" ht="20.149999999999999" customHeight="1" x14ac:dyDescent="0.45">
      <c r="B29" s="34"/>
      <c r="C29" s="22"/>
      <c r="G29" s="22"/>
      <c r="H29" s="68"/>
      <c r="I29" s="68"/>
      <c r="J29" s="68"/>
      <c r="K29" s="98"/>
      <c r="L29" s="99"/>
      <c r="M29" s="78"/>
      <c r="N29" s="147"/>
    </row>
    <row r="30" spans="2:22" ht="20.149999999999999" customHeight="1" x14ac:dyDescent="0.45">
      <c r="B30" s="34"/>
      <c r="C30" s="22"/>
      <c r="G30" s="22"/>
      <c r="H30" s="68"/>
      <c r="I30" s="68"/>
      <c r="J30" s="68"/>
      <c r="K30" s="98"/>
      <c r="L30" s="99"/>
      <c r="M30" s="78"/>
      <c r="N30" s="147"/>
    </row>
    <row r="31" spans="2:22" ht="20.149999999999999" customHeight="1" x14ac:dyDescent="0.45">
      <c r="B31" s="34"/>
      <c r="C31" s="22"/>
      <c r="D31" s="508"/>
      <c r="E31" s="508"/>
      <c r="F31" s="508"/>
      <c r="G31" s="22"/>
      <c r="H31" s="68"/>
      <c r="I31" s="481"/>
      <c r="J31" s="481"/>
      <c r="K31" s="98"/>
      <c r="L31" s="99"/>
      <c r="M31" s="78"/>
    </row>
    <row r="32" spans="2:22" ht="20.149999999999999" customHeight="1" x14ac:dyDescent="0.45">
      <c r="B32" s="34"/>
      <c r="C32" s="22"/>
      <c r="D32" s="508"/>
      <c r="E32" s="508"/>
      <c r="F32" s="508"/>
      <c r="G32" s="22"/>
      <c r="H32" s="68"/>
      <c r="I32" s="450"/>
      <c r="J32" s="450"/>
      <c r="K32" s="94"/>
      <c r="L32" s="77"/>
      <c r="M32" s="78"/>
    </row>
    <row r="33" spans="2:13" ht="20.149999999999999" customHeight="1" x14ac:dyDescent="0.45">
      <c r="B33" s="34"/>
      <c r="C33" s="22"/>
      <c r="D33" s="508"/>
      <c r="E33" s="508"/>
      <c r="F33" s="508"/>
      <c r="G33" s="22"/>
      <c r="H33" s="68"/>
      <c r="I33" s="450"/>
      <c r="J33" s="450"/>
      <c r="K33" s="94"/>
      <c r="L33" s="77"/>
      <c r="M33" s="78"/>
    </row>
    <row r="34" spans="2:13" ht="20.149999999999999" customHeight="1" x14ac:dyDescent="0.45">
      <c r="B34" s="34"/>
      <c r="C34" s="22"/>
      <c r="D34" s="508"/>
      <c r="E34" s="508"/>
      <c r="F34" s="508"/>
      <c r="G34" s="22"/>
      <c r="H34" s="68"/>
      <c r="I34" s="450"/>
      <c r="J34" s="450"/>
      <c r="K34" s="94"/>
      <c r="L34" s="77"/>
    </row>
    <row r="35" spans="2:13" ht="20.149999999999999" customHeight="1" thickBot="1" x14ac:dyDescent="0.5">
      <c r="B35" s="37"/>
      <c r="C35" s="38"/>
      <c r="D35" s="509"/>
      <c r="E35" s="509"/>
      <c r="F35" s="509"/>
      <c r="G35" s="38"/>
      <c r="H35" s="69"/>
      <c r="I35" s="451"/>
      <c r="J35" s="451"/>
      <c r="K35" s="39"/>
      <c r="L35" s="40"/>
    </row>
    <row r="36" spans="2:13" ht="20.149999999999999" customHeight="1" thickBot="1" x14ac:dyDescent="0.5">
      <c r="B36" s="41"/>
      <c r="L36" s="42"/>
    </row>
    <row r="37" spans="2:13" ht="20.149999999999999" customHeight="1" x14ac:dyDescent="0.45">
      <c r="B37" s="11" t="s">
        <v>18</v>
      </c>
      <c r="C37" s="7"/>
      <c r="D37" s="7"/>
      <c r="E37" s="7"/>
      <c r="F37" s="7"/>
      <c r="G37" s="7"/>
      <c r="H37" s="7"/>
      <c r="I37" s="7"/>
      <c r="J37" s="510" t="s">
        <v>15</v>
      </c>
      <c r="K37" s="511"/>
      <c r="L37" s="43" t="e">
        <f>SUM(L17:L34)</f>
        <v>#N/A</v>
      </c>
      <c r="M37" s="76">
        <f>166+26</f>
        <v>192</v>
      </c>
    </row>
    <row r="38" spans="2:13" ht="20.149999999999999" customHeight="1" x14ac:dyDescent="0.45">
      <c r="B38" s="11" t="s">
        <v>19</v>
      </c>
      <c r="C38" s="7"/>
      <c r="D38" s="7"/>
      <c r="E38" s="7"/>
      <c r="F38" s="7"/>
      <c r="G38" s="7"/>
      <c r="H38" s="7"/>
      <c r="I38" s="7"/>
      <c r="J38" s="44" t="s">
        <v>22</v>
      </c>
      <c r="K38" s="45"/>
      <c r="L38" s="46" t="e">
        <f>L37*K38</f>
        <v>#N/A</v>
      </c>
    </row>
    <row r="39" spans="2:13" ht="20.149999999999999" customHeight="1" x14ac:dyDescent="0.45">
      <c r="B39" s="11" t="s">
        <v>20</v>
      </c>
      <c r="C39" s="7"/>
      <c r="D39" s="7"/>
      <c r="E39" s="7"/>
      <c r="F39" s="7"/>
      <c r="G39" s="7"/>
      <c r="H39" s="7"/>
      <c r="I39" s="7"/>
      <c r="J39" s="486" t="s">
        <v>21</v>
      </c>
      <c r="K39" s="487"/>
      <c r="L39" s="46" t="e">
        <f>L37-L38</f>
        <v>#N/A</v>
      </c>
    </row>
    <row r="40" spans="2:13" ht="20.149999999999999" customHeight="1" x14ac:dyDescent="0.45">
      <c r="B40" s="11" t="s">
        <v>24</v>
      </c>
      <c r="C40" s="7"/>
      <c r="D40" s="7"/>
      <c r="E40" s="7"/>
      <c r="F40" s="7"/>
      <c r="G40" s="7"/>
      <c r="H40" s="7"/>
      <c r="I40" s="7"/>
      <c r="J40" s="150" t="s">
        <v>17</v>
      </c>
      <c r="K40" s="151">
        <v>7.0000000000000007E-2</v>
      </c>
      <c r="L40" s="47" t="e">
        <f>L39*K40</f>
        <v>#N/A</v>
      </c>
    </row>
    <row r="41" spans="2:13" ht="20.149999999999999" customHeight="1" thickBot="1" x14ac:dyDescent="0.5">
      <c r="B41" s="11" t="s">
        <v>1400</v>
      </c>
      <c r="C41" s="7"/>
      <c r="D41" s="7"/>
      <c r="E41" s="7"/>
      <c r="F41" s="7"/>
      <c r="G41" s="7"/>
      <c r="H41" s="7"/>
      <c r="I41" s="7"/>
      <c r="J41" s="488" t="s">
        <v>23</v>
      </c>
      <c r="K41" s="489"/>
      <c r="L41" s="48" t="e">
        <f>L39+L40</f>
        <v>#N/A</v>
      </c>
    </row>
    <row r="42" spans="2:13" ht="20.149999999999999" customHeight="1" x14ac:dyDescent="0.45">
      <c r="B42" s="11" t="s">
        <v>26</v>
      </c>
      <c r="C42" s="7"/>
      <c r="D42" s="7"/>
      <c r="E42" s="7"/>
      <c r="F42" s="7"/>
      <c r="G42" s="7"/>
      <c r="H42" s="7"/>
      <c r="I42" s="7"/>
      <c r="L42" s="42"/>
    </row>
    <row r="43" spans="2:13" ht="20.149999999999999" customHeight="1" x14ac:dyDescent="0.45">
      <c r="B43" s="224" t="s">
        <v>1379</v>
      </c>
      <c r="L43" s="42"/>
    </row>
    <row r="44" spans="2:13" ht="20.149999999999999" customHeight="1" x14ac:dyDescent="0.45">
      <c r="B44" s="41"/>
      <c r="L44" s="42"/>
    </row>
    <row r="45" spans="2:13" ht="20.149999999999999" customHeight="1" x14ac:dyDescent="0.45">
      <c r="B45" s="41"/>
      <c r="L45" s="42"/>
    </row>
    <row r="46" spans="2:13" ht="20.149999999999999" customHeight="1" x14ac:dyDescent="0.45">
      <c r="B46" s="41"/>
      <c r="L46" s="42"/>
    </row>
    <row r="47" spans="2:13" ht="20.149999999999999" customHeight="1" x14ac:dyDescent="0.45">
      <c r="B47" s="49"/>
      <c r="C47" s="50"/>
      <c r="D47" s="50"/>
      <c r="J47" s="50"/>
      <c r="K47" s="50"/>
      <c r="L47" s="51"/>
    </row>
    <row r="48" spans="2:13" ht="20.149999999999999" customHeight="1" x14ac:dyDescent="0.45">
      <c r="B48" s="41" t="s">
        <v>27</v>
      </c>
      <c r="J48" s="24" t="s">
        <v>28</v>
      </c>
      <c r="L48" s="42"/>
    </row>
    <row r="49" spans="2:12" ht="19" thickBot="1" x14ac:dyDescent="0.5">
      <c r="B49" s="52"/>
      <c r="C49" s="53"/>
      <c r="D49" s="53"/>
      <c r="E49" s="53"/>
      <c r="F49" s="53"/>
      <c r="G49" s="53"/>
      <c r="H49" s="53"/>
      <c r="I49" s="53"/>
      <c r="J49" s="53"/>
      <c r="K49" s="53"/>
      <c r="L49" s="54"/>
    </row>
  </sheetData>
  <mergeCells count="50">
    <mergeCell ref="J37:K37"/>
    <mergeCell ref="J39:K39"/>
    <mergeCell ref="J41:K41"/>
    <mergeCell ref="B15:D15"/>
    <mergeCell ref="D33:F33"/>
    <mergeCell ref="I33:J33"/>
    <mergeCell ref="D34:F34"/>
    <mergeCell ref="I34:J34"/>
    <mergeCell ref="D35:F35"/>
    <mergeCell ref="I35:J35"/>
    <mergeCell ref="D32:F32"/>
    <mergeCell ref="D31:F31"/>
    <mergeCell ref="I31:J31"/>
    <mergeCell ref="I32:J32"/>
    <mergeCell ref="D26:F26"/>
    <mergeCell ref="I26:J26"/>
    <mergeCell ref="D27:F27"/>
    <mergeCell ref="I27:J27"/>
    <mergeCell ref="D28:F28"/>
    <mergeCell ref="I28:J28"/>
    <mergeCell ref="D24:F24"/>
    <mergeCell ref="I24:J24"/>
    <mergeCell ref="D25:F25"/>
    <mergeCell ref="I25:J25"/>
    <mergeCell ref="D19:F19"/>
    <mergeCell ref="I19:J19"/>
    <mergeCell ref="D23:F23"/>
    <mergeCell ref="I23:J23"/>
    <mergeCell ref="D22:F22"/>
    <mergeCell ref="I22:J22"/>
    <mergeCell ref="D20:F20"/>
    <mergeCell ref="I20:J20"/>
    <mergeCell ref="D21:F21"/>
    <mergeCell ref="I21:J21"/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18:J18"/>
  </mergeCells>
  <pageMargins left="0.70866141732283472" right="0.31496062992125984" top="0.59055118110236227" bottom="0" header="0.31496062992125984" footer="0.31496062992125984"/>
  <pageSetup paperSize="9" scale="75" orientation="portrait" verticalDpi="300" r:id="rId1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56B327-BBF6-4A56-B182-7B3C42ABAAF7}">
  <sheetPr codeName="Sheet94">
    <tabColor rgb="FFFFFF00"/>
    <pageSetUpPr fitToPage="1"/>
  </sheetPr>
  <dimension ref="B1:V55"/>
  <sheetViews>
    <sheetView workbookViewId="0">
      <selection activeCell="B1" sqref="B1:L8"/>
    </sheetView>
  </sheetViews>
  <sheetFormatPr defaultColWidth="12.54296875" defaultRowHeight="18.5" x14ac:dyDescent="0.45"/>
  <cols>
    <col min="1" max="1" width="12.54296875" style="24"/>
    <col min="2" max="3" width="12.54296875" style="24" customWidth="1"/>
    <col min="4" max="4" width="14.54296875" style="24" customWidth="1"/>
    <col min="5" max="5" width="1.54296875" style="24" customWidth="1"/>
    <col min="6" max="6" width="17.1796875" style="24" customWidth="1"/>
    <col min="7" max="7" width="8.54296875" style="24" customWidth="1"/>
    <col min="8" max="8" width="15.54296875" style="24" customWidth="1"/>
    <col min="9" max="9" width="2.1796875" style="81" customWidth="1"/>
    <col min="10" max="10" width="15.54296875" style="81" customWidth="1"/>
    <col min="11" max="11" width="10.54296875" style="24" customWidth="1"/>
    <col min="12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912</v>
      </c>
      <c r="J10" s="82" t="s">
        <v>29</v>
      </c>
      <c r="K10" s="452">
        <v>202009178</v>
      </c>
      <c r="L10" s="453"/>
    </row>
    <row r="11" spans="2:12" ht="20.149999999999999" customHeight="1" x14ac:dyDescent="0.45">
      <c r="B11" s="454" t="s">
        <v>914</v>
      </c>
      <c r="C11" s="455"/>
      <c r="D11" s="456"/>
      <c r="E11" s="30"/>
      <c r="F11" s="457" t="str">
        <f>VLOOKUP(H10,'Delivery Location'!A$4:N$416,2,0)</f>
        <v>CHEF RICKSON'S KITCHEN (Ally)                  200, Turf Club Road Singapore 287994</v>
      </c>
      <c r="G11" s="458"/>
      <c r="H11" s="459"/>
      <c r="J11" s="83" t="s">
        <v>11</v>
      </c>
      <c r="K11" s="551">
        <v>44113</v>
      </c>
      <c r="L11" s="472"/>
    </row>
    <row r="12" spans="2:12" ht="20.149999999999999" customHeight="1" x14ac:dyDescent="0.45">
      <c r="B12" s="468" t="s">
        <v>915</v>
      </c>
      <c r="C12" s="469"/>
      <c r="D12" s="470"/>
      <c r="E12" s="30"/>
      <c r="F12" s="460"/>
      <c r="G12" s="461"/>
      <c r="H12" s="462"/>
      <c r="J12" s="83" t="s">
        <v>171</v>
      </c>
      <c r="K12" s="471" t="s">
        <v>533</v>
      </c>
      <c r="L12" s="472"/>
    </row>
    <row r="13" spans="2:12" ht="20.149999999999999" customHeight="1" x14ac:dyDescent="0.45">
      <c r="B13" s="468"/>
      <c r="C13" s="469"/>
      <c r="D13" s="470"/>
      <c r="E13" s="30"/>
      <c r="F13" s="460"/>
      <c r="G13" s="461"/>
      <c r="H13" s="462"/>
      <c r="J13" s="83" t="s">
        <v>12</v>
      </c>
      <c r="K13" s="471" t="s">
        <v>688</v>
      </c>
      <c r="L13" s="472"/>
    </row>
    <row r="14" spans="2:12" ht="20.149999999999999" customHeight="1" x14ac:dyDescent="0.45">
      <c r="B14" s="468"/>
      <c r="C14" s="469"/>
      <c r="D14" s="470"/>
      <c r="E14" s="30"/>
      <c r="F14" s="460"/>
      <c r="G14" s="461"/>
      <c r="H14" s="462"/>
      <c r="J14" s="83" t="s">
        <v>30</v>
      </c>
      <c r="K14" s="471" t="s">
        <v>16</v>
      </c>
      <c r="L14" s="472"/>
    </row>
    <row r="15" spans="2:12" ht="18" customHeight="1" thickBot="1" x14ac:dyDescent="0.5">
      <c r="B15" s="55"/>
      <c r="C15" s="56"/>
      <c r="D15" s="57"/>
      <c r="E15" s="26"/>
      <c r="F15" s="463"/>
      <c r="G15" s="464"/>
      <c r="H15" s="465"/>
      <c r="J15" s="84" t="s">
        <v>13</v>
      </c>
      <c r="K15" s="476"/>
      <c r="L15" s="477"/>
    </row>
    <row r="16" spans="2:12" ht="19" thickBot="1" x14ac:dyDescent="0.5">
      <c r="J16" s="85"/>
    </row>
    <row r="17" spans="2:22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3"/>
      <c r="O17" s="33"/>
    </row>
    <row r="18" spans="2:22" ht="20.149999999999999" customHeight="1" x14ac:dyDescent="0.45">
      <c r="B18" s="34"/>
      <c r="C18" s="22" t="s">
        <v>394</v>
      </c>
      <c r="D18" s="508" t="e">
        <f>VLOOKUP(C18,'Sales Master'!B$3:D$499,2,)</f>
        <v>#N/A</v>
      </c>
      <c r="E18" s="508"/>
      <c r="F18" s="508"/>
      <c r="G18" s="22">
        <v>24</v>
      </c>
      <c r="H18" s="68" t="e">
        <f>VLOOKUP(C18,'Sales Master'!$B$3:$F$3179,5,0)</f>
        <v>#N/A</v>
      </c>
      <c r="I18" s="481" t="e">
        <f>VLOOKUP(C18,'Sales Master'!$B$3:$E$3179,4,0)</f>
        <v>#N/A</v>
      </c>
      <c r="J18" s="481"/>
      <c r="K18" s="35" t="e">
        <f>VLOOKUP(C18,'Sales Master'!B$3:AA$499,26,0)</f>
        <v>#N/A</v>
      </c>
      <c r="L18" s="77" t="e">
        <f>K18*G18</f>
        <v>#N/A</v>
      </c>
      <c r="M18" s="78"/>
      <c r="N18" s="125" t="s">
        <v>447</v>
      </c>
      <c r="O18" s="24" t="s">
        <v>459</v>
      </c>
      <c r="R18" s="24">
        <v>2</v>
      </c>
      <c r="S18" s="24" t="s">
        <v>260</v>
      </c>
      <c r="T18" s="24" t="s">
        <v>709</v>
      </c>
      <c r="V18" s="24">
        <v>32</v>
      </c>
    </row>
    <row r="19" spans="2:22" ht="20.149999999999999" customHeight="1" x14ac:dyDescent="0.45">
      <c r="B19" s="34"/>
      <c r="C19" s="22"/>
      <c r="D19" s="508"/>
      <c r="E19" s="508"/>
      <c r="F19" s="508"/>
      <c r="G19" s="22"/>
      <c r="H19" s="68"/>
      <c r="I19" s="481"/>
      <c r="J19" s="481"/>
      <c r="K19" s="35"/>
      <c r="L19" s="123"/>
      <c r="N19" s="24" t="s">
        <v>438</v>
      </c>
      <c r="O19" s="24" t="s">
        <v>287</v>
      </c>
      <c r="R19" s="24">
        <v>2</v>
      </c>
      <c r="S19" s="24" t="s">
        <v>527</v>
      </c>
    </row>
    <row r="20" spans="2:22" ht="20.149999999999999" customHeight="1" x14ac:dyDescent="0.45">
      <c r="B20" s="34"/>
      <c r="C20" s="22"/>
      <c r="D20" s="508"/>
      <c r="E20" s="508"/>
      <c r="F20" s="508"/>
      <c r="G20" s="22"/>
      <c r="H20" s="68"/>
      <c r="I20" s="481"/>
      <c r="J20" s="481"/>
      <c r="K20" s="35"/>
      <c r="L20" s="123"/>
      <c r="M20" s="78"/>
      <c r="N20" s="24" t="s">
        <v>417</v>
      </c>
      <c r="O20" s="24" t="s">
        <v>313</v>
      </c>
      <c r="R20" s="24">
        <v>1</v>
      </c>
      <c r="S20" s="24" t="s">
        <v>649</v>
      </c>
    </row>
    <row r="21" spans="2:22" ht="20.149999999999999" customHeight="1" x14ac:dyDescent="0.45">
      <c r="B21" s="34"/>
      <c r="C21" s="22"/>
      <c r="D21" s="508"/>
      <c r="E21" s="508"/>
      <c r="F21" s="508"/>
      <c r="G21" s="22"/>
      <c r="H21" s="68"/>
      <c r="I21" s="481"/>
      <c r="J21" s="481"/>
      <c r="K21" s="35"/>
      <c r="L21" s="123"/>
      <c r="M21" s="78"/>
      <c r="N21" s="24" t="s">
        <v>425</v>
      </c>
      <c r="O21" s="24" t="s">
        <v>321</v>
      </c>
      <c r="R21" s="24">
        <v>10</v>
      </c>
      <c r="S21" s="24" t="s">
        <v>257</v>
      </c>
      <c r="T21" s="24" t="s">
        <v>686</v>
      </c>
    </row>
    <row r="22" spans="2:22" ht="20.149999999999999" customHeight="1" x14ac:dyDescent="0.45">
      <c r="B22" s="34"/>
      <c r="C22" s="22"/>
      <c r="D22" s="508"/>
      <c r="E22" s="508"/>
      <c r="F22" s="508"/>
      <c r="G22" s="22"/>
      <c r="H22" s="68"/>
      <c r="I22" s="481"/>
      <c r="J22" s="481"/>
      <c r="K22" s="35"/>
      <c r="L22" s="123"/>
      <c r="M22" s="78"/>
      <c r="N22" s="24" t="s">
        <v>453</v>
      </c>
      <c r="O22" s="24" t="s">
        <v>328</v>
      </c>
      <c r="R22" s="24">
        <v>2</v>
      </c>
      <c r="S22" s="24" t="s">
        <v>59</v>
      </c>
    </row>
    <row r="23" spans="2:22" ht="20.149999999999999" customHeight="1" x14ac:dyDescent="0.45">
      <c r="B23" s="34"/>
      <c r="C23" s="22"/>
      <c r="D23" s="508"/>
      <c r="E23" s="508"/>
      <c r="F23" s="508"/>
      <c r="G23" s="22"/>
      <c r="H23" s="68"/>
      <c r="I23" s="481"/>
      <c r="J23" s="481"/>
      <c r="K23" s="35"/>
      <c r="L23" s="123"/>
      <c r="M23" s="78"/>
      <c r="N23" s="24" t="s">
        <v>386</v>
      </c>
      <c r="O23" s="24" t="s">
        <v>284</v>
      </c>
      <c r="R23" s="24">
        <v>1</v>
      </c>
      <c r="S23" s="24" t="s">
        <v>36</v>
      </c>
      <c r="T23" s="24" t="s">
        <v>740</v>
      </c>
    </row>
    <row r="24" spans="2:22" ht="18" customHeight="1" x14ac:dyDescent="0.45">
      <c r="B24" s="34"/>
      <c r="C24" s="22"/>
      <c r="D24" s="508"/>
      <c r="E24" s="508"/>
      <c r="F24" s="508"/>
      <c r="G24" s="22"/>
      <c r="H24" s="68"/>
      <c r="I24" s="481"/>
      <c r="J24" s="481"/>
      <c r="K24" s="35"/>
      <c r="L24" s="123"/>
      <c r="M24" s="78"/>
      <c r="N24" s="24" t="s">
        <v>382</v>
      </c>
      <c r="O24" s="24" t="s">
        <v>285</v>
      </c>
      <c r="R24" s="24">
        <v>1</v>
      </c>
      <c r="S24" s="24" t="s">
        <v>535</v>
      </c>
      <c r="T24" s="24" t="s">
        <v>534</v>
      </c>
    </row>
    <row r="25" spans="2:22" ht="20.149999999999999" customHeight="1" x14ac:dyDescent="0.45">
      <c r="B25" s="34"/>
      <c r="C25" s="22"/>
      <c r="D25" s="508"/>
      <c r="E25" s="508"/>
      <c r="F25" s="508"/>
      <c r="G25" s="22"/>
      <c r="H25" s="68"/>
      <c r="I25" s="481"/>
      <c r="J25" s="481"/>
      <c r="K25" s="35"/>
      <c r="L25" s="123"/>
      <c r="M25" s="78"/>
      <c r="N25" s="24" t="s">
        <v>386</v>
      </c>
      <c r="O25" s="24" t="s">
        <v>605</v>
      </c>
      <c r="R25" s="24">
        <v>1</v>
      </c>
    </row>
    <row r="26" spans="2:22" ht="20.149999999999999" customHeight="1" x14ac:dyDescent="0.45">
      <c r="B26" s="34"/>
      <c r="C26" s="22"/>
      <c r="D26" s="508"/>
      <c r="E26" s="508"/>
      <c r="F26" s="508"/>
      <c r="G26" s="22"/>
      <c r="H26" s="68"/>
      <c r="I26" s="481"/>
      <c r="J26" s="481"/>
      <c r="K26" s="35"/>
      <c r="L26" s="123"/>
      <c r="M26" s="78"/>
      <c r="N26" s="24" t="s">
        <v>482</v>
      </c>
      <c r="O26" s="24" t="s">
        <v>322</v>
      </c>
      <c r="R26" s="24">
        <v>1</v>
      </c>
      <c r="S26" s="24" t="s">
        <v>873</v>
      </c>
      <c r="T26" s="24" t="s">
        <v>595</v>
      </c>
      <c r="V26" s="24">
        <v>38</v>
      </c>
    </row>
    <row r="27" spans="2:22" ht="20.149999999999999" customHeight="1" x14ac:dyDescent="0.45">
      <c r="B27" s="34"/>
      <c r="C27" s="22"/>
      <c r="D27" s="508"/>
      <c r="E27" s="508"/>
      <c r="F27" s="508"/>
      <c r="G27" s="22"/>
      <c r="H27" s="68"/>
      <c r="I27" s="481"/>
      <c r="J27" s="481"/>
      <c r="K27" s="35"/>
      <c r="L27" s="123"/>
      <c r="M27" s="78"/>
    </row>
    <row r="28" spans="2:22" ht="20.149999999999999" customHeight="1" x14ac:dyDescent="0.45">
      <c r="B28" s="34"/>
      <c r="C28" s="22"/>
      <c r="D28" s="508"/>
      <c r="E28" s="508"/>
      <c r="F28" s="508"/>
      <c r="G28" s="22"/>
      <c r="H28" s="68"/>
      <c r="I28" s="481"/>
      <c r="J28" s="481"/>
      <c r="K28" s="35"/>
      <c r="L28" s="123"/>
      <c r="M28" s="78"/>
    </row>
    <row r="29" spans="2:22" ht="20.149999999999999" customHeight="1" x14ac:dyDescent="0.45">
      <c r="B29" s="34"/>
      <c r="C29" s="22"/>
      <c r="D29" s="508"/>
      <c r="E29" s="508"/>
      <c r="F29" s="508"/>
      <c r="G29" s="22"/>
      <c r="H29" s="68"/>
      <c r="I29" s="481"/>
      <c r="J29" s="481"/>
      <c r="K29" s="35"/>
      <c r="L29" s="123"/>
      <c r="M29" s="78"/>
    </row>
    <row r="30" spans="2:22" ht="20.149999999999999" customHeight="1" x14ac:dyDescent="0.45">
      <c r="B30" s="34"/>
      <c r="C30" s="22"/>
      <c r="D30" s="508"/>
      <c r="E30" s="508"/>
      <c r="F30" s="508"/>
      <c r="G30" s="22"/>
      <c r="H30" s="68"/>
      <c r="I30" s="481"/>
      <c r="J30" s="481"/>
      <c r="K30" s="35"/>
      <c r="L30" s="123"/>
    </row>
    <row r="31" spans="2:22" ht="20.149999999999999" customHeight="1" x14ac:dyDescent="0.45">
      <c r="B31" s="34"/>
      <c r="C31" s="22"/>
      <c r="D31" s="508"/>
      <c r="E31" s="508"/>
      <c r="F31" s="508"/>
      <c r="G31" s="22"/>
      <c r="H31" s="68"/>
      <c r="I31" s="481"/>
      <c r="J31" s="481"/>
      <c r="K31" s="35"/>
      <c r="L31" s="123"/>
      <c r="M31" s="78"/>
    </row>
    <row r="32" spans="2:22" ht="20.149999999999999" customHeight="1" x14ac:dyDescent="0.45">
      <c r="B32" s="34"/>
      <c r="C32" s="22"/>
      <c r="D32" s="508"/>
      <c r="E32" s="508"/>
      <c r="F32" s="508"/>
      <c r="G32" s="22"/>
      <c r="H32" s="68"/>
      <c r="I32" s="481"/>
      <c r="J32" s="481"/>
      <c r="K32" s="35"/>
      <c r="L32" s="123"/>
      <c r="M32" s="78"/>
    </row>
    <row r="33" spans="2:13" ht="20.149999999999999" customHeight="1" x14ac:dyDescent="0.45">
      <c r="B33" s="34"/>
      <c r="C33" s="22"/>
      <c r="D33" s="508"/>
      <c r="E33" s="508"/>
      <c r="F33" s="508"/>
      <c r="G33" s="22"/>
      <c r="H33" s="68"/>
      <c r="I33" s="481"/>
      <c r="J33" s="481"/>
      <c r="K33" s="35"/>
      <c r="L33" s="123"/>
    </row>
    <row r="34" spans="2:13" ht="20.149999999999999" customHeight="1" x14ac:dyDescent="0.45">
      <c r="B34" s="34"/>
      <c r="C34" s="22"/>
      <c r="D34" s="508"/>
      <c r="E34" s="508"/>
      <c r="F34" s="508"/>
      <c r="G34" s="22"/>
      <c r="H34" s="68"/>
      <c r="I34" s="481"/>
      <c r="J34" s="481"/>
      <c r="K34" s="35"/>
      <c r="L34" s="123"/>
    </row>
    <row r="35" spans="2:13" ht="20.149999999999999" customHeight="1" x14ac:dyDescent="0.45">
      <c r="B35" s="34"/>
      <c r="C35" s="22"/>
      <c r="D35" s="508"/>
      <c r="E35" s="508"/>
      <c r="F35" s="508"/>
      <c r="G35" s="22"/>
      <c r="H35" s="68"/>
      <c r="I35" s="481"/>
      <c r="J35" s="481"/>
      <c r="K35" s="35"/>
      <c r="L35" s="123"/>
    </row>
    <row r="36" spans="2:13" ht="20.149999999999999" customHeight="1" x14ac:dyDescent="0.45">
      <c r="B36" s="34"/>
      <c r="C36" s="22"/>
      <c r="D36" s="508"/>
      <c r="E36" s="508"/>
      <c r="F36" s="508"/>
      <c r="G36" s="22"/>
      <c r="H36" s="68"/>
      <c r="I36" s="481"/>
      <c r="J36" s="481"/>
      <c r="K36" s="35"/>
      <c r="L36" s="123"/>
    </row>
    <row r="37" spans="2:13" ht="20.149999999999999" customHeight="1" x14ac:dyDescent="0.45">
      <c r="B37" s="34"/>
      <c r="C37" s="22"/>
      <c r="D37" s="508"/>
      <c r="E37" s="508"/>
      <c r="F37" s="508"/>
      <c r="G37" s="22"/>
      <c r="H37" s="68"/>
      <c r="I37" s="481"/>
      <c r="J37" s="481"/>
      <c r="K37" s="35"/>
      <c r="L37" s="123"/>
      <c r="M37" s="78"/>
    </row>
    <row r="38" spans="2:13" ht="20.149999999999999" customHeight="1" x14ac:dyDescent="0.45">
      <c r="B38" s="34"/>
      <c r="C38" s="22"/>
      <c r="D38" s="508"/>
      <c r="E38" s="508"/>
      <c r="F38" s="508"/>
      <c r="G38" s="22"/>
      <c r="H38" s="68"/>
      <c r="I38" s="481"/>
      <c r="J38" s="481"/>
      <c r="K38" s="35"/>
      <c r="L38" s="123"/>
      <c r="M38" s="78"/>
    </row>
    <row r="39" spans="2:13" ht="20.149999999999999" customHeight="1" x14ac:dyDescent="0.45">
      <c r="B39" s="34"/>
      <c r="C39" s="22"/>
      <c r="D39" s="508"/>
      <c r="E39" s="508"/>
      <c r="F39" s="508"/>
      <c r="G39" s="22"/>
      <c r="H39" s="68"/>
      <c r="I39" s="481"/>
      <c r="J39" s="481"/>
      <c r="K39" s="35"/>
      <c r="L39" s="123"/>
    </row>
    <row r="40" spans="2:13" ht="20.149999999999999" customHeight="1" x14ac:dyDescent="0.45">
      <c r="B40" s="34"/>
      <c r="C40" s="22"/>
      <c r="D40" s="508"/>
      <c r="E40" s="508"/>
      <c r="F40" s="508"/>
      <c r="G40" s="22"/>
      <c r="H40" s="68"/>
      <c r="I40" s="481"/>
      <c r="J40" s="481"/>
      <c r="K40" s="35"/>
      <c r="L40" s="123"/>
    </row>
    <row r="41" spans="2:13" ht="20.149999999999999" customHeight="1" thickBot="1" x14ac:dyDescent="0.5">
      <c r="B41" s="37"/>
      <c r="C41" s="38"/>
      <c r="D41" s="509"/>
      <c r="E41" s="509"/>
      <c r="F41" s="509"/>
      <c r="G41" s="38"/>
      <c r="H41" s="69"/>
      <c r="I41" s="557"/>
      <c r="J41" s="557"/>
      <c r="K41" s="39"/>
      <c r="L41" s="89"/>
    </row>
    <row r="42" spans="2:13" ht="20.149999999999999" customHeight="1" thickBot="1" x14ac:dyDescent="0.5">
      <c r="B42" s="41"/>
      <c r="L42" s="42"/>
    </row>
    <row r="43" spans="2:13" ht="20.149999999999999" customHeight="1" x14ac:dyDescent="0.45">
      <c r="B43" s="11" t="s">
        <v>18</v>
      </c>
      <c r="C43" s="7"/>
      <c r="D43" s="7"/>
      <c r="E43" s="7"/>
      <c r="F43" s="7"/>
      <c r="G43" s="7"/>
      <c r="H43" s="7"/>
      <c r="I43" s="86"/>
      <c r="J43" s="510" t="s">
        <v>15</v>
      </c>
      <c r="K43" s="511"/>
      <c r="L43" s="43" t="e">
        <f>SUM(L17:L40)</f>
        <v>#N/A</v>
      </c>
      <c r="M43" s="76">
        <f>166+26</f>
        <v>192</v>
      </c>
    </row>
    <row r="44" spans="2:13" ht="20.149999999999999" customHeight="1" x14ac:dyDescent="0.45">
      <c r="B44" s="11" t="s">
        <v>19</v>
      </c>
      <c r="C44" s="7"/>
      <c r="D44" s="7"/>
      <c r="E44" s="7"/>
      <c r="F44" s="7"/>
      <c r="G44" s="7"/>
      <c r="H44" s="7"/>
      <c r="I44" s="86"/>
      <c r="J44" s="44" t="s">
        <v>22</v>
      </c>
      <c r="K44" s="45"/>
      <c r="L44" s="46" t="e">
        <f>L43*K44</f>
        <v>#N/A</v>
      </c>
    </row>
    <row r="45" spans="2:13" ht="20.149999999999999" customHeight="1" x14ac:dyDescent="0.45">
      <c r="B45" s="11" t="s">
        <v>20</v>
      </c>
      <c r="C45" s="7"/>
      <c r="D45" s="7"/>
      <c r="E45" s="7"/>
      <c r="F45" s="7"/>
      <c r="G45" s="7"/>
      <c r="H45" s="7"/>
      <c r="I45" s="86"/>
      <c r="J45" s="486" t="s">
        <v>21</v>
      </c>
      <c r="K45" s="487"/>
      <c r="L45" s="46" t="e">
        <f>L43-L44</f>
        <v>#N/A</v>
      </c>
    </row>
    <row r="46" spans="2:13" ht="20.149999999999999" customHeight="1" x14ac:dyDescent="0.45">
      <c r="B46" s="11" t="s">
        <v>24</v>
      </c>
      <c r="C46" s="7"/>
      <c r="D46" s="7"/>
      <c r="E46" s="7"/>
      <c r="F46" s="7"/>
      <c r="G46" s="7"/>
      <c r="H46" s="7"/>
      <c r="I46" s="86"/>
      <c r="J46" s="150" t="s">
        <v>17</v>
      </c>
      <c r="K46" s="151">
        <v>7.0000000000000007E-2</v>
      </c>
      <c r="L46" s="47" t="e">
        <f>L45*K46</f>
        <v>#N/A</v>
      </c>
    </row>
    <row r="47" spans="2:13" ht="20.149999999999999" customHeight="1" thickBot="1" x14ac:dyDescent="0.5">
      <c r="B47" s="11" t="s">
        <v>1400</v>
      </c>
      <c r="C47" s="7"/>
      <c r="D47" s="7"/>
      <c r="E47" s="7"/>
      <c r="F47" s="7"/>
      <c r="G47" s="7"/>
      <c r="H47" s="7"/>
      <c r="I47" s="86"/>
      <c r="J47" s="488" t="s">
        <v>23</v>
      </c>
      <c r="K47" s="489"/>
      <c r="L47" s="48" t="e">
        <f>L45+L46</f>
        <v>#N/A</v>
      </c>
    </row>
    <row r="48" spans="2:13" ht="20.149999999999999" customHeight="1" x14ac:dyDescent="0.45">
      <c r="B48" s="11" t="s">
        <v>26</v>
      </c>
      <c r="C48" s="7"/>
      <c r="D48" s="7"/>
      <c r="E48" s="7"/>
      <c r="F48" s="7"/>
      <c r="G48" s="7"/>
      <c r="H48" s="7"/>
      <c r="I48" s="86"/>
      <c r="L48" s="42"/>
    </row>
    <row r="49" spans="2:12" ht="20.149999999999999" customHeight="1" x14ac:dyDescent="0.45">
      <c r="B49" s="224" t="s">
        <v>1379</v>
      </c>
      <c r="L49" s="42"/>
    </row>
    <row r="50" spans="2:12" ht="20.149999999999999" customHeight="1" x14ac:dyDescent="0.45">
      <c r="B50" s="41"/>
      <c r="L50" s="42"/>
    </row>
    <row r="51" spans="2:12" ht="20.149999999999999" customHeight="1" x14ac:dyDescent="0.45">
      <c r="B51" s="41"/>
      <c r="L51" s="42"/>
    </row>
    <row r="52" spans="2:12" ht="20.149999999999999" customHeight="1" x14ac:dyDescent="0.45">
      <c r="B52" s="41"/>
      <c r="L52" s="42"/>
    </row>
    <row r="53" spans="2:12" ht="20.149999999999999" customHeight="1" x14ac:dyDescent="0.45">
      <c r="B53" s="49"/>
      <c r="C53" s="50"/>
      <c r="D53" s="50"/>
      <c r="J53" s="87"/>
      <c r="K53" s="50"/>
      <c r="L53" s="51"/>
    </row>
    <row r="54" spans="2:12" ht="20.149999999999999" customHeight="1" x14ac:dyDescent="0.45">
      <c r="B54" s="41" t="s">
        <v>27</v>
      </c>
      <c r="J54" s="81" t="s">
        <v>28</v>
      </c>
      <c r="L54" s="42"/>
    </row>
    <row r="55" spans="2:12" ht="19" thickBot="1" x14ac:dyDescent="0.5">
      <c r="B55" s="52"/>
      <c r="C55" s="53"/>
      <c r="D55" s="53"/>
      <c r="E55" s="53"/>
      <c r="F55" s="53"/>
      <c r="G55" s="53"/>
      <c r="H55" s="53"/>
      <c r="I55" s="88"/>
      <c r="J55" s="88"/>
      <c r="K55" s="53"/>
      <c r="L55" s="54"/>
    </row>
  </sheetData>
  <mergeCells count="65"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18:J18"/>
    <mergeCell ref="D20:F20"/>
    <mergeCell ref="I20:J20"/>
    <mergeCell ref="D21:F21"/>
    <mergeCell ref="I21:J21"/>
    <mergeCell ref="D19:F19"/>
    <mergeCell ref="I19:J19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D28:F28"/>
    <mergeCell ref="I28:J28"/>
    <mergeCell ref="D29:F29"/>
    <mergeCell ref="I29:J29"/>
    <mergeCell ref="D30:F30"/>
    <mergeCell ref="I30:J30"/>
    <mergeCell ref="D35:F35"/>
    <mergeCell ref="I35:J35"/>
    <mergeCell ref="D36:F36"/>
    <mergeCell ref="I36:J36"/>
    <mergeCell ref="D31:F31"/>
    <mergeCell ref="I31:J31"/>
    <mergeCell ref="D32:F32"/>
    <mergeCell ref="I32:J32"/>
    <mergeCell ref="D33:F33"/>
    <mergeCell ref="I33:J33"/>
    <mergeCell ref="B1:L8"/>
    <mergeCell ref="J45:K45"/>
    <mergeCell ref="J47:K47"/>
    <mergeCell ref="D40:F40"/>
    <mergeCell ref="I40:J40"/>
    <mergeCell ref="D41:F41"/>
    <mergeCell ref="I41:J41"/>
    <mergeCell ref="J43:K43"/>
    <mergeCell ref="D37:F37"/>
    <mergeCell ref="I37:J37"/>
    <mergeCell ref="D38:F38"/>
    <mergeCell ref="I38:J38"/>
    <mergeCell ref="D39:F39"/>
    <mergeCell ref="I39:J39"/>
    <mergeCell ref="D34:F34"/>
    <mergeCell ref="I34:J34"/>
  </mergeCells>
  <pageMargins left="0.70866141732283472" right="0.31496062992125984" top="0.59055118110236227" bottom="0" header="0.31496062992125984" footer="0.31496062992125984"/>
  <pageSetup paperSize="9" scale="72" orientation="portrait" verticalDpi="300" r:id="rId1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5FD55-A6C1-416B-8C6C-A773342F4507}">
  <sheetPr codeName="Sheet96">
    <tabColor rgb="FFFFFF00"/>
    <pageSetUpPr fitToPage="1"/>
  </sheetPr>
  <dimension ref="B1:V51"/>
  <sheetViews>
    <sheetView topLeftCell="A4" workbookViewId="0">
      <selection activeCell="B1" sqref="B1:L51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4.54296875" style="24" customWidth="1"/>
    <col min="7" max="7" width="8.54296875" style="24" customWidth="1"/>
    <col min="8" max="8" width="15.54296875" style="24" customWidth="1"/>
    <col min="9" max="9" width="2.54296875" style="24" customWidth="1"/>
    <col min="10" max="10" width="15.54296875" style="24" customWidth="1"/>
    <col min="11" max="11" width="10.54296875" style="24" customWidth="1"/>
    <col min="12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166</v>
      </c>
      <c r="J10" s="29" t="s">
        <v>29</v>
      </c>
      <c r="K10" s="452">
        <v>202103071</v>
      </c>
      <c r="L10" s="453"/>
    </row>
    <row r="11" spans="2:12" ht="20.149999999999999" customHeight="1" x14ac:dyDescent="0.45">
      <c r="B11" s="454" t="s">
        <v>2037</v>
      </c>
      <c r="C11" s="455"/>
      <c r="D11" s="456"/>
      <c r="E11" s="30"/>
      <c r="F11" s="457" t="str">
        <f>VLOOKUP(H10,'Delivery Location'!A$4:N$416,2,0)</f>
        <v xml:space="preserve">Koufu - (Dim sum)                                 180, Ang Mo Kio Ave 8. Block A unit 235 Nanyang Polythenic Singapore 569830                                    </v>
      </c>
      <c r="G11" s="458"/>
      <c r="H11" s="459"/>
      <c r="J11" s="31" t="s">
        <v>11</v>
      </c>
      <c r="K11" s="551">
        <v>44259</v>
      </c>
      <c r="L11" s="472"/>
    </row>
    <row r="12" spans="2:12" ht="20.149999999999999" customHeight="1" x14ac:dyDescent="0.45">
      <c r="B12" s="468" t="s">
        <v>2139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533</v>
      </c>
      <c r="L12" s="472"/>
    </row>
    <row r="13" spans="2:12" ht="20.149999999999999" customHeight="1" x14ac:dyDescent="0.45">
      <c r="B13" s="468" t="s">
        <v>2024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14</v>
      </c>
      <c r="L13" s="472"/>
    </row>
    <row r="14" spans="2:12" ht="20.149999999999999" customHeight="1" x14ac:dyDescent="0.45">
      <c r="B14" s="468" t="s">
        <v>2025</v>
      </c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463" t="s">
        <v>2026</v>
      </c>
      <c r="C15" s="464"/>
      <c r="D15" s="465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22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3"/>
      <c r="O17" s="33"/>
    </row>
    <row r="18" spans="2:22" ht="20.149999999999999" customHeight="1" x14ac:dyDescent="0.45">
      <c r="B18" s="34"/>
      <c r="C18" s="22" t="s">
        <v>453</v>
      </c>
      <c r="D18" s="508" t="e">
        <f>VLOOKUP(C18,'Sales Master'!B$3:D$499,2,)</f>
        <v>#N/A</v>
      </c>
      <c r="E18" s="508"/>
      <c r="F18" s="508"/>
      <c r="G18" s="22">
        <v>2</v>
      </c>
      <c r="H18" s="68" t="e">
        <f>VLOOKUP(C18,'Sales Master'!$B$3:$F$3179,5,0)</f>
        <v>#N/A</v>
      </c>
      <c r="I18" s="481" t="e">
        <f>VLOOKUP(C18,'Sales Master'!$B$3:$E$3179,4,0)</f>
        <v>#N/A</v>
      </c>
      <c r="J18" s="481"/>
      <c r="K18" s="35" t="e">
        <f>VLOOKUP(C18,'Sales Master'!B$3:J$499,9,0)</f>
        <v>#N/A</v>
      </c>
      <c r="L18" s="77" t="e">
        <f>K18*G18</f>
        <v>#N/A</v>
      </c>
      <c r="M18" s="78"/>
      <c r="N18" s="24" t="s">
        <v>541</v>
      </c>
      <c r="O18" s="24" t="s">
        <v>281</v>
      </c>
      <c r="R18" s="24">
        <v>6</v>
      </c>
      <c r="S18" s="24" t="s">
        <v>61</v>
      </c>
      <c r="T18" s="24" t="s">
        <v>658</v>
      </c>
      <c r="V18" s="24">
        <v>6</v>
      </c>
    </row>
    <row r="19" spans="2:22" ht="20.149999999999999" customHeight="1" x14ac:dyDescent="0.45">
      <c r="B19" s="34"/>
      <c r="C19" s="22"/>
      <c r="D19" s="508"/>
      <c r="E19" s="508"/>
      <c r="F19" s="508"/>
      <c r="G19" s="22"/>
      <c r="H19" s="68"/>
      <c r="I19" s="481"/>
      <c r="J19" s="481"/>
      <c r="K19" s="35"/>
      <c r="L19" s="77"/>
      <c r="M19" s="78"/>
      <c r="N19" s="24" t="s">
        <v>420</v>
      </c>
      <c r="O19" s="24" t="s">
        <v>496</v>
      </c>
      <c r="R19" s="24">
        <v>10</v>
      </c>
      <c r="S19" s="24" t="s">
        <v>643</v>
      </c>
      <c r="T19" s="24" t="s">
        <v>34</v>
      </c>
      <c r="V19" s="24">
        <v>22</v>
      </c>
    </row>
    <row r="20" spans="2:22" ht="20.149999999999999" customHeight="1" x14ac:dyDescent="0.45">
      <c r="B20" s="34"/>
      <c r="C20" s="22"/>
      <c r="D20" s="508"/>
      <c r="E20" s="508"/>
      <c r="F20" s="508"/>
      <c r="G20" s="22"/>
      <c r="H20" s="68"/>
      <c r="I20" s="481"/>
      <c r="J20" s="481"/>
      <c r="K20" s="35"/>
      <c r="L20" s="77"/>
      <c r="M20" s="78"/>
      <c r="N20" s="24" t="s">
        <v>429</v>
      </c>
      <c r="O20" s="24" t="s">
        <v>316</v>
      </c>
      <c r="R20" s="24">
        <v>4</v>
      </c>
      <c r="S20" s="24" t="s">
        <v>610</v>
      </c>
      <c r="T20" s="24" t="s">
        <v>530</v>
      </c>
      <c r="V20" s="24">
        <v>13</v>
      </c>
    </row>
    <row r="21" spans="2:22" ht="20.149999999999999" customHeight="1" x14ac:dyDescent="0.45">
      <c r="B21" s="34"/>
      <c r="C21" s="22"/>
      <c r="G21" s="22"/>
      <c r="H21" s="68"/>
      <c r="I21" s="22"/>
      <c r="J21" s="22"/>
      <c r="K21" s="35"/>
      <c r="L21" s="77"/>
      <c r="M21" s="78"/>
      <c r="N21" s="24" t="s">
        <v>393</v>
      </c>
      <c r="O21" s="24" t="s">
        <v>286</v>
      </c>
      <c r="R21" s="24">
        <v>2</v>
      </c>
      <c r="S21" s="24" t="s">
        <v>44</v>
      </c>
      <c r="T21" s="24" t="s">
        <v>100</v>
      </c>
      <c r="V21" s="24">
        <v>13</v>
      </c>
    </row>
    <row r="22" spans="2:22" ht="20.149999999999999" customHeight="1" x14ac:dyDescent="0.45">
      <c r="B22" s="34"/>
      <c r="C22" s="22"/>
      <c r="G22" s="22"/>
      <c r="H22" s="68"/>
      <c r="I22" s="22"/>
      <c r="J22" s="22"/>
      <c r="K22" s="35"/>
      <c r="L22" s="77"/>
      <c r="M22" s="78"/>
      <c r="N22" s="24" t="s">
        <v>410</v>
      </c>
      <c r="O22" s="24" t="s">
        <v>309</v>
      </c>
      <c r="R22" s="24">
        <v>1</v>
      </c>
      <c r="S22" s="24" t="s">
        <v>536</v>
      </c>
      <c r="T22" s="24" t="s">
        <v>54</v>
      </c>
      <c r="V22" s="24">
        <v>7</v>
      </c>
    </row>
    <row r="23" spans="2:22" ht="20.149999999999999" customHeight="1" x14ac:dyDescent="0.45">
      <c r="B23" s="34"/>
      <c r="C23" s="22"/>
      <c r="D23" s="508"/>
      <c r="E23" s="508"/>
      <c r="F23" s="508"/>
      <c r="G23" s="22"/>
      <c r="H23" s="68"/>
      <c r="I23" s="450"/>
      <c r="J23" s="450"/>
      <c r="K23" s="35"/>
      <c r="L23" s="77"/>
      <c r="M23" s="78"/>
      <c r="N23" s="24" t="s">
        <v>428</v>
      </c>
      <c r="O23" s="24" t="s">
        <v>280</v>
      </c>
      <c r="R23" s="24">
        <v>2</v>
      </c>
      <c r="S23" s="24" t="s">
        <v>36</v>
      </c>
      <c r="T23" s="24" t="s">
        <v>71</v>
      </c>
      <c r="V23" s="24">
        <v>6</v>
      </c>
    </row>
    <row r="24" spans="2:22" ht="20.149999999999999" customHeight="1" x14ac:dyDescent="0.45">
      <c r="B24" s="34"/>
      <c r="C24" s="22"/>
      <c r="D24" s="508"/>
      <c r="E24" s="508"/>
      <c r="F24" s="508"/>
      <c r="G24" s="22"/>
      <c r="H24" s="68"/>
      <c r="I24" s="450"/>
      <c r="J24" s="450"/>
      <c r="K24" s="35"/>
      <c r="L24" s="77"/>
      <c r="M24" s="78"/>
    </row>
    <row r="25" spans="2:22" ht="20.149999999999999" customHeight="1" x14ac:dyDescent="0.45">
      <c r="B25" s="34"/>
      <c r="C25" s="22"/>
      <c r="D25" s="508"/>
      <c r="E25" s="508"/>
      <c r="F25" s="508"/>
      <c r="G25" s="22"/>
      <c r="H25" s="68"/>
      <c r="I25" s="450"/>
      <c r="J25" s="450"/>
      <c r="K25" s="35"/>
      <c r="L25" s="77"/>
      <c r="M25" s="78"/>
    </row>
    <row r="26" spans="2:22" ht="20.149999999999999" customHeight="1" x14ac:dyDescent="0.45">
      <c r="B26" s="34"/>
      <c r="C26" s="22"/>
      <c r="D26" s="508"/>
      <c r="E26" s="508"/>
      <c r="F26" s="508"/>
      <c r="G26" s="22"/>
      <c r="H26" s="68"/>
      <c r="I26" s="450"/>
      <c r="J26" s="450"/>
      <c r="K26" s="35"/>
      <c r="L26" s="77"/>
      <c r="M26" s="78"/>
    </row>
    <row r="27" spans="2:22" ht="20.149999999999999" customHeight="1" x14ac:dyDescent="0.45">
      <c r="B27" s="34"/>
      <c r="C27" s="22"/>
      <c r="D27" s="508"/>
      <c r="E27" s="508"/>
      <c r="F27" s="508"/>
      <c r="G27" s="22"/>
      <c r="H27" s="68"/>
      <c r="I27" s="450"/>
      <c r="J27" s="450"/>
      <c r="K27" s="35"/>
      <c r="L27" s="77"/>
      <c r="M27" s="78"/>
    </row>
    <row r="28" spans="2:22" ht="20.149999999999999" customHeight="1" x14ac:dyDescent="0.45">
      <c r="B28" s="34"/>
      <c r="C28" s="22"/>
      <c r="D28" s="508"/>
      <c r="E28" s="508"/>
      <c r="F28" s="508"/>
      <c r="G28" s="22"/>
      <c r="H28" s="68"/>
      <c r="I28" s="450"/>
      <c r="J28" s="450"/>
      <c r="K28" s="35"/>
      <c r="L28" s="77"/>
      <c r="M28" s="78"/>
    </row>
    <row r="29" spans="2:22" ht="20.149999999999999" customHeight="1" x14ac:dyDescent="0.45">
      <c r="B29" s="34"/>
      <c r="C29" s="22"/>
      <c r="D29" s="508"/>
      <c r="E29" s="508"/>
      <c r="F29" s="508"/>
      <c r="G29" s="22"/>
      <c r="H29" s="68"/>
      <c r="I29" s="450"/>
      <c r="J29" s="450"/>
      <c r="K29" s="35"/>
      <c r="L29" s="77"/>
      <c r="M29" s="78"/>
    </row>
    <row r="30" spans="2:22" ht="20.149999999999999" customHeight="1" x14ac:dyDescent="0.45">
      <c r="B30" s="34"/>
      <c r="C30" s="22"/>
      <c r="D30" s="508"/>
      <c r="E30" s="508"/>
      <c r="F30" s="508"/>
      <c r="G30" s="22"/>
      <c r="H30" s="68"/>
      <c r="I30" s="450"/>
      <c r="J30" s="450"/>
      <c r="K30" s="35"/>
      <c r="L30" s="77"/>
      <c r="M30" s="78"/>
    </row>
    <row r="31" spans="2:22" ht="20.149999999999999" customHeight="1" x14ac:dyDescent="0.45">
      <c r="B31" s="34"/>
      <c r="C31" s="22"/>
      <c r="D31" s="508"/>
      <c r="E31" s="508"/>
      <c r="F31" s="508"/>
      <c r="G31" s="22"/>
      <c r="H31" s="68"/>
      <c r="I31" s="450"/>
      <c r="J31" s="450"/>
      <c r="K31" s="35"/>
      <c r="L31" s="77"/>
      <c r="M31" s="78"/>
    </row>
    <row r="32" spans="2:22" ht="20.149999999999999" customHeight="1" x14ac:dyDescent="0.45">
      <c r="B32" s="34"/>
      <c r="C32" s="22"/>
      <c r="D32" s="508"/>
      <c r="E32" s="508"/>
      <c r="F32" s="508"/>
      <c r="G32" s="22"/>
      <c r="H32" s="68"/>
      <c r="I32" s="450"/>
      <c r="J32" s="450"/>
      <c r="K32" s="35"/>
      <c r="L32" s="77"/>
      <c r="M32" s="78"/>
    </row>
    <row r="33" spans="2:13" ht="20.149999999999999" customHeight="1" x14ac:dyDescent="0.45">
      <c r="B33" s="34"/>
      <c r="C33" s="22"/>
      <c r="D33" s="508"/>
      <c r="E33" s="508"/>
      <c r="F33" s="508"/>
      <c r="G33" s="22"/>
      <c r="H33" s="68"/>
      <c r="I33" s="450"/>
      <c r="J33" s="450"/>
      <c r="K33" s="35"/>
      <c r="L33" s="77"/>
      <c r="M33" s="78"/>
    </row>
    <row r="34" spans="2:13" ht="20.149999999999999" customHeight="1" x14ac:dyDescent="0.45">
      <c r="B34" s="34"/>
      <c r="C34" s="22"/>
      <c r="D34" s="508"/>
      <c r="E34" s="508"/>
      <c r="F34" s="508"/>
      <c r="G34" s="22"/>
      <c r="H34" s="68"/>
      <c r="I34" s="450"/>
      <c r="J34" s="450"/>
      <c r="K34" s="35"/>
      <c r="L34" s="77"/>
      <c r="M34" s="78"/>
    </row>
    <row r="35" spans="2:13" ht="20.149999999999999" customHeight="1" x14ac:dyDescent="0.45">
      <c r="B35" s="34"/>
      <c r="C35" s="22"/>
      <c r="D35" s="508"/>
      <c r="E35" s="508"/>
      <c r="F35" s="508"/>
      <c r="G35" s="22"/>
      <c r="H35" s="68"/>
      <c r="I35" s="450"/>
      <c r="J35" s="450"/>
      <c r="K35" s="35"/>
      <c r="L35" s="77"/>
      <c r="M35" s="78"/>
    </row>
    <row r="36" spans="2:13" ht="20.149999999999999" customHeight="1" x14ac:dyDescent="0.45">
      <c r="B36" s="34"/>
      <c r="C36" s="22"/>
      <c r="D36" s="508"/>
      <c r="E36" s="508"/>
      <c r="F36" s="508"/>
      <c r="G36" s="22"/>
      <c r="H36" s="68"/>
      <c r="I36" s="450"/>
      <c r="J36" s="450"/>
      <c r="K36" s="35"/>
      <c r="L36" s="36"/>
    </row>
    <row r="37" spans="2:13" ht="20.149999999999999" customHeight="1" thickBot="1" x14ac:dyDescent="0.5">
      <c r="B37" s="37"/>
      <c r="C37" s="38"/>
      <c r="D37" s="509"/>
      <c r="E37" s="509"/>
      <c r="F37" s="509"/>
      <c r="G37" s="38"/>
      <c r="H37" s="69"/>
      <c r="I37" s="451"/>
      <c r="J37" s="451"/>
      <c r="K37" s="39"/>
      <c r="L37" s="40"/>
    </row>
    <row r="38" spans="2:13" ht="20.149999999999999" customHeight="1" thickBot="1" x14ac:dyDescent="0.5">
      <c r="B38" s="41"/>
      <c r="L38" s="42"/>
    </row>
    <row r="39" spans="2:13" ht="20.149999999999999" customHeight="1" x14ac:dyDescent="0.45">
      <c r="B39" s="11" t="s">
        <v>18</v>
      </c>
      <c r="C39" s="7"/>
      <c r="D39" s="7"/>
      <c r="E39" s="7"/>
      <c r="F39" s="7"/>
      <c r="G39" s="7"/>
      <c r="H39" s="7"/>
      <c r="I39" s="7"/>
      <c r="J39" s="510" t="s">
        <v>15</v>
      </c>
      <c r="K39" s="511"/>
      <c r="L39" s="43" t="e">
        <f>SUM(L17:L36)</f>
        <v>#N/A</v>
      </c>
      <c r="M39" s="76">
        <f>166+26</f>
        <v>192</v>
      </c>
    </row>
    <row r="40" spans="2:13" ht="20.149999999999999" customHeight="1" x14ac:dyDescent="0.45">
      <c r="B40" s="11" t="s">
        <v>19</v>
      </c>
      <c r="C40" s="7"/>
      <c r="D40" s="7"/>
      <c r="E40" s="7"/>
      <c r="F40" s="7"/>
      <c r="G40" s="7"/>
      <c r="H40" s="7"/>
      <c r="I40" s="7"/>
      <c r="J40" s="44" t="s">
        <v>22</v>
      </c>
      <c r="K40" s="45"/>
      <c r="L40" s="46" t="e">
        <f>L39*K40</f>
        <v>#N/A</v>
      </c>
    </row>
    <row r="41" spans="2:13" ht="20.149999999999999" customHeight="1" x14ac:dyDescent="0.45">
      <c r="B41" s="11" t="s">
        <v>20</v>
      </c>
      <c r="C41" s="7"/>
      <c r="D41" s="7"/>
      <c r="E41" s="7"/>
      <c r="F41" s="7"/>
      <c r="G41" s="7"/>
      <c r="H41" s="7"/>
      <c r="I41" s="7"/>
      <c r="J41" s="486" t="s">
        <v>21</v>
      </c>
      <c r="K41" s="487"/>
      <c r="L41" s="46" t="e">
        <f>L39-L40</f>
        <v>#N/A</v>
      </c>
    </row>
    <row r="42" spans="2:13" ht="20.149999999999999" customHeight="1" x14ac:dyDescent="0.45">
      <c r="B42" s="11" t="s">
        <v>24</v>
      </c>
      <c r="C42" s="7"/>
      <c r="D42" s="7"/>
      <c r="E42" s="7"/>
      <c r="F42" s="7"/>
      <c r="G42" s="7"/>
      <c r="H42" s="7"/>
      <c r="I42" s="7"/>
      <c r="J42" s="150" t="s">
        <v>17</v>
      </c>
      <c r="K42" s="151">
        <v>7.0000000000000007E-2</v>
      </c>
      <c r="L42" s="47" t="e">
        <f>L41*K42</f>
        <v>#N/A</v>
      </c>
    </row>
    <row r="43" spans="2:13" ht="20.149999999999999" customHeight="1" thickBot="1" x14ac:dyDescent="0.5">
      <c r="B43" s="11" t="s">
        <v>1400</v>
      </c>
      <c r="C43" s="7"/>
      <c r="D43" s="7"/>
      <c r="E43" s="7"/>
      <c r="F43" s="7"/>
      <c r="G43" s="7"/>
      <c r="H43" s="7"/>
      <c r="I43" s="7"/>
      <c r="J43" s="488" t="s">
        <v>23</v>
      </c>
      <c r="K43" s="489"/>
      <c r="L43" s="48" t="e">
        <f>L41+L42</f>
        <v>#N/A</v>
      </c>
    </row>
    <row r="44" spans="2:13" ht="20.149999999999999" customHeight="1" x14ac:dyDescent="0.45">
      <c r="B44" s="11" t="s">
        <v>26</v>
      </c>
      <c r="C44" s="7"/>
      <c r="D44" s="7"/>
      <c r="E44" s="7"/>
      <c r="F44" s="7"/>
      <c r="G44" s="7"/>
      <c r="H44" s="7"/>
      <c r="I44" s="7"/>
      <c r="L44" s="42"/>
    </row>
    <row r="45" spans="2:13" ht="20.149999999999999" customHeight="1" x14ac:dyDescent="0.45">
      <c r="B45" s="224" t="s">
        <v>1379</v>
      </c>
      <c r="L45" s="42"/>
    </row>
    <row r="46" spans="2:13" ht="20.149999999999999" customHeight="1" x14ac:dyDescent="0.45">
      <c r="B46" s="41"/>
      <c r="L46" s="42"/>
    </row>
    <row r="47" spans="2:13" ht="20.149999999999999" customHeight="1" x14ac:dyDescent="0.45">
      <c r="B47" s="41"/>
      <c r="L47" s="42"/>
    </row>
    <row r="48" spans="2:13" ht="20.149999999999999" customHeight="1" x14ac:dyDescent="0.45">
      <c r="B48" s="41"/>
      <c r="L48" s="42"/>
    </row>
    <row r="49" spans="2:12" ht="20.149999999999999" customHeight="1" x14ac:dyDescent="0.45">
      <c r="B49" s="49"/>
      <c r="C49" s="50"/>
      <c r="D49" s="50"/>
      <c r="J49" s="50"/>
      <c r="K49" s="50"/>
      <c r="L49" s="51"/>
    </row>
    <row r="50" spans="2:12" ht="20.149999999999999" customHeight="1" x14ac:dyDescent="0.45">
      <c r="B50" s="41" t="s">
        <v>27</v>
      </c>
      <c r="J50" s="24" t="s">
        <v>28</v>
      </c>
      <c r="L50" s="42"/>
    </row>
    <row r="51" spans="2:12" ht="19" thickBot="1" x14ac:dyDescent="0.5">
      <c r="B51" s="52"/>
      <c r="C51" s="53"/>
      <c r="D51" s="53"/>
      <c r="E51" s="53"/>
      <c r="F51" s="53"/>
      <c r="G51" s="53"/>
      <c r="H51" s="53"/>
      <c r="I51" s="53"/>
      <c r="J51" s="53"/>
      <c r="K51" s="53"/>
      <c r="L51" s="54"/>
    </row>
  </sheetData>
  <mergeCells count="54">
    <mergeCell ref="B1:L8"/>
    <mergeCell ref="D33:F33"/>
    <mergeCell ref="I33:J33"/>
    <mergeCell ref="J43:K43"/>
    <mergeCell ref="D34:F34"/>
    <mergeCell ref="I34:J34"/>
    <mergeCell ref="D35:F35"/>
    <mergeCell ref="I35:J35"/>
    <mergeCell ref="D36:F36"/>
    <mergeCell ref="I36:J36"/>
    <mergeCell ref="D37:F37"/>
    <mergeCell ref="I37:J37"/>
    <mergeCell ref="J39:K39"/>
    <mergeCell ref="J41:K41"/>
    <mergeCell ref="D30:F30"/>
    <mergeCell ref="I30:J30"/>
    <mergeCell ref="D31:F31"/>
    <mergeCell ref="I31:J31"/>
    <mergeCell ref="D32:F32"/>
    <mergeCell ref="I32:J32"/>
    <mergeCell ref="D27:F27"/>
    <mergeCell ref="I27:J27"/>
    <mergeCell ref="D28:F28"/>
    <mergeCell ref="I28:J28"/>
    <mergeCell ref="D29:F29"/>
    <mergeCell ref="I29:J29"/>
    <mergeCell ref="D24:F24"/>
    <mergeCell ref="I24:J24"/>
    <mergeCell ref="D25:F25"/>
    <mergeCell ref="I25:J25"/>
    <mergeCell ref="D26:F26"/>
    <mergeCell ref="I26:J26"/>
    <mergeCell ref="D20:F20"/>
    <mergeCell ref="I20:J20"/>
    <mergeCell ref="D23:F23"/>
    <mergeCell ref="I23:J23"/>
    <mergeCell ref="D19:F19"/>
    <mergeCell ref="I19:J19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18:J18"/>
    <mergeCell ref="B15:D15"/>
  </mergeCells>
  <pageMargins left="0.70866141732283472" right="0.31496062992125984" top="0.59055118110236227" bottom="0" header="0.31496062992125984" footer="0.31496062992125984"/>
  <pageSetup paperSize="9" scale="76" orientation="portrait" verticalDpi="300" r:id="rId1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B8ED5D-A77F-43AB-BA75-962C2201C418}">
  <sheetPr codeName="Sheet97">
    <tabColor rgb="FFFFFF00"/>
    <pageSetUpPr fitToPage="1"/>
  </sheetPr>
  <dimension ref="B1:V54"/>
  <sheetViews>
    <sheetView workbookViewId="0">
      <selection activeCell="B1" sqref="B1:L8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7.453125" style="24" customWidth="1"/>
    <col min="7" max="7" width="8.54296875" style="24" customWidth="1"/>
    <col min="8" max="8" width="15.54296875" style="24" customWidth="1"/>
    <col min="9" max="9" width="2.54296875" style="24" customWidth="1"/>
    <col min="10" max="10" width="15.54296875" style="24" customWidth="1"/>
    <col min="11" max="11" width="10.54296875" style="24" customWidth="1"/>
    <col min="12" max="12" width="12.54296875" style="24" customWidth="1"/>
    <col min="13" max="13" width="12.54296875" style="24"/>
    <col min="14" max="14" width="25.1796875" style="24" customWidth="1"/>
    <col min="15" max="16384" width="12.54296875" style="24"/>
  </cols>
  <sheetData>
    <row r="1" spans="2:15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5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5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5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5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5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5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5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5" ht="19" thickBot="1" x14ac:dyDescent="0.5">
      <c r="B9" s="23"/>
    </row>
    <row r="10" spans="2:15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882</v>
      </c>
      <c r="J10" s="29" t="s">
        <v>29</v>
      </c>
      <c r="K10" s="452">
        <v>202010556</v>
      </c>
      <c r="L10" s="453"/>
    </row>
    <row r="11" spans="2:15" ht="20.149999999999999" customHeight="1" x14ac:dyDescent="0.45">
      <c r="B11" s="454"/>
      <c r="C11" s="455"/>
      <c r="D11" s="456"/>
      <c r="E11" s="30"/>
      <c r="F11" s="457" t="str">
        <f>VLOOKUP(H10,'Delivery Location'!A$4:N$416,2,0)</f>
        <v>Lion City Copi &amp; Toast Pte Ltd                  101, Upper Cross Street                        #02-48. People's Park Centre                    Singapore 058357</v>
      </c>
      <c r="G11" s="458"/>
      <c r="H11" s="459"/>
      <c r="J11" s="31" t="s">
        <v>11</v>
      </c>
      <c r="K11" s="551" t="s">
        <v>1358</v>
      </c>
      <c r="L11" s="472"/>
    </row>
    <row r="12" spans="2:15" ht="20.149999999999999" customHeight="1" x14ac:dyDescent="0.45">
      <c r="B12" s="468"/>
      <c r="C12" s="469"/>
      <c r="D12" s="470"/>
      <c r="E12" s="30"/>
      <c r="F12" s="460"/>
      <c r="G12" s="461"/>
      <c r="H12" s="462"/>
      <c r="J12" s="31" t="s">
        <v>171</v>
      </c>
      <c r="K12" s="551" t="s">
        <v>533</v>
      </c>
      <c r="L12" s="472"/>
    </row>
    <row r="13" spans="2:15" ht="20.149999999999999" customHeight="1" x14ac:dyDescent="0.45">
      <c r="B13" s="468"/>
      <c r="C13" s="469"/>
      <c r="D13" s="470"/>
      <c r="E13" s="30"/>
      <c r="F13" s="460"/>
      <c r="G13" s="461"/>
      <c r="H13" s="462"/>
      <c r="J13" s="31" t="s">
        <v>12</v>
      </c>
      <c r="K13" s="471" t="s">
        <v>688</v>
      </c>
      <c r="L13" s="472"/>
    </row>
    <row r="14" spans="2:15" ht="20.149999999999999" customHeight="1" x14ac:dyDescent="0.45">
      <c r="B14" s="468"/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5" ht="18" customHeight="1" thickBot="1" x14ac:dyDescent="0.5">
      <c r="B15" s="552"/>
      <c r="C15" s="474"/>
      <c r="D15" s="475"/>
      <c r="E15" s="26"/>
      <c r="F15" s="463"/>
      <c r="G15" s="464"/>
      <c r="H15" s="465"/>
      <c r="J15" s="32" t="s">
        <v>13</v>
      </c>
      <c r="K15" s="476"/>
      <c r="L15" s="477"/>
    </row>
    <row r="16" spans="2:15" ht="19" thickBot="1" x14ac:dyDescent="0.5">
      <c r="J16" s="22"/>
      <c r="N16" s="125" t="s">
        <v>539</v>
      </c>
      <c r="O16" s="24" t="s">
        <v>276</v>
      </c>
    </row>
    <row r="17" spans="2:22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143" t="s">
        <v>492</v>
      </c>
      <c r="O17" s="144" t="s">
        <v>843</v>
      </c>
    </row>
    <row r="18" spans="2:22" ht="22.5" customHeight="1" x14ac:dyDescent="0.45">
      <c r="B18" s="70"/>
      <c r="C18" s="22" t="s">
        <v>747</v>
      </c>
      <c r="D18" s="508" t="e">
        <f>VLOOKUP(C18,'Sales Master'!B$3:D$499,2,)</f>
        <v>#N/A</v>
      </c>
      <c r="E18" s="508"/>
      <c r="F18" s="508"/>
      <c r="G18" s="90">
        <v>1</v>
      </c>
      <c r="H18" s="68" t="e">
        <f>VLOOKUP(C18,'Sales Master'!$B$3:$F$3179,5,0)</f>
        <v>#N/A</v>
      </c>
      <c r="I18" s="481" t="e">
        <f>VLOOKUP(C18,'Sales Master'!$B$3:$E$3179,4,0)</f>
        <v>#N/A</v>
      </c>
      <c r="J18" s="481"/>
      <c r="K18" s="98" t="e">
        <f>VLOOKUP(C18,'Sales Master'!B$3:R$3515,17,0)</f>
        <v>#N/A</v>
      </c>
      <c r="L18" s="99" t="e">
        <f>K18*G18</f>
        <v>#N/A</v>
      </c>
      <c r="M18" s="78"/>
      <c r="N18" s="125" t="s">
        <v>428</v>
      </c>
      <c r="O18" s="24" t="s">
        <v>280</v>
      </c>
      <c r="R18" s="24">
        <v>2</v>
      </c>
      <c r="S18" s="24" t="s">
        <v>36</v>
      </c>
      <c r="T18" s="24" t="s">
        <v>71</v>
      </c>
      <c r="V18" s="24">
        <v>6</v>
      </c>
    </row>
    <row r="19" spans="2:22" ht="20.149999999999999" customHeight="1" x14ac:dyDescent="0.45">
      <c r="B19" s="70"/>
      <c r="C19" s="22"/>
      <c r="D19" s="508"/>
      <c r="E19" s="508"/>
      <c r="F19" s="508"/>
      <c r="G19" s="90"/>
      <c r="H19" s="68"/>
      <c r="I19" s="481"/>
      <c r="J19" s="481"/>
      <c r="K19" s="98"/>
      <c r="L19" s="99"/>
      <c r="M19" s="78"/>
      <c r="N19" s="125" t="s">
        <v>447</v>
      </c>
      <c r="O19" s="24" t="s">
        <v>459</v>
      </c>
      <c r="R19" s="24">
        <v>2</v>
      </c>
      <c r="S19" s="24" t="s">
        <v>260</v>
      </c>
      <c r="T19" s="24" t="s">
        <v>709</v>
      </c>
      <c r="V19" s="24">
        <v>30</v>
      </c>
    </row>
    <row r="20" spans="2:22" ht="20.149999999999999" customHeight="1" x14ac:dyDescent="0.45">
      <c r="B20" s="70"/>
      <c r="C20" s="22"/>
      <c r="D20" s="508"/>
      <c r="E20" s="508"/>
      <c r="F20" s="508"/>
      <c r="G20" s="90"/>
      <c r="H20" s="68"/>
      <c r="I20" s="481"/>
      <c r="J20" s="481"/>
      <c r="K20" s="98"/>
      <c r="L20" s="99"/>
      <c r="M20" s="78"/>
      <c r="N20" s="125" t="s">
        <v>444</v>
      </c>
      <c r="O20" s="24" t="s">
        <v>676</v>
      </c>
      <c r="R20" s="24">
        <v>1</v>
      </c>
      <c r="S20" s="24" t="s">
        <v>677</v>
      </c>
      <c r="T20" s="24" t="s">
        <v>684</v>
      </c>
      <c r="V20" s="24">
        <v>52.8</v>
      </c>
    </row>
    <row r="21" spans="2:22" ht="20.149999999999999" customHeight="1" x14ac:dyDescent="0.45">
      <c r="B21" s="70"/>
      <c r="C21" s="22"/>
      <c r="D21" s="508"/>
      <c r="E21" s="508"/>
      <c r="F21" s="508"/>
      <c r="G21" s="90"/>
      <c r="H21" s="68"/>
      <c r="I21" s="481"/>
      <c r="J21" s="481"/>
      <c r="K21" s="98"/>
      <c r="L21" s="99"/>
      <c r="M21" s="78"/>
      <c r="N21" s="125" t="s">
        <v>489</v>
      </c>
      <c r="O21" s="24" t="s">
        <v>298</v>
      </c>
      <c r="R21" s="24">
        <v>1</v>
      </c>
      <c r="S21" s="24" t="s">
        <v>36</v>
      </c>
      <c r="T21" s="24" t="s">
        <v>671</v>
      </c>
      <c r="V21" s="24">
        <v>30</v>
      </c>
    </row>
    <row r="22" spans="2:22" ht="20.149999999999999" customHeight="1" x14ac:dyDescent="0.45">
      <c r="B22" s="70"/>
      <c r="C22" s="22"/>
      <c r="D22" s="508"/>
      <c r="E22" s="508"/>
      <c r="F22" s="508"/>
      <c r="G22" s="90"/>
      <c r="H22" s="68"/>
      <c r="I22" s="481"/>
      <c r="J22" s="481"/>
      <c r="K22" s="98"/>
      <c r="L22" s="99"/>
      <c r="M22" s="78"/>
      <c r="N22" s="125" t="s">
        <v>492</v>
      </c>
      <c r="O22" s="24" t="s">
        <v>300</v>
      </c>
      <c r="R22" s="24">
        <v>10</v>
      </c>
      <c r="S22" s="24" t="s">
        <v>36</v>
      </c>
      <c r="T22" s="24" t="s">
        <v>662</v>
      </c>
      <c r="V22" s="24">
        <v>0.8</v>
      </c>
    </row>
    <row r="23" spans="2:22" ht="20.149999999999999" customHeight="1" x14ac:dyDescent="0.45">
      <c r="B23" s="70"/>
      <c r="C23" s="22"/>
      <c r="D23" s="508"/>
      <c r="E23" s="508"/>
      <c r="F23" s="508"/>
      <c r="G23" s="90"/>
      <c r="H23" s="68"/>
      <c r="I23" s="481"/>
      <c r="J23" s="481"/>
      <c r="K23" s="98"/>
      <c r="L23" s="99"/>
      <c r="M23" s="78"/>
      <c r="N23" s="142" t="s">
        <v>475</v>
      </c>
      <c r="O23" s="142" t="s">
        <v>842</v>
      </c>
      <c r="R23" s="24">
        <v>1</v>
      </c>
      <c r="S23" s="24" t="s">
        <v>36</v>
      </c>
      <c r="T23" s="24" t="s">
        <v>54</v>
      </c>
      <c r="V23" s="24">
        <v>16</v>
      </c>
    </row>
    <row r="24" spans="2:22" ht="20.149999999999999" customHeight="1" x14ac:dyDescent="0.45">
      <c r="B24" s="70"/>
      <c r="C24" s="22"/>
      <c r="D24" s="508"/>
      <c r="E24" s="508"/>
      <c r="F24" s="508"/>
      <c r="G24" s="90"/>
      <c r="H24" s="68"/>
      <c r="I24" s="481"/>
      <c r="J24" s="481"/>
      <c r="K24" s="98"/>
      <c r="L24" s="99"/>
      <c r="M24" s="78"/>
      <c r="N24" s="24" t="s">
        <v>407</v>
      </c>
      <c r="O24" s="24" t="s">
        <v>306</v>
      </c>
      <c r="R24" s="24">
        <v>1</v>
      </c>
      <c r="S24" s="24" t="s">
        <v>36</v>
      </c>
      <c r="T24" s="24" t="s">
        <v>54</v>
      </c>
      <c r="V24" s="24">
        <v>18</v>
      </c>
    </row>
    <row r="25" spans="2:22" ht="20.149999999999999" customHeight="1" x14ac:dyDescent="0.45">
      <c r="B25" s="70"/>
      <c r="C25" s="22"/>
      <c r="D25" s="508"/>
      <c r="E25" s="508"/>
      <c r="F25" s="508"/>
      <c r="G25" s="90"/>
      <c r="H25" s="68"/>
      <c r="I25" s="481"/>
      <c r="J25" s="481"/>
      <c r="K25" s="98"/>
      <c r="L25" s="99"/>
      <c r="M25" s="78"/>
      <c r="N25" s="24" t="s">
        <v>409</v>
      </c>
      <c r="O25" s="24" t="s">
        <v>308</v>
      </c>
      <c r="R25" s="24">
        <v>1</v>
      </c>
      <c r="S25" s="24" t="s">
        <v>36</v>
      </c>
      <c r="T25" s="24" t="s">
        <v>73</v>
      </c>
      <c r="V25" s="24">
        <v>8.5</v>
      </c>
    </row>
    <row r="26" spans="2:22" ht="20.149999999999999" customHeight="1" x14ac:dyDescent="0.45">
      <c r="B26" s="70"/>
      <c r="C26" s="22"/>
      <c r="D26" s="508"/>
      <c r="E26" s="508"/>
      <c r="F26" s="508"/>
      <c r="G26" s="90"/>
      <c r="H26" s="68"/>
      <c r="I26" s="481"/>
      <c r="J26" s="481"/>
      <c r="K26" s="98"/>
      <c r="L26" s="99"/>
      <c r="M26" s="78"/>
      <c r="N26" s="24" t="s">
        <v>412</v>
      </c>
      <c r="O26" s="24" t="s">
        <v>311</v>
      </c>
      <c r="R26" s="24">
        <v>1</v>
      </c>
      <c r="S26" s="24" t="s">
        <v>36</v>
      </c>
      <c r="T26" s="24" t="s">
        <v>54</v>
      </c>
      <c r="V26" s="24">
        <v>10</v>
      </c>
    </row>
    <row r="27" spans="2:22" ht="20.149999999999999" customHeight="1" x14ac:dyDescent="0.45">
      <c r="B27" s="70"/>
      <c r="C27" s="22"/>
      <c r="D27" s="508"/>
      <c r="E27" s="508"/>
      <c r="F27" s="508"/>
      <c r="G27" s="90"/>
      <c r="H27" s="68"/>
      <c r="I27" s="481"/>
      <c r="J27" s="481"/>
      <c r="K27" s="98"/>
      <c r="L27" s="99"/>
      <c r="M27" s="78"/>
      <c r="N27" s="125" t="s">
        <v>813</v>
      </c>
      <c r="O27" s="125" t="s">
        <v>496</v>
      </c>
      <c r="P27" s="125"/>
      <c r="Q27" s="125"/>
      <c r="R27" s="125">
        <v>15</v>
      </c>
      <c r="S27" s="24" t="s">
        <v>643</v>
      </c>
      <c r="T27" s="24" t="s">
        <v>34</v>
      </c>
      <c r="V27" s="24">
        <v>20</v>
      </c>
    </row>
    <row r="28" spans="2:22" ht="20.149999999999999" customHeight="1" x14ac:dyDescent="0.45">
      <c r="B28" s="70"/>
      <c r="C28" s="22"/>
      <c r="D28" s="508"/>
      <c r="E28" s="508"/>
      <c r="F28" s="508"/>
      <c r="G28" s="90"/>
      <c r="H28" s="68"/>
      <c r="I28" s="481"/>
      <c r="J28" s="481"/>
      <c r="K28" s="98"/>
      <c r="L28" s="99"/>
      <c r="M28" s="78"/>
      <c r="N28" s="24" t="s">
        <v>429</v>
      </c>
      <c r="O28" s="24" t="s">
        <v>316</v>
      </c>
      <c r="R28" s="24">
        <v>1</v>
      </c>
      <c r="S28" s="24" t="s">
        <v>610</v>
      </c>
      <c r="T28" s="24" t="s">
        <v>530</v>
      </c>
      <c r="V28" s="24">
        <v>13</v>
      </c>
    </row>
    <row r="29" spans="2:22" ht="20.149999999999999" customHeight="1" x14ac:dyDescent="0.45">
      <c r="B29" s="70"/>
      <c r="C29" s="22"/>
      <c r="D29" s="508"/>
      <c r="E29" s="508"/>
      <c r="F29" s="508"/>
      <c r="G29" s="90"/>
      <c r="H29" s="68"/>
      <c r="I29" s="481"/>
      <c r="J29" s="481"/>
      <c r="K29" s="98"/>
      <c r="L29" s="99"/>
      <c r="N29" s="24" t="s">
        <v>433</v>
      </c>
      <c r="O29" s="24" t="s">
        <v>318</v>
      </c>
      <c r="R29" s="24">
        <v>2</v>
      </c>
      <c r="S29" s="24" t="s">
        <v>36</v>
      </c>
      <c r="T29" s="24" t="s">
        <v>689</v>
      </c>
      <c r="V29" s="24">
        <v>20</v>
      </c>
    </row>
    <row r="30" spans="2:22" ht="20.149999999999999" customHeight="1" x14ac:dyDescent="0.45">
      <c r="B30" s="70"/>
      <c r="C30" s="22"/>
      <c r="D30" s="508"/>
      <c r="E30" s="508"/>
      <c r="F30" s="508"/>
      <c r="G30" s="90"/>
      <c r="H30" s="68"/>
      <c r="I30" s="481"/>
      <c r="J30" s="481"/>
      <c r="K30" s="98"/>
      <c r="L30" s="99"/>
      <c r="M30" s="78"/>
      <c r="N30" s="125" t="s">
        <v>834</v>
      </c>
      <c r="O30" s="24" t="s">
        <v>337</v>
      </c>
      <c r="R30" s="24">
        <v>2</v>
      </c>
      <c r="S30" s="24" t="s">
        <v>36</v>
      </c>
      <c r="T30" s="24" t="s">
        <v>531</v>
      </c>
      <c r="V30" s="24">
        <v>40</v>
      </c>
    </row>
    <row r="31" spans="2:22" ht="20.149999999999999" customHeight="1" x14ac:dyDescent="0.45">
      <c r="B31" s="70"/>
      <c r="C31" s="22"/>
      <c r="D31" s="508"/>
      <c r="E31" s="508"/>
      <c r="F31" s="508"/>
      <c r="G31" s="90"/>
      <c r="H31" s="68"/>
      <c r="I31" s="481"/>
      <c r="J31" s="481"/>
      <c r="K31" s="98"/>
      <c r="L31" s="99"/>
      <c r="M31" s="78"/>
    </row>
    <row r="32" spans="2:22" ht="20.149999999999999" customHeight="1" x14ac:dyDescent="0.45">
      <c r="B32" s="70"/>
      <c r="C32" s="22"/>
      <c r="D32" s="508"/>
      <c r="E32" s="508"/>
      <c r="F32" s="508"/>
      <c r="G32" s="90"/>
      <c r="H32" s="68"/>
      <c r="I32" s="481"/>
      <c r="J32" s="481"/>
      <c r="K32" s="98"/>
      <c r="L32" s="99"/>
      <c r="M32" s="78"/>
    </row>
    <row r="33" spans="2:22" ht="20.149999999999999" customHeight="1" x14ac:dyDescent="0.45">
      <c r="B33" s="70"/>
      <c r="C33" s="22"/>
      <c r="D33" s="508"/>
      <c r="E33" s="508"/>
      <c r="F33" s="508"/>
      <c r="G33" s="90"/>
      <c r="H33" s="68"/>
      <c r="I33" s="481"/>
      <c r="J33" s="481"/>
      <c r="K33" s="98"/>
      <c r="L33" s="99"/>
      <c r="M33" s="78"/>
      <c r="N33" s="24" t="s">
        <v>410</v>
      </c>
      <c r="O33" s="24" t="s">
        <v>309</v>
      </c>
      <c r="R33" s="24">
        <v>1</v>
      </c>
      <c r="S33" s="24" t="s">
        <v>536</v>
      </c>
      <c r="T33" s="24" t="s">
        <v>54</v>
      </c>
      <c r="V33" s="24">
        <v>7</v>
      </c>
    </row>
    <row r="34" spans="2:22" ht="20.149999999999999" customHeight="1" x14ac:dyDescent="0.45">
      <c r="B34" s="70"/>
      <c r="C34" s="22"/>
      <c r="D34" s="508"/>
      <c r="E34" s="508"/>
      <c r="F34" s="508"/>
      <c r="G34" s="91"/>
      <c r="H34" s="68"/>
      <c r="I34" s="481"/>
      <c r="J34" s="481"/>
      <c r="K34" s="98"/>
      <c r="L34" s="99"/>
      <c r="M34" s="78"/>
      <c r="N34" s="24" t="s">
        <v>427</v>
      </c>
      <c r="O34" s="24" t="s">
        <v>337</v>
      </c>
      <c r="R34" s="24">
        <v>1</v>
      </c>
      <c r="S34" s="24" t="s">
        <v>36</v>
      </c>
      <c r="T34" s="24" t="s">
        <v>531</v>
      </c>
      <c r="V34" s="24">
        <v>0</v>
      </c>
    </row>
    <row r="35" spans="2:22" ht="20.149999999999999" customHeight="1" x14ac:dyDescent="0.45">
      <c r="B35" s="70"/>
      <c r="C35" s="22"/>
      <c r="D35" s="508"/>
      <c r="E35" s="508"/>
      <c r="F35" s="508"/>
      <c r="G35" s="91"/>
      <c r="H35" s="68"/>
      <c r="I35" s="481"/>
      <c r="J35" s="481"/>
      <c r="K35" s="98"/>
      <c r="L35" s="99"/>
      <c r="M35" s="78"/>
      <c r="N35" s="24" t="s">
        <v>434</v>
      </c>
      <c r="O35" s="24" t="s">
        <v>334</v>
      </c>
      <c r="R35" s="24">
        <v>1</v>
      </c>
      <c r="S35" s="24" t="s">
        <v>36</v>
      </c>
      <c r="T35" s="24" t="s">
        <v>529</v>
      </c>
      <c r="V35" s="24">
        <v>0</v>
      </c>
    </row>
    <row r="36" spans="2:22" ht="20.149999999999999" customHeight="1" x14ac:dyDescent="0.45">
      <c r="B36" s="70"/>
      <c r="C36" s="22"/>
      <c r="D36" s="508"/>
      <c r="E36" s="508"/>
      <c r="F36" s="508"/>
      <c r="G36" s="91"/>
      <c r="H36" s="68"/>
      <c r="I36" s="481"/>
      <c r="J36" s="481"/>
      <c r="K36" s="98"/>
      <c r="L36" s="99"/>
      <c r="M36" s="78"/>
    </row>
    <row r="37" spans="2:22" ht="20.149999999999999" customHeight="1" x14ac:dyDescent="0.45">
      <c r="B37" s="70"/>
      <c r="C37" s="22"/>
      <c r="D37" s="508"/>
      <c r="E37" s="508"/>
      <c r="F37" s="508"/>
      <c r="G37" s="90"/>
      <c r="H37" s="68"/>
      <c r="I37" s="481"/>
      <c r="J37" s="481"/>
      <c r="K37" s="98"/>
      <c r="L37" s="99"/>
      <c r="M37" s="78"/>
    </row>
    <row r="38" spans="2:22" ht="20.149999999999999" customHeight="1" x14ac:dyDescent="0.45">
      <c r="B38" s="70"/>
      <c r="C38" s="22"/>
      <c r="D38" s="508"/>
      <c r="E38" s="508"/>
      <c r="F38" s="508"/>
      <c r="G38" s="90"/>
      <c r="H38" s="68"/>
      <c r="I38" s="481"/>
      <c r="J38" s="481"/>
      <c r="K38" s="98"/>
      <c r="L38" s="99"/>
      <c r="M38" s="78"/>
    </row>
    <row r="39" spans="2:22" ht="20.149999999999999" customHeight="1" x14ac:dyDescent="0.45">
      <c r="B39" s="70"/>
      <c r="C39" s="22"/>
      <c r="D39" s="508"/>
      <c r="E39" s="508"/>
      <c r="F39" s="508"/>
      <c r="G39" s="90"/>
      <c r="H39" s="68"/>
      <c r="I39" s="481"/>
      <c r="J39" s="481"/>
      <c r="K39" s="98"/>
      <c r="L39" s="99"/>
      <c r="M39" s="78"/>
    </row>
    <row r="40" spans="2:22" ht="20.149999999999999" customHeight="1" x14ac:dyDescent="0.45">
      <c r="B40" s="70"/>
      <c r="C40" s="22"/>
      <c r="D40" s="508"/>
      <c r="E40" s="508"/>
      <c r="F40" s="508"/>
      <c r="G40" s="90"/>
      <c r="H40" s="68"/>
      <c r="I40" s="481"/>
      <c r="J40" s="481"/>
      <c r="K40" s="98"/>
      <c r="L40" s="99"/>
    </row>
    <row r="41" spans="2:22" ht="20.149999999999999" customHeight="1" thickBot="1" x14ac:dyDescent="0.5">
      <c r="B41" s="52"/>
      <c r="C41" s="53"/>
      <c r="D41" s="53"/>
      <c r="E41" s="53"/>
      <c r="F41" s="53"/>
      <c r="G41" s="53"/>
      <c r="H41" s="53"/>
      <c r="I41" s="53"/>
      <c r="J41" s="53"/>
      <c r="K41" s="53"/>
      <c r="L41" s="54"/>
    </row>
    <row r="42" spans="2:22" ht="20.149999999999999" customHeight="1" x14ac:dyDescent="0.45">
      <c r="B42" s="11" t="s">
        <v>18</v>
      </c>
      <c r="C42" s="7"/>
      <c r="D42" s="7"/>
      <c r="E42" s="7"/>
      <c r="F42" s="7"/>
      <c r="G42" s="7"/>
      <c r="H42" s="7"/>
      <c r="I42" s="7"/>
      <c r="J42" s="510" t="s">
        <v>15</v>
      </c>
      <c r="K42" s="511"/>
      <c r="L42" s="43" t="e">
        <f>SUM(L17:L40)</f>
        <v>#N/A</v>
      </c>
      <c r="M42" s="76" t="e">
        <f>L42-316.5</f>
        <v>#N/A</v>
      </c>
    </row>
    <row r="43" spans="2:22" ht="20.149999999999999" customHeight="1" x14ac:dyDescent="0.45">
      <c r="B43" s="11" t="s">
        <v>19</v>
      </c>
      <c r="C43" s="7"/>
      <c r="D43" s="7"/>
      <c r="E43" s="7"/>
      <c r="F43" s="7"/>
      <c r="G43" s="7"/>
      <c r="H43" s="7"/>
      <c r="I43" s="7"/>
      <c r="J43" s="44" t="s">
        <v>22</v>
      </c>
      <c r="K43" s="45"/>
      <c r="L43" s="46" t="e">
        <f>L42*K43</f>
        <v>#N/A</v>
      </c>
    </row>
    <row r="44" spans="2:22" ht="20.149999999999999" customHeight="1" x14ac:dyDescent="0.45">
      <c r="B44" s="11" t="s">
        <v>20</v>
      </c>
      <c r="C44" s="7"/>
      <c r="D44" s="7"/>
      <c r="E44" s="7"/>
      <c r="F44" s="7"/>
      <c r="G44" s="7"/>
      <c r="H44" s="7"/>
      <c r="I44" s="7"/>
      <c r="J44" s="486" t="s">
        <v>21</v>
      </c>
      <c r="K44" s="487"/>
      <c r="L44" s="46" t="e">
        <f>L42-L43</f>
        <v>#N/A</v>
      </c>
    </row>
    <row r="45" spans="2:22" ht="20.149999999999999" customHeight="1" x14ac:dyDescent="0.45">
      <c r="B45" s="11" t="s">
        <v>24</v>
      </c>
      <c r="C45" s="7"/>
      <c r="D45" s="7"/>
      <c r="E45" s="7"/>
      <c r="F45" s="7"/>
      <c r="G45" s="7"/>
      <c r="H45" s="7"/>
      <c r="I45" s="7"/>
      <c r="J45" s="150" t="s">
        <v>17</v>
      </c>
      <c r="K45" s="151">
        <v>7.0000000000000007E-2</v>
      </c>
      <c r="L45" s="47" t="e">
        <f>L44*K45</f>
        <v>#N/A</v>
      </c>
    </row>
    <row r="46" spans="2:22" ht="20.149999999999999" customHeight="1" thickBot="1" x14ac:dyDescent="0.5">
      <c r="B46" s="11" t="s">
        <v>1400</v>
      </c>
      <c r="C46" s="7"/>
      <c r="D46" s="7"/>
      <c r="E46" s="7"/>
      <c r="F46" s="7"/>
      <c r="G46" s="7"/>
      <c r="H46" s="7"/>
      <c r="I46" s="7"/>
      <c r="J46" s="488" t="s">
        <v>23</v>
      </c>
      <c r="K46" s="489"/>
      <c r="L46" s="48" t="e">
        <f>L44+L45</f>
        <v>#N/A</v>
      </c>
    </row>
    <row r="47" spans="2:22" ht="20.149999999999999" customHeight="1" x14ac:dyDescent="0.45">
      <c r="B47" s="11" t="s">
        <v>26</v>
      </c>
      <c r="C47" s="7"/>
      <c r="D47" s="7"/>
      <c r="E47" s="7"/>
      <c r="F47" s="7"/>
      <c r="G47" s="7"/>
      <c r="H47" s="7"/>
      <c r="I47" s="7"/>
      <c r="L47" s="42"/>
    </row>
    <row r="48" spans="2:22" ht="20.149999999999999" customHeight="1" x14ac:dyDescent="0.45">
      <c r="B48" s="224" t="s">
        <v>1379</v>
      </c>
      <c r="L48" s="42"/>
    </row>
    <row r="49" spans="2:12" ht="20.149999999999999" customHeight="1" x14ac:dyDescent="0.45">
      <c r="B49" s="41"/>
      <c r="L49" s="42"/>
    </row>
    <row r="50" spans="2:12" ht="20.149999999999999" customHeight="1" x14ac:dyDescent="0.45">
      <c r="B50" s="41"/>
      <c r="L50" s="42"/>
    </row>
    <row r="51" spans="2:12" ht="20.149999999999999" customHeight="1" x14ac:dyDescent="0.45">
      <c r="B51" s="41"/>
      <c r="L51" s="42"/>
    </row>
    <row r="52" spans="2:12" ht="20.149999999999999" customHeight="1" x14ac:dyDescent="0.45">
      <c r="B52" s="49"/>
      <c r="C52" s="50"/>
      <c r="D52" s="50"/>
      <c r="J52" s="50"/>
      <c r="K52" s="50"/>
      <c r="L52" s="51"/>
    </row>
    <row r="53" spans="2:12" ht="20.149999999999999" customHeight="1" x14ac:dyDescent="0.45">
      <c r="B53" s="41" t="s">
        <v>27</v>
      </c>
      <c r="J53" s="24" t="s">
        <v>28</v>
      </c>
      <c r="L53" s="42"/>
    </row>
    <row r="54" spans="2:12" ht="19" thickBot="1" x14ac:dyDescent="0.5">
      <c r="B54" s="52"/>
      <c r="C54" s="53"/>
      <c r="D54" s="53"/>
      <c r="E54" s="53"/>
      <c r="F54" s="53"/>
      <c r="G54" s="53"/>
      <c r="H54" s="53"/>
      <c r="I54" s="53"/>
      <c r="J54" s="53"/>
      <c r="K54" s="53"/>
      <c r="L54" s="54"/>
    </row>
  </sheetData>
  <mergeCells count="64"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I17:J17"/>
    <mergeCell ref="D18:F18"/>
    <mergeCell ref="I18:J18"/>
    <mergeCell ref="D19:F19"/>
    <mergeCell ref="I19:J19"/>
    <mergeCell ref="D20:F20"/>
    <mergeCell ref="I20:J20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D28:F28"/>
    <mergeCell ref="I28:J28"/>
    <mergeCell ref="D29:F29"/>
    <mergeCell ref="I29:J29"/>
    <mergeCell ref="D30:F30"/>
    <mergeCell ref="I30:J30"/>
    <mergeCell ref="D31:F31"/>
    <mergeCell ref="I31:J31"/>
    <mergeCell ref="D32:F32"/>
    <mergeCell ref="I32:J32"/>
    <mergeCell ref="D33:F33"/>
    <mergeCell ref="I33:J33"/>
    <mergeCell ref="D34:F34"/>
    <mergeCell ref="I34:J34"/>
    <mergeCell ref="B1:L8"/>
    <mergeCell ref="J42:K42"/>
    <mergeCell ref="J44:K44"/>
    <mergeCell ref="J46:K46"/>
    <mergeCell ref="D38:F38"/>
    <mergeCell ref="I38:J38"/>
    <mergeCell ref="D39:F39"/>
    <mergeCell ref="I39:J39"/>
    <mergeCell ref="D40:F40"/>
    <mergeCell ref="I40:J40"/>
    <mergeCell ref="D35:F35"/>
    <mergeCell ref="I35:J35"/>
    <mergeCell ref="D36:F36"/>
    <mergeCell ref="I36:J36"/>
    <mergeCell ref="D37:F37"/>
    <mergeCell ref="I37:J37"/>
  </mergeCells>
  <conditionalFormatting sqref="C35 C29 C37 C18:C21 C23:C25">
    <cfRule type="duplicateValues" dxfId="1" priority="1"/>
  </conditionalFormatting>
  <pageMargins left="0.70866141732283472" right="0.31496062992125984" top="0.59055118110236227" bottom="0" header="0.31496062992125984" footer="0.31496062992125984"/>
  <pageSetup paperSize="9" scale="73" orientation="portrait" verticalDpi="300" r:id="rId1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3C82E8-5879-42AF-818F-4E032CC1F534}">
  <sheetPr codeName="Sheet103">
    <tabColor rgb="FFFFFF00"/>
    <pageSetUpPr fitToPage="1"/>
  </sheetPr>
  <dimension ref="B1:V45"/>
  <sheetViews>
    <sheetView workbookViewId="0">
      <selection activeCell="B1" sqref="B1:L45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4.54296875" style="24" customWidth="1"/>
    <col min="7" max="7" width="8.54296875" style="24" customWidth="1"/>
    <col min="8" max="8" width="16.81640625" style="24" customWidth="1"/>
    <col min="9" max="9" width="1.453125" style="24" customWidth="1"/>
    <col min="10" max="10" width="15.54296875" style="24" customWidth="1"/>
    <col min="11" max="11" width="10.54296875" style="24" customWidth="1"/>
    <col min="12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8.5" customHeight="1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167</v>
      </c>
      <c r="J10" s="29" t="s">
        <v>29</v>
      </c>
      <c r="K10" s="452">
        <v>202102064</v>
      </c>
      <c r="L10" s="453"/>
    </row>
    <row r="11" spans="2:12" ht="20.149999999999999" customHeight="1" x14ac:dyDescent="0.45">
      <c r="B11" s="454" t="s">
        <v>2022</v>
      </c>
      <c r="C11" s="455"/>
      <c r="D11" s="456"/>
      <c r="E11" s="30"/>
      <c r="F11" s="457" t="str">
        <f>VLOOKUP(H10,'Delivery Location'!A$4:N$416,2,0)</f>
        <v xml:space="preserve">Koufu - (Dessert)                                     180, Ang Mo Kio Ave 8. Block A unit 235 Nanyang Polythenic Singapore 569830                                      </v>
      </c>
      <c r="G11" s="458"/>
      <c r="H11" s="459"/>
      <c r="J11" s="31" t="s">
        <v>11</v>
      </c>
      <c r="K11" s="551">
        <v>44230</v>
      </c>
      <c r="L11" s="472"/>
    </row>
    <row r="12" spans="2:12" ht="20.149999999999999" customHeight="1" x14ac:dyDescent="0.45">
      <c r="B12" s="468" t="s">
        <v>2139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533</v>
      </c>
      <c r="L12" s="472"/>
    </row>
    <row r="13" spans="2:12" ht="20.149999999999999" customHeight="1" x14ac:dyDescent="0.45">
      <c r="B13" s="468" t="s">
        <v>2024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14</v>
      </c>
      <c r="L13" s="472"/>
    </row>
    <row r="14" spans="2:12" ht="20.149999999999999" customHeight="1" x14ac:dyDescent="0.45">
      <c r="B14" s="468" t="s">
        <v>2025</v>
      </c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463" t="s">
        <v>2026</v>
      </c>
      <c r="C15" s="464"/>
      <c r="D15" s="465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22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3"/>
      <c r="O17" s="33"/>
    </row>
    <row r="18" spans="2:22" ht="20.149999999999999" customHeight="1" x14ac:dyDescent="0.45">
      <c r="B18" s="92"/>
      <c r="C18" s="85" t="s">
        <v>612</v>
      </c>
      <c r="D18" s="555" t="e">
        <f>VLOOKUP(C18,'Sales Master'!B$3:D$499,2,)</f>
        <v>#N/A</v>
      </c>
      <c r="E18" s="555"/>
      <c r="F18" s="555"/>
      <c r="G18" s="85">
        <v>1</v>
      </c>
      <c r="H18" s="68" t="e">
        <f>VLOOKUP(C18,'Sales Master'!$B$3:$F$3179,5,0)</f>
        <v>#N/A</v>
      </c>
      <c r="I18" s="481" t="e">
        <f>VLOOKUP(C18,'Sales Master'!$B$3:$E$3179,4,0)</f>
        <v>#N/A</v>
      </c>
      <c r="J18" s="481"/>
      <c r="K18" s="148" t="e">
        <f>VLOOKUP(C18,'Sales Master'!$B$3:$AX$583,49,0)</f>
        <v>#N/A</v>
      </c>
      <c r="L18" s="149" t="e">
        <f t="shared" ref="L18:L23" si="0">K18*G18</f>
        <v>#N/A</v>
      </c>
    </row>
    <row r="19" spans="2:22" ht="20.149999999999999" customHeight="1" x14ac:dyDescent="0.45">
      <c r="B19" s="92"/>
      <c r="C19" s="85" t="s">
        <v>631</v>
      </c>
      <c r="D19" s="555" t="e">
        <f>VLOOKUP(C19,'Sales Master'!B$3:D$499,2,)</f>
        <v>#N/A</v>
      </c>
      <c r="E19" s="555"/>
      <c r="F19" s="555"/>
      <c r="G19" s="85">
        <v>1</v>
      </c>
      <c r="H19" s="68" t="e">
        <f>VLOOKUP(C19,'Sales Master'!$B$3:$F$3179,5,0)</f>
        <v>#N/A</v>
      </c>
      <c r="I19" s="481" t="e">
        <f>VLOOKUP(C19,'Sales Master'!$B$3:$E$3179,4,0)</f>
        <v>#N/A</v>
      </c>
      <c r="J19" s="481"/>
      <c r="K19" s="148" t="e">
        <f>VLOOKUP(C19,'Sales Master'!$B$3:$AX$583,49,0)</f>
        <v>#N/A</v>
      </c>
      <c r="L19" s="149" t="e">
        <f>K19*G19</f>
        <v>#N/A</v>
      </c>
      <c r="N19" s="125" t="s">
        <v>383</v>
      </c>
      <c r="O19" s="24" t="s">
        <v>285</v>
      </c>
      <c r="R19" s="24">
        <v>1</v>
      </c>
      <c r="S19" s="24" t="s">
        <v>140</v>
      </c>
      <c r="T19" s="24" t="s">
        <v>668</v>
      </c>
      <c r="V19" s="24">
        <v>11</v>
      </c>
    </row>
    <row r="20" spans="2:22" ht="20.149999999999999" customHeight="1" x14ac:dyDescent="0.45">
      <c r="B20" s="34"/>
      <c r="C20" s="85" t="s">
        <v>400</v>
      </c>
      <c r="D20" s="555" t="e">
        <f>VLOOKUP(C20,'Sales Master'!B$3:D$499,2,)</f>
        <v>#N/A</v>
      </c>
      <c r="E20" s="555"/>
      <c r="F20" s="555"/>
      <c r="G20" s="85">
        <v>1</v>
      </c>
      <c r="H20" s="68" t="e">
        <f>VLOOKUP(C20,'Sales Master'!$B$3:$F$3179,5,0)</f>
        <v>#N/A</v>
      </c>
      <c r="I20" s="481" t="e">
        <f>VLOOKUP(C20,'Sales Master'!$B$3:$E$3179,4,0)</f>
        <v>#N/A</v>
      </c>
      <c r="J20" s="481"/>
      <c r="K20" s="148" t="e">
        <f>VLOOKUP(C20,'Sales Master'!$B$3:$AX$583,49,0)</f>
        <v>#N/A</v>
      </c>
      <c r="L20" s="149" t="e">
        <f t="shared" si="0"/>
        <v>#N/A</v>
      </c>
      <c r="N20" s="125" t="s">
        <v>435</v>
      </c>
      <c r="O20" s="24" t="s">
        <v>298</v>
      </c>
      <c r="R20" s="24">
        <v>1</v>
      </c>
      <c r="S20" s="24" t="s">
        <v>643</v>
      </c>
      <c r="T20" s="24" t="s">
        <v>529</v>
      </c>
      <c r="V20" s="24">
        <v>9</v>
      </c>
    </row>
    <row r="21" spans="2:22" ht="20.149999999999999" customHeight="1" x14ac:dyDescent="0.45">
      <c r="B21" s="34"/>
      <c r="C21" s="85" t="s">
        <v>405</v>
      </c>
      <c r="D21" s="555" t="e">
        <f>VLOOKUP(C21,'Sales Master'!B$3:D$499,2,)</f>
        <v>#N/A</v>
      </c>
      <c r="E21" s="555"/>
      <c r="F21" s="555"/>
      <c r="G21" s="85">
        <v>1</v>
      </c>
      <c r="H21" s="68" t="e">
        <f>VLOOKUP(C21,'Sales Master'!$B$3:$F$3179,5,0)</f>
        <v>#N/A</v>
      </c>
      <c r="I21" s="481" t="e">
        <f>VLOOKUP(C21,'Sales Master'!$B$3:$E$3179,4,0)</f>
        <v>#N/A</v>
      </c>
      <c r="J21" s="481"/>
      <c r="K21" s="148" t="e">
        <f>VLOOKUP(C21,'Sales Master'!$B$3:$AX$583,49,0)</f>
        <v>#N/A</v>
      </c>
      <c r="L21" s="149" t="e">
        <f t="shared" si="0"/>
        <v>#N/A</v>
      </c>
      <c r="N21" s="125" t="s">
        <v>492</v>
      </c>
      <c r="O21" s="24" t="s">
        <v>300</v>
      </c>
      <c r="R21" s="24">
        <v>5</v>
      </c>
      <c r="S21" s="24" t="s">
        <v>36</v>
      </c>
      <c r="T21" s="24" t="s">
        <v>662</v>
      </c>
      <c r="V21" s="24">
        <v>0.7</v>
      </c>
    </row>
    <row r="22" spans="2:22" ht="20.149999999999999" customHeight="1" x14ac:dyDescent="0.45">
      <c r="B22" s="34"/>
      <c r="C22" s="85" t="s">
        <v>410</v>
      </c>
      <c r="D22" s="555" t="e">
        <f>VLOOKUP(C22,'Sales Master'!B$3:D$499,2,)</f>
        <v>#N/A</v>
      </c>
      <c r="E22" s="555"/>
      <c r="F22" s="555"/>
      <c r="G22" s="85">
        <v>1</v>
      </c>
      <c r="H22" s="68" t="e">
        <f>VLOOKUP(C22,'Sales Master'!$B$3:$F$3179,5,0)</f>
        <v>#N/A</v>
      </c>
      <c r="I22" s="481" t="e">
        <f>VLOOKUP(C22,'Sales Master'!$B$3:$E$3179,4,0)</f>
        <v>#N/A</v>
      </c>
      <c r="J22" s="481"/>
      <c r="K22" s="148" t="e">
        <f>VLOOKUP(C22,'Sales Master'!$B$3:$AX$583,49,0)</f>
        <v>#N/A</v>
      </c>
      <c r="L22" s="149" t="e">
        <f t="shared" si="0"/>
        <v>#N/A</v>
      </c>
      <c r="N22" s="125" t="s">
        <v>450</v>
      </c>
      <c r="O22" s="24" t="s">
        <v>614</v>
      </c>
      <c r="R22" s="24">
        <v>1</v>
      </c>
      <c r="S22" s="24" t="s">
        <v>615</v>
      </c>
      <c r="T22" s="24" t="s">
        <v>711</v>
      </c>
      <c r="V22" s="24">
        <v>34</v>
      </c>
    </row>
    <row r="23" spans="2:22" ht="20.149999999999999" customHeight="1" x14ac:dyDescent="0.45">
      <c r="B23" s="34"/>
      <c r="C23" s="85" t="s">
        <v>414</v>
      </c>
      <c r="D23" s="555" t="e">
        <f>VLOOKUP(C23,'Sales Master'!B$3:D$499,2,)</f>
        <v>#N/A</v>
      </c>
      <c r="E23" s="555"/>
      <c r="F23" s="555"/>
      <c r="G23" s="85">
        <v>1</v>
      </c>
      <c r="H23" s="68" t="e">
        <f>VLOOKUP(C23,'Sales Master'!$B$3:$F$3179,5,0)</f>
        <v>#N/A</v>
      </c>
      <c r="I23" s="481" t="e">
        <f>VLOOKUP(C23,'Sales Master'!$B$3:$E$3179,4,0)</f>
        <v>#N/A</v>
      </c>
      <c r="J23" s="481"/>
      <c r="K23" s="148" t="e">
        <f>VLOOKUP(C23,'Sales Master'!$B$3:$AX$583,49,0)</f>
        <v>#N/A</v>
      </c>
      <c r="L23" s="149" t="e">
        <f t="shared" si="0"/>
        <v>#N/A</v>
      </c>
    </row>
    <row r="24" spans="2:22" ht="20.149999999999999" customHeight="1" x14ac:dyDescent="0.45">
      <c r="B24" s="34"/>
      <c r="C24" s="85" t="s">
        <v>642</v>
      </c>
      <c r="D24" s="555" t="e">
        <f>VLOOKUP(C24,'Sales Master'!B$3:D$499,2,)</f>
        <v>#N/A</v>
      </c>
      <c r="E24" s="555"/>
      <c r="F24" s="555"/>
      <c r="G24" s="85">
        <v>1</v>
      </c>
      <c r="H24" s="68" t="e">
        <f>VLOOKUP(C24,'Sales Master'!$B$3:$F$3179,5,0)</f>
        <v>#N/A</v>
      </c>
      <c r="I24" s="481" t="e">
        <f>VLOOKUP(C24,'Sales Master'!$B$3:$E$3179,4,0)</f>
        <v>#N/A</v>
      </c>
      <c r="J24" s="481"/>
      <c r="K24" s="148" t="e">
        <f>VLOOKUP(C24,'Sales Master'!$B$3:$AX$583,49,0)</f>
        <v>#N/A</v>
      </c>
      <c r="L24" s="149" t="e">
        <f>K24*G24</f>
        <v>#N/A</v>
      </c>
    </row>
    <row r="25" spans="2:22" ht="20.149999999999999" customHeight="1" x14ac:dyDescent="0.45">
      <c r="B25" s="34"/>
      <c r="C25" s="85" t="s">
        <v>767</v>
      </c>
      <c r="D25" s="555" t="e">
        <f>VLOOKUP(C25,'Sales Master'!B$3:D$499,2,)</f>
        <v>#N/A</v>
      </c>
      <c r="E25" s="555"/>
      <c r="F25" s="555"/>
      <c r="G25" s="85">
        <v>1</v>
      </c>
      <c r="H25" s="68" t="e">
        <f>VLOOKUP(C25,'Sales Master'!$B$3:$F$3179,5,0)</f>
        <v>#N/A</v>
      </c>
      <c r="I25" s="481" t="e">
        <f>VLOOKUP(C25,'Sales Master'!$B$3:$E$3179,4,0)</f>
        <v>#N/A</v>
      </c>
      <c r="J25" s="481"/>
      <c r="K25" s="148" t="e">
        <f>VLOOKUP(C25,'Sales Master'!$B$3:$AX$583,49,0)</f>
        <v>#N/A</v>
      </c>
      <c r="L25" s="149" t="e">
        <f>K25*G25</f>
        <v>#N/A</v>
      </c>
    </row>
    <row r="26" spans="2:22" ht="20.149999999999999" customHeight="1" x14ac:dyDescent="0.45">
      <c r="B26" s="34"/>
      <c r="C26" s="85" t="s">
        <v>429</v>
      </c>
      <c r="D26" s="555" t="e">
        <f>VLOOKUP(C26,'Sales Master'!B$3:D$499,2,)</f>
        <v>#N/A</v>
      </c>
      <c r="E26" s="555"/>
      <c r="F26" s="555"/>
      <c r="G26" s="85">
        <v>1</v>
      </c>
      <c r="H26" s="68" t="e">
        <f>VLOOKUP(C26,'Sales Master'!$B$3:$F$3179,5,0)</f>
        <v>#N/A</v>
      </c>
      <c r="I26" s="481" t="e">
        <f>VLOOKUP(C26,'Sales Master'!$B$3:$E$3179,4,0)</f>
        <v>#N/A</v>
      </c>
      <c r="J26" s="481"/>
      <c r="K26" s="148" t="e">
        <f>VLOOKUP(C26,'Sales Master'!$B$3:$AX$583,49,0)</f>
        <v>#N/A</v>
      </c>
      <c r="L26" s="149" t="e">
        <f>K26*G26</f>
        <v>#N/A</v>
      </c>
    </row>
    <row r="27" spans="2:22" ht="20.149999999999999" customHeight="1" x14ac:dyDescent="0.45">
      <c r="B27" s="34"/>
      <c r="C27" s="85"/>
      <c r="D27" s="555"/>
      <c r="E27" s="555"/>
      <c r="F27" s="555"/>
      <c r="G27" s="85"/>
      <c r="H27" s="68"/>
      <c r="I27" s="481"/>
      <c r="J27" s="481"/>
      <c r="K27" s="148"/>
      <c r="L27" s="149"/>
    </row>
    <row r="28" spans="2:22" ht="20.149999999999999" customHeight="1" x14ac:dyDescent="0.45">
      <c r="B28" s="34"/>
      <c r="C28" s="85"/>
      <c r="D28" s="555"/>
      <c r="E28" s="555"/>
      <c r="F28" s="555"/>
      <c r="G28" s="85"/>
      <c r="H28" s="68"/>
      <c r="I28" s="481"/>
      <c r="J28" s="481"/>
      <c r="K28" s="148"/>
      <c r="L28" s="149"/>
    </row>
    <row r="29" spans="2:22" ht="20.149999999999999" customHeight="1" x14ac:dyDescent="0.45">
      <c r="B29" s="34"/>
      <c r="C29" s="22"/>
      <c r="D29" s="555"/>
      <c r="E29" s="555"/>
      <c r="F29" s="555"/>
      <c r="G29" s="22"/>
      <c r="H29" s="85"/>
      <c r="I29" s="604"/>
      <c r="J29" s="604"/>
      <c r="K29" s="148"/>
      <c r="L29" s="149"/>
    </row>
    <row r="30" spans="2:22" ht="20.149999999999999" customHeight="1" x14ac:dyDescent="0.45">
      <c r="B30" s="34"/>
      <c r="C30" s="85"/>
      <c r="D30" s="555"/>
      <c r="E30" s="555"/>
      <c r="F30" s="555"/>
      <c r="G30" s="85"/>
      <c r="H30" s="85"/>
      <c r="I30" s="604"/>
      <c r="J30" s="604"/>
      <c r="K30" s="148"/>
      <c r="L30" s="149"/>
    </row>
    <row r="31" spans="2:22" ht="20.149999999999999" customHeight="1" thickBot="1" x14ac:dyDescent="0.5">
      <c r="B31" s="37"/>
      <c r="C31" s="38"/>
      <c r="D31" s="509"/>
      <c r="E31" s="509"/>
      <c r="F31" s="509"/>
      <c r="G31" s="38"/>
      <c r="H31" s="38"/>
      <c r="I31" s="38"/>
      <c r="J31" s="38"/>
      <c r="K31" s="39"/>
      <c r="L31" s="40"/>
    </row>
    <row r="32" spans="2:22" ht="20.149999999999999" customHeight="1" thickBot="1" x14ac:dyDescent="0.5">
      <c r="B32" s="41"/>
      <c r="L32" s="42"/>
    </row>
    <row r="33" spans="2:12" ht="20.149999999999999" customHeight="1" x14ac:dyDescent="0.45">
      <c r="B33" s="11" t="s">
        <v>18</v>
      </c>
      <c r="C33" s="7"/>
      <c r="D33" s="7"/>
      <c r="E33" s="7"/>
      <c r="F33" s="7"/>
      <c r="G33" s="7"/>
      <c r="H33" s="7"/>
      <c r="I33" s="7"/>
      <c r="J33" s="510" t="s">
        <v>15</v>
      </c>
      <c r="K33" s="511"/>
      <c r="L33" s="43" t="e">
        <f>SUM(L17:L30)</f>
        <v>#N/A</v>
      </c>
    </row>
    <row r="34" spans="2:12" ht="20.149999999999999" customHeight="1" x14ac:dyDescent="0.45">
      <c r="B34" s="11" t="s">
        <v>19</v>
      </c>
      <c r="C34" s="7"/>
      <c r="D34" s="7"/>
      <c r="E34" s="7"/>
      <c r="F34" s="7"/>
      <c r="G34" s="7"/>
      <c r="H34" s="7"/>
      <c r="I34" s="7"/>
      <c r="J34" s="44" t="s">
        <v>22</v>
      </c>
      <c r="K34" s="45"/>
      <c r="L34" s="46" t="e">
        <f>L33*K34</f>
        <v>#N/A</v>
      </c>
    </row>
    <row r="35" spans="2:12" ht="20.149999999999999" customHeight="1" x14ac:dyDescent="0.45">
      <c r="B35" s="11" t="s">
        <v>20</v>
      </c>
      <c r="C35" s="7"/>
      <c r="D35" s="7"/>
      <c r="E35" s="7"/>
      <c r="F35" s="7"/>
      <c r="G35" s="7"/>
      <c r="H35" s="7"/>
      <c r="I35" s="7"/>
      <c r="J35" s="486" t="s">
        <v>21</v>
      </c>
      <c r="K35" s="487"/>
      <c r="L35" s="46" t="e">
        <f>L33-L34</f>
        <v>#N/A</v>
      </c>
    </row>
    <row r="36" spans="2:12" ht="20.149999999999999" customHeight="1" x14ac:dyDescent="0.45">
      <c r="B36" s="11" t="s">
        <v>24</v>
      </c>
      <c r="C36" s="7"/>
      <c r="D36" s="7"/>
      <c r="E36" s="7"/>
      <c r="F36" s="7"/>
      <c r="G36" s="7"/>
      <c r="H36" s="7"/>
      <c r="I36" s="7"/>
      <c r="J36" s="150" t="s">
        <v>17</v>
      </c>
      <c r="K36" s="151">
        <v>7.0000000000000007E-2</v>
      </c>
      <c r="L36" s="47" t="e">
        <f>L35*K36</f>
        <v>#N/A</v>
      </c>
    </row>
    <row r="37" spans="2:12" ht="20.149999999999999" customHeight="1" thickBot="1" x14ac:dyDescent="0.5">
      <c r="B37" s="11" t="s">
        <v>25</v>
      </c>
      <c r="C37" s="7"/>
      <c r="D37" s="7"/>
      <c r="E37" s="7"/>
      <c r="F37" s="7"/>
      <c r="G37" s="7"/>
      <c r="H37" s="7"/>
      <c r="I37" s="7"/>
      <c r="J37" s="488" t="s">
        <v>23</v>
      </c>
      <c r="K37" s="489"/>
      <c r="L37" s="48" t="e">
        <f>L35+L36</f>
        <v>#N/A</v>
      </c>
    </row>
    <row r="38" spans="2:12" ht="20.149999999999999" customHeight="1" x14ac:dyDescent="0.45">
      <c r="B38" s="11" t="s">
        <v>26</v>
      </c>
      <c r="C38" s="7"/>
      <c r="D38" s="7"/>
      <c r="E38" s="7"/>
      <c r="F38" s="7"/>
      <c r="G38" s="7"/>
      <c r="H38" s="7"/>
      <c r="I38" s="7"/>
      <c r="L38" s="42"/>
    </row>
    <row r="39" spans="2:12" ht="20.149999999999999" customHeight="1" x14ac:dyDescent="0.45">
      <c r="B39" s="41"/>
      <c r="L39" s="42"/>
    </row>
    <row r="40" spans="2:12" ht="20.149999999999999" customHeight="1" x14ac:dyDescent="0.45">
      <c r="B40" s="41"/>
      <c r="L40" s="42"/>
    </row>
    <row r="41" spans="2:12" ht="20.149999999999999" customHeight="1" x14ac:dyDescent="0.45">
      <c r="B41" s="41"/>
      <c r="L41" s="42"/>
    </row>
    <row r="42" spans="2:12" ht="20.149999999999999" customHeight="1" x14ac:dyDescent="0.45">
      <c r="B42" s="41"/>
      <c r="L42" s="42"/>
    </row>
    <row r="43" spans="2:12" ht="20.149999999999999" customHeight="1" x14ac:dyDescent="0.45">
      <c r="B43" s="49"/>
      <c r="C43" s="50"/>
      <c r="D43" s="50"/>
      <c r="J43" s="50"/>
      <c r="K43" s="50"/>
      <c r="L43" s="51"/>
    </row>
    <row r="44" spans="2:12" ht="20.149999999999999" customHeight="1" x14ac:dyDescent="0.45">
      <c r="B44" s="41" t="s">
        <v>27</v>
      </c>
      <c r="J44" s="24" t="s">
        <v>28</v>
      </c>
      <c r="L44" s="42"/>
    </row>
    <row r="45" spans="2:12" ht="19" thickBot="1" x14ac:dyDescent="0.5">
      <c r="B45" s="52"/>
      <c r="C45" s="53"/>
      <c r="D45" s="53"/>
      <c r="E45" s="53"/>
      <c r="F45" s="53"/>
      <c r="G45" s="53"/>
      <c r="H45" s="53"/>
      <c r="I45" s="53"/>
      <c r="J45" s="53"/>
      <c r="K45" s="53"/>
      <c r="L45" s="54"/>
    </row>
  </sheetData>
  <mergeCells count="45">
    <mergeCell ref="B15:D15"/>
    <mergeCell ref="D23:F23"/>
    <mergeCell ref="D31:F31"/>
    <mergeCell ref="J33:K33"/>
    <mergeCell ref="J35:K35"/>
    <mergeCell ref="D30:F30"/>
    <mergeCell ref="J37:K37"/>
    <mergeCell ref="I25:J25"/>
    <mergeCell ref="I26:J26"/>
    <mergeCell ref="I28:J28"/>
    <mergeCell ref="I27:J27"/>
    <mergeCell ref="I30:J30"/>
    <mergeCell ref="I29:J29"/>
    <mergeCell ref="K14:L14"/>
    <mergeCell ref="I24:J24"/>
    <mergeCell ref="K15:L15"/>
    <mergeCell ref="D17:F17"/>
    <mergeCell ref="I17:J17"/>
    <mergeCell ref="D18:F18"/>
    <mergeCell ref="I18:J18"/>
    <mergeCell ref="D19:F19"/>
    <mergeCell ref="I19:J19"/>
    <mergeCell ref="D20:F20"/>
    <mergeCell ref="I20:J20"/>
    <mergeCell ref="I21:J21"/>
    <mergeCell ref="I22:J22"/>
    <mergeCell ref="I23:J23"/>
    <mergeCell ref="D21:F21"/>
    <mergeCell ref="D22:F22"/>
    <mergeCell ref="B1:L8"/>
    <mergeCell ref="D29:F29"/>
    <mergeCell ref="D24:F24"/>
    <mergeCell ref="D25:F25"/>
    <mergeCell ref="D26:F26"/>
    <mergeCell ref="D28:F28"/>
    <mergeCell ref="D27:F2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</mergeCells>
  <pageMargins left="0.70866141732283472" right="0.31496062992125984" top="0.59055118110236227" bottom="0" header="0.31496062992125984" footer="0.31496062992125984"/>
  <pageSetup paperSize="9" scale="77" orientation="portrait" vertic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F399C4-2E26-4286-B6C9-002975599438}">
  <sheetPr codeName="Sheet114">
    <tabColor theme="8"/>
    <pageSetUpPr fitToPage="1"/>
  </sheetPr>
  <dimension ref="B1:W58"/>
  <sheetViews>
    <sheetView topLeftCell="A40" zoomScaleNormal="100" workbookViewId="0">
      <selection activeCell="G40" sqref="G40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6.54296875" style="24" customWidth="1"/>
    <col min="7" max="7" width="8.54296875" style="24" customWidth="1"/>
    <col min="8" max="8" width="15.54296875" style="24" customWidth="1"/>
    <col min="9" max="9" width="2.54296875" style="24" customWidth="1"/>
    <col min="10" max="10" width="15.54296875" style="24" customWidth="1"/>
    <col min="11" max="11" width="10.54296875" style="24" customWidth="1"/>
    <col min="12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227</v>
      </c>
      <c r="J10" s="29" t="s">
        <v>29</v>
      </c>
      <c r="K10" s="452">
        <v>202209428</v>
      </c>
      <c r="L10" s="453"/>
    </row>
    <row r="11" spans="2:12" ht="20.149999999999999" customHeight="1" x14ac:dyDescent="0.45">
      <c r="B11" s="454" t="s">
        <v>646</v>
      </c>
      <c r="C11" s="455"/>
      <c r="D11" s="456"/>
      <c r="E11" s="30"/>
      <c r="F11" s="457" t="str">
        <f>VLOOKUP(H10,'Delivery Location'!A$4:N$416,2,0)</f>
        <v xml:space="preserve">Balestier Market Pte Ltd                      411, Balestier Road.                          Singapore 329930                                      (Dessert Stall) </v>
      </c>
      <c r="G11" s="458"/>
      <c r="H11" s="459"/>
      <c r="J11" s="31" t="s">
        <v>11</v>
      </c>
      <c r="K11" s="466">
        <v>44831</v>
      </c>
      <c r="L11" s="467"/>
    </row>
    <row r="12" spans="2:12" ht="20.149999999999999" customHeight="1" x14ac:dyDescent="0.45">
      <c r="B12" s="468" t="s">
        <v>587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1951</v>
      </c>
      <c r="L12" s="472"/>
    </row>
    <row r="13" spans="2:12" ht="20.149999999999999" customHeight="1" x14ac:dyDescent="0.45">
      <c r="B13" s="468" t="s">
        <v>588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14</v>
      </c>
      <c r="L13" s="472"/>
    </row>
    <row r="14" spans="2:12" ht="20.149999999999999" customHeight="1" x14ac:dyDescent="0.45">
      <c r="B14" s="468"/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55"/>
      <c r="C15" s="56"/>
      <c r="D15" s="57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23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  <c r="R17" s="24">
        <v>1</v>
      </c>
    </row>
    <row r="18" spans="2:23" ht="20.149999999999999" customHeight="1" x14ac:dyDescent="0.45">
      <c r="B18" s="34"/>
      <c r="C18" s="22" t="s">
        <v>1440</v>
      </c>
      <c r="D18" s="508" t="str">
        <f>VLOOKUP(C18,'Sales Master'!B$3:D$699,2,)</f>
        <v xml:space="preserve">Fresh Soursop 红毛榴莲 </v>
      </c>
      <c r="E18" s="508"/>
      <c r="F18" s="508"/>
      <c r="G18" s="90">
        <v>1</v>
      </c>
      <c r="H18" s="389" t="str">
        <f>VLOOKUP(C18,'Sales Master'!$B$3:$F$3247,5,0)</f>
        <v>5 KGS/PKT</v>
      </c>
      <c r="I18" s="482" t="str">
        <f>VLOOKUP(C18,'Sales Master'!$B$3:$E$3247,4,0)</f>
        <v>DO!</v>
      </c>
      <c r="J18" s="482"/>
      <c r="K18" s="94">
        <f>VLOOKUP(C18,'Sales Master'!B$3:P$499,15,0)</f>
        <v>32</v>
      </c>
      <c r="L18" s="77">
        <f>K18*G18</f>
        <v>32</v>
      </c>
      <c r="M18" s="78"/>
      <c r="N18" s="225">
        <f>VLOOKUP(C18,'Sales Master'!$B$3:$DA$3038,104,0)</f>
        <v>18.95</v>
      </c>
      <c r="O18" s="225">
        <f>K18-N18</f>
        <v>13.05</v>
      </c>
      <c r="P18" s="225">
        <f>O18*G18</f>
        <v>13.05</v>
      </c>
    </row>
    <row r="19" spans="2:23" ht="20.149999999999999" customHeight="1" x14ac:dyDescent="0.45">
      <c r="B19" s="34"/>
      <c r="C19" s="22" t="s">
        <v>1448</v>
      </c>
      <c r="D19" s="508" t="str">
        <f>VLOOKUP(C19,'Sales Master'!B$3:D$699,2,)</f>
        <v>Mango Puree芒果</v>
      </c>
      <c r="E19" s="508"/>
      <c r="F19" s="508"/>
      <c r="G19" s="90">
        <v>2</v>
      </c>
      <c r="H19" s="389" t="str">
        <f>VLOOKUP(C19,'Sales Master'!$B$3:$F$3247,5,0)</f>
        <v>BOX/盒</v>
      </c>
      <c r="I19" s="482" t="str">
        <f>VLOOKUP(C19,'Sales Master'!$B$3:$E$3247,4,0)</f>
        <v>DO!</v>
      </c>
      <c r="J19" s="482"/>
      <c r="K19" s="94">
        <f>VLOOKUP(C19,'Sales Master'!B$3:P$499,15,0)</f>
        <v>6</v>
      </c>
      <c r="L19" s="77">
        <f t="shared" ref="L19:L27" si="0">K19*G19</f>
        <v>12</v>
      </c>
      <c r="M19" s="78"/>
      <c r="N19" s="225">
        <f>VLOOKUP(C19,'Sales Master'!$B$3:$DA$3038,104,0)</f>
        <v>2</v>
      </c>
      <c r="O19" s="225">
        <f t="shared" ref="O19:O27" si="1">K19-N19</f>
        <v>4</v>
      </c>
      <c r="P19" s="225">
        <f t="shared" ref="P19:P27" si="2">O19*G19</f>
        <v>8</v>
      </c>
      <c r="R19" s="24">
        <v>1</v>
      </c>
      <c r="S19" s="24" t="s">
        <v>260</v>
      </c>
      <c r="T19" s="24" t="s">
        <v>460</v>
      </c>
      <c r="V19" s="24">
        <v>30</v>
      </c>
      <c r="W19" s="24">
        <v>30</v>
      </c>
    </row>
    <row r="20" spans="2:23" ht="20.149999999999999" customHeight="1" x14ac:dyDescent="0.45">
      <c r="B20" s="34"/>
      <c r="C20" s="22" t="s">
        <v>1457</v>
      </c>
      <c r="D20" s="508" t="str">
        <f>VLOOKUP(C20,'Sales Master'!B$3:D$699,2,)</f>
        <v>Bobo ChaCha Cubes 摩摩喳喳</v>
      </c>
      <c r="E20" s="508"/>
      <c r="F20" s="508"/>
      <c r="G20" s="90">
        <v>1</v>
      </c>
      <c r="H20" s="389" t="str">
        <f>VLOOKUP(C20,'Sales Master'!$B$3:$F$3247,5,0)</f>
        <v>800 GM/BAG</v>
      </c>
      <c r="I20" s="482" t="str">
        <f>VLOOKUP(C20,'Sales Master'!$B$3:$E$3247,4,0)</f>
        <v>DO!</v>
      </c>
      <c r="J20" s="482"/>
      <c r="K20" s="94">
        <f>VLOOKUP(C20,'Sales Master'!B$3:P$499,15,0)</f>
        <v>7</v>
      </c>
      <c r="L20" s="77">
        <f t="shared" si="0"/>
        <v>7</v>
      </c>
      <c r="M20" s="78"/>
      <c r="N20" s="225">
        <f>VLOOKUP(C20,'Sales Master'!$B$3:$DA$3038,104,0)</f>
        <v>0.71</v>
      </c>
      <c r="O20" s="225">
        <f t="shared" si="1"/>
        <v>6.29</v>
      </c>
      <c r="P20" s="225">
        <f t="shared" si="2"/>
        <v>6.29</v>
      </c>
    </row>
    <row r="21" spans="2:23" ht="20.149999999999999" customHeight="1" x14ac:dyDescent="0.45">
      <c r="B21" s="34"/>
      <c r="C21" s="22" t="s">
        <v>1458</v>
      </c>
      <c r="D21" s="508" t="str">
        <f>VLOOKUP(C21,'Sales Master'!B$3:D$699,2,)</f>
        <v>Chendol浆咯</v>
      </c>
      <c r="E21" s="508"/>
      <c r="F21" s="508"/>
      <c r="G21" s="90">
        <v>2</v>
      </c>
      <c r="H21" s="389" t="str">
        <f>VLOOKUP(C21,'Sales Master'!$B$3:$F$3247,5,0)</f>
        <v>NW(2.2:0.8) 3 KG/BAG</v>
      </c>
      <c r="I21" s="482" t="str">
        <f>VLOOKUP(C21,'Sales Master'!$B$3:$E$3247,4,0)</f>
        <v>DO!</v>
      </c>
      <c r="J21" s="482"/>
      <c r="K21" s="94">
        <f>VLOOKUP(C21,'Sales Master'!B$3:P$499,15,0)</f>
        <v>7.5</v>
      </c>
      <c r="L21" s="77">
        <f t="shared" si="0"/>
        <v>15</v>
      </c>
      <c r="M21" s="78"/>
      <c r="N21" s="225">
        <f>VLOOKUP(C21,'Sales Master'!$B$3:$DA$3038,104,0)</f>
        <v>1.85</v>
      </c>
      <c r="O21" s="225">
        <f t="shared" si="1"/>
        <v>5.65</v>
      </c>
      <c r="P21" s="225">
        <f t="shared" si="2"/>
        <v>11.3</v>
      </c>
    </row>
    <row r="22" spans="2:23" ht="20.149999999999999" customHeight="1" x14ac:dyDescent="0.45">
      <c r="B22" s="34"/>
      <c r="C22" s="22" t="s">
        <v>1462</v>
      </c>
      <c r="D22" s="508" t="str">
        <f>VLOOKUP(C22,'Sales Master'!B$3:D$699,2,)</f>
        <v>Pong Thai Hai (Wet) 碰大海</v>
      </c>
      <c r="E22" s="508"/>
      <c r="F22" s="508"/>
      <c r="G22" s="90">
        <v>1</v>
      </c>
      <c r="H22" s="389" t="str">
        <f>VLOOKUP(C22,'Sales Master'!$B$3:$F$3247,5,0)</f>
        <v>1KG</v>
      </c>
      <c r="I22" s="482" t="str">
        <f>VLOOKUP(C22,'Sales Master'!$B$3:$E$3247,4,0)</f>
        <v>DO!</v>
      </c>
      <c r="J22" s="482"/>
      <c r="K22" s="94">
        <f>VLOOKUP(C22,'Sales Master'!B$3:P$499,15,0)</f>
        <v>5</v>
      </c>
      <c r="L22" s="77">
        <f t="shared" si="0"/>
        <v>5</v>
      </c>
      <c r="M22" s="78"/>
      <c r="N22" s="225">
        <f>VLOOKUP(C22,'Sales Master'!$B$3:$DA$3038,104,0)</f>
        <v>0.85</v>
      </c>
      <c r="O22" s="225">
        <f t="shared" si="1"/>
        <v>4.1500000000000004</v>
      </c>
      <c r="P22" s="225">
        <f t="shared" si="2"/>
        <v>4.1500000000000004</v>
      </c>
    </row>
    <row r="23" spans="2:23" ht="20.149999999999999" customHeight="1" x14ac:dyDescent="0.45">
      <c r="B23" s="34"/>
      <c r="C23" s="22" t="s">
        <v>1482</v>
      </c>
      <c r="D23" s="508" t="str">
        <f>VLOOKUP(C23,'Sales Master'!B$3:D$699,2,)</f>
        <v>Tadpole蝌蚪</v>
      </c>
      <c r="E23" s="508"/>
      <c r="F23" s="508"/>
      <c r="G23" s="90">
        <v>1</v>
      </c>
      <c r="H23" s="389" t="str">
        <f>VLOOKUP(C23,'Sales Master'!$B$3:$F$3247,5,0)</f>
        <v>1 kg/Bag</v>
      </c>
      <c r="I23" s="482" t="str">
        <f>VLOOKUP(C23,'Sales Master'!$B$3:$E$3247,4,0)</f>
        <v>FJ</v>
      </c>
      <c r="J23" s="482"/>
      <c r="K23" s="94">
        <f>VLOOKUP(C23,'Sales Master'!B$3:P$499,15,0)</f>
        <v>6.5</v>
      </c>
      <c r="L23" s="77">
        <f t="shared" si="0"/>
        <v>6.5</v>
      </c>
      <c r="M23" s="78"/>
      <c r="N23" s="225">
        <f>VLOOKUP(C23,'Sales Master'!$B$3:$DA$3038,104,0)</f>
        <v>5</v>
      </c>
      <c r="O23" s="225">
        <f t="shared" si="1"/>
        <v>1.5</v>
      </c>
      <c r="P23" s="225">
        <f t="shared" si="2"/>
        <v>1.5</v>
      </c>
    </row>
    <row r="24" spans="2:23" ht="20.149999999999999" customHeight="1" x14ac:dyDescent="0.45">
      <c r="B24" s="34"/>
      <c r="C24" s="22" t="s">
        <v>1545</v>
      </c>
      <c r="D24" s="508" t="str">
        <f>VLOOKUP(C24,'Sales Master'!B$3:D$699,2,)</f>
        <v>Potato Starch 风车粉</v>
      </c>
      <c r="E24" s="508"/>
      <c r="F24" s="508"/>
      <c r="G24" s="90">
        <v>1</v>
      </c>
      <c r="H24" s="389" t="str">
        <f>VLOOKUP(C24,'Sales Master'!$B$3:$F$3247,5,0)</f>
        <v>5 kg</v>
      </c>
      <c r="I24" s="482" t="str">
        <f>VLOOKUP(C24,'Sales Master'!$B$3:$E$3247,4,0)</f>
        <v>Windmill</v>
      </c>
      <c r="J24" s="482"/>
      <c r="K24" s="94">
        <f>VLOOKUP(C24,'Sales Master'!B$3:P$499,15,0)</f>
        <v>13</v>
      </c>
      <c r="L24" s="77">
        <f t="shared" si="0"/>
        <v>13</v>
      </c>
      <c r="M24" s="78"/>
      <c r="N24" s="225">
        <f>VLOOKUP(C24,'Sales Master'!$B$3:$DA$3038,104,0)</f>
        <v>10.5</v>
      </c>
      <c r="O24" s="225">
        <f t="shared" si="1"/>
        <v>2.5</v>
      </c>
      <c r="P24" s="225">
        <f t="shared" si="2"/>
        <v>2.5</v>
      </c>
    </row>
    <row r="25" spans="2:23" ht="20.149999999999999" customHeight="1" x14ac:dyDescent="0.45">
      <c r="B25" s="34"/>
      <c r="C25" s="22" t="s">
        <v>1563</v>
      </c>
      <c r="D25" s="508" t="str">
        <f>VLOOKUP(C25,'Sales Master'!B$3:D$699,2,)</f>
        <v>Atap Seeds in Syrup亚嗒子</v>
      </c>
      <c r="E25" s="508"/>
      <c r="F25" s="508"/>
      <c r="G25" s="90">
        <v>1</v>
      </c>
      <c r="H25" s="389" t="str">
        <f>VLOOKUP(C25,'Sales Master'!$B$3:$F$3247,5,0)</f>
        <v>NW (2.1:0.9) 3 kgs</v>
      </c>
      <c r="I25" s="482" t="str">
        <f>VLOOKUP(C25,'Sales Master'!$B$3:$E$3247,4,0)</f>
        <v>DO!</v>
      </c>
      <c r="J25" s="482"/>
      <c r="K25" s="94">
        <f>VLOOKUP(C25,'Sales Master'!B$3:P$499,15,0)</f>
        <v>10.5</v>
      </c>
      <c r="L25" s="77">
        <f t="shared" si="0"/>
        <v>10.5</v>
      </c>
      <c r="M25" s="78"/>
      <c r="N25" s="225">
        <f>VLOOKUP(C25,'Sales Master'!$B$3:$DA$3038,104,0)</f>
        <v>5.628000000000001</v>
      </c>
      <c r="O25" s="225">
        <f t="shared" si="1"/>
        <v>4.871999999999999</v>
      </c>
      <c r="P25" s="225">
        <f t="shared" si="2"/>
        <v>4.871999999999999</v>
      </c>
    </row>
    <row r="26" spans="2:23" ht="20.149999999999999" customHeight="1" x14ac:dyDescent="0.45">
      <c r="B26" s="34"/>
      <c r="C26" s="22" t="s">
        <v>1566</v>
      </c>
      <c r="D26" s="508" t="str">
        <f>VLOOKUP(C26,'Sales Master'!B$3:D$699,2,)</f>
        <v>Chin Chow  仙草</v>
      </c>
      <c r="E26" s="508"/>
      <c r="F26" s="508"/>
      <c r="G26" s="90">
        <v>2</v>
      </c>
      <c r="H26" s="389" t="str">
        <f>VLOOKUP(C26,'Sales Master'!$B$3:$F$3247,5,0)</f>
        <v>5KGS/PKT</v>
      </c>
      <c r="I26" s="482" t="str">
        <f>VLOOKUP(C26,'Sales Master'!$B$3:$E$3247,4,0)</f>
        <v>TSM</v>
      </c>
      <c r="J26" s="482"/>
      <c r="K26" s="94">
        <f>VLOOKUP(C26,'Sales Master'!B$3:P$499,15,0)</f>
        <v>5</v>
      </c>
      <c r="L26" s="77">
        <f t="shared" si="0"/>
        <v>10</v>
      </c>
      <c r="M26" s="78"/>
      <c r="N26" s="225">
        <f>VLOOKUP(C26,'Sales Master'!$B$3:$DA$3038,104,0)</f>
        <v>4</v>
      </c>
      <c r="O26" s="225">
        <f t="shared" si="1"/>
        <v>1</v>
      </c>
      <c r="P26" s="225">
        <f t="shared" si="2"/>
        <v>2</v>
      </c>
    </row>
    <row r="27" spans="2:23" ht="20.149999999999999" customHeight="1" x14ac:dyDescent="0.45">
      <c r="B27" s="34"/>
      <c r="C27" s="22" t="s">
        <v>1572</v>
      </c>
      <c r="D27" s="508" t="str">
        <f>VLOOKUP(C27,'Sales Master'!B$3:D$699,2,)</f>
        <v>Red Bean红豆 (5.5 mm)</v>
      </c>
      <c r="E27" s="508"/>
      <c r="F27" s="508"/>
      <c r="G27" s="90">
        <v>2</v>
      </c>
      <c r="H27" s="389" t="str">
        <f>VLOOKUP(C27,'Sales Master'!$B$3:$F$3247,5,0)</f>
        <v>5 kgs</v>
      </c>
      <c r="I27" s="482" t="str">
        <f>VLOOKUP(C27,'Sales Master'!$B$3:$E$3247,4,0)</f>
        <v>-</v>
      </c>
      <c r="J27" s="482"/>
      <c r="K27" s="94">
        <f>VLOOKUP(C27,'Sales Master'!B$3:P$499,15,0)</f>
        <v>20</v>
      </c>
      <c r="L27" s="77">
        <f t="shared" si="0"/>
        <v>40</v>
      </c>
      <c r="M27" s="78"/>
      <c r="N27" s="225">
        <f>VLOOKUP(C27,'Sales Master'!$B$3:$DA$3038,104,0)</f>
        <v>17</v>
      </c>
      <c r="O27" s="225">
        <f t="shared" si="1"/>
        <v>3</v>
      </c>
      <c r="P27" s="225">
        <f t="shared" si="2"/>
        <v>6</v>
      </c>
    </row>
    <row r="28" spans="2:23" ht="20.149999999999999" customHeight="1" x14ac:dyDescent="0.45">
      <c r="B28" s="34"/>
      <c r="C28" s="22" t="s">
        <v>1585</v>
      </c>
      <c r="D28" s="508" t="str">
        <f>VLOOKUP(C28,'Sales Master'!B$3:D$699,2,)</f>
        <v>Green Bean 绿豆</v>
      </c>
      <c r="E28" s="508"/>
      <c r="F28" s="508"/>
      <c r="G28" s="90">
        <v>2</v>
      </c>
      <c r="H28" s="389" t="str">
        <f>VLOOKUP(C28,'Sales Master'!$B$3:$F$3247,5,0)</f>
        <v>5 kgs</v>
      </c>
      <c r="I28" s="482" t="str">
        <f>VLOOKUP(C28,'Sales Master'!$B$3:$E$3247,4,0)</f>
        <v>-</v>
      </c>
      <c r="J28" s="482"/>
      <c r="K28" s="94">
        <f>VLOOKUP(C28,'Sales Master'!B$3:P$499,15,0)</f>
        <v>14</v>
      </c>
      <c r="L28" s="77">
        <f t="shared" ref="L28:L36" si="3">K28*G28</f>
        <v>28</v>
      </c>
      <c r="M28" s="78"/>
      <c r="N28" s="225">
        <f>VLOOKUP(C28,'Sales Master'!$B$3:$DA$3038,104,0)</f>
        <v>9.3999999999999986</v>
      </c>
      <c r="O28" s="225">
        <f t="shared" ref="O28:O36" si="4">K28-N28</f>
        <v>4.6000000000000014</v>
      </c>
      <c r="P28" s="225">
        <f t="shared" ref="P28:P36" si="5">O28*G28</f>
        <v>9.2000000000000028</v>
      </c>
    </row>
    <row r="29" spans="2:23" ht="20.149999999999999" customHeight="1" x14ac:dyDescent="0.45">
      <c r="B29" s="34"/>
      <c r="C29" s="22" t="s">
        <v>1599</v>
      </c>
      <c r="D29" s="508" t="str">
        <f>VLOOKUP(C29,'Sales Master'!B$3:D$699,2,)</f>
        <v>Black Glutinous Rice 黑糯米</v>
      </c>
      <c r="E29" s="508"/>
      <c r="F29" s="508"/>
      <c r="G29" s="90">
        <v>1</v>
      </c>
      <c r="H29" s="389" t="str">
        <f>VLOOKUP(C29,'Sales Master'!$B$3:$F$3247,5,0)</f>
        <v>5 kgs</v>
      </c>
      <c r="I29" s="482" t="str">
        <f>VLOOKUP(C29,'Sales Master'!$B$3:$E$3247,4,0)</f>
        <v>-</v>
      </c>
      <c r="J29" s="482"/>
      <c r="K29" s="94">
        <f>VLOOKUP(C29,'Sales Master'!B$3:P$499,15,0)</f>
        <v>18</v>
      </c>
      <c r="L29" s="77">
        <f t="shared" si="3"/>
        <v>18</v>
      </c>
      <c r="M29" s="78"/>
      <c r="N29" s="225">
        <f>VLOOKUP(C29,'Sales Master'!$B$3:$DA$3038,104,0)</f>
        <v>12</v>
      </c>
      <c r="O29" s="225">
        <f t="shared" si="4"/>
        <v>6</v>
      </c>
      <c r="P29" s="225">
        <f t="shared" si="5"/>
        <v>6</v>
      </c>
    </row>
    <row r="30" spans="2:23" ht="20.149999999999999" customHeight="1" x14ac:dyDescent="0.45">
      <c r="B30" s="34"/>
      <c r="C30" s="22" t="s">
        <v>1606</v>
      </c>
      <c r="D30" s="508" t="str">
        <f>VLOOKUP(C30,'Sales Master'!B$3:D$699,2,)</f>
        <v>White Wheat 大麦</v>
      </c>
      <c r="E30" s="508"/>
      <c r="F30" s="508"/>
      <c r="G30" s="90">
        <v>1</v>
      </c>
      <c r="H30" s="389" t="str">
        <f>VLOOKUP(C30,'Sales Master'!$B$3:$F$3247,5,0)</f>
        <v>10PKT/BAG</v>
      </c>
      <c r="I30" s="482" t="str">
        <f>VLOOKUP(C30,'Sales Master'!$B$3:$E$3247,4,0)</f>
        <v>-</v>
      </c>
      <c r="J30" s="482"/>
      <c r="K30" s="94">
        <f>VLOOKUP(C30,'Sales Master'!B$3:P$499,15,0)</f>
        <v>10.5</v>
      </c>
      <c r="L30" s="77">
        <f t="shared" si="3"/>
        <v>10.5</v>
      </c>
      <c r="M30" s="78"/>
      <c r="N30" s="225">
        <f>VLOOKUP(C30,'Sales Master'!$B$3:$DA$3038,104,0)</f>
        <v>7.5</v>
      </c>
      <c r="O30" s="225">
        <f t="shared" si="4"/>
        <v>3</v>
      </c>
      <c r="P30" s="225">
        <f t="shared" si="5"/>
        <v>3</v>
      </c>
    </row>
    <row r="31" spans="2:23" ht="20.149999999999999" customHeight="1" x14ac:dyDescent="0.45">
      <c r="B31" s="34"/>
      <c r="C31" s="22" t="s">
        <v>1608</v>
      </c>
      <c r="D31" s="508" t="str">
        <f>VLOOKUP(C31,'Sales Master'!B$3:D$699,2,)</f>
        <v>Pearl Barley 薏米</v>
      </c>
      <c r="E31" s="508"/>
      <c r="F31" s="508"/>
      <c r="G31" s="90">
        <v>1</v>
      </c>
      <c r="H31" s="389" t="str">
        <f>VLOOKUP(C31,'Sales Master'!$B$3:$F$3247,5,0)</f>
        <v>5 kgs</v>
      </c>
      <c r="I31" s="482" t="str">
        <f>VLOOKUP(C31,'Sales Master'!$B$3:$E$3247,4,0)</f>
        <v>-</v>
      </c>
      <c r="J31" s="482"/>
      <c r="K31" s="94">
        <f>VLOOKUP(C31,'Sales Master'!B$3:P$499,15,0)</f>
        <v>10</v>
      </c>
      <c r="L31" s="77">
        <f t="shared" si="3"/>
        <v>10</v>
      </c>
      <c r="M31" s="78"/>
      <c r="N31" s="225">
        <f>VLOOKUP(C31,'Sales Master'!$B$3:$DA$3038,104,0)</f>
        <v>6.8000000000000007</v>
      </c>
      <c r="O31" s="225">
        <f t="shared" si="4"/>
        <v>3.1999999999999993</v>
      </c>
      <c r="P31" s="225">
        <f t="shared" si="5"/>
        <v>3.1999999999999993</v>
      </c>
    </row>
    <row r="32" spans="2:23" ht="20.149999999999999" customHeight="1" x14ac:dyDescent="0.45">
      <c r="B32" s="34"/>
      <c r="C32" s="22" t="s">
        <v>1639</v>
      </c>
      <c r="D32" s="508" t="str">
        <f>VLOOKUP(C32,'Sales Master'!B$3:D$699,2,)</f>
        <v>Bean Curd Sheet 腐竹</v>
      </c>
      <c r="E32" s="508"/>
      <c r="F32" s="508"/>
      <c r="G32" s="90">
        <v>10</v>
      </c>
      <c r="H32" s="389" t="str">
        <f>VLOOKUP(C32,'Sales Master'!$B$3:$F$3247,5,0)</f>
        <v xml:space="preserve">150g/pkt </v>
      </c>
      <c r="I32" s="482" t="str">
        <f>VLOOKUP(C32,'Sales Master'!$B$3:$E$3247,4,0)</f>
        <v>生记</v>
      </c>
      <c r="J32" s="482"/>
      <c r="K32" s="94">
        <f>VLOOKUP(C32,'Sales Master'!B$3:P$499,15,0)</f>
        <v>3.1</v>
      </c>
      <c r="L32" s="77">
        <f t="shared" si="3"/>
        <v>31</v>
      </c>
      <c r="M32" s="78"/>
      <c r="N32" s="225">
        <f>VLOOKUP(C32,'Sales Master'!$B$3:$DA$3038,104,0)</f>
        <v>2.5</v>
      </c>
      <c r="O32" s="225">
        <f t="shared" si="4"/>
        <v>0.60000000000000009</v>
      </c>
      <c r="P32" s="225">
        <f t="shared" si="5"/>
        <v>6.0000000000000009</v>
      </c>
    </row>
    <row r="33" spans="2:16" ht="20.149999999999999" customHeight="1" x14ac:dyDescent="0.45">
      <c r="B33" s="34"/>
      <c r="C33" s="22" t="s">
        <v>1689</v>
      </c>
      <c r="D33" s="508" t="str">
        <f>VLOOKUP(C33,'Sales Master'!B$3:D$699,2,)</f>
        <v>Sea Coconut海底椰</v>
      </c>
      <c r="E33" s="508"/>
      <c r="F33" s="508"/>
      <c r="G33" s="90">
        <v>1</v>
      </c>
      <c r="H33" s="389" t="str">
        <f>VLOOKUP(C33,'Sales Master'!$B$3:$F$3247,5,0)</f>
        <v>1 Can X A10</v>
      </c>
      <c r="I33" s="482" t="str">
        <f>VLOOKUP(C33,'Sales Master'!$B$3:$E$3247,4,0)</f>
        <v>Chefs</v>
      </c>
      <c r="J33" s="482"/>
      <c r="K33" s="94">
        <f>VLOOKUP(C33,'Sales Master'!B$3:P$499,15,0)</f>
        <v>18</v>
      </c>
      <c r="L33" s="77">
        <f t="shared" si="3"/>
        <v>18</v>
      </c>
      <c r="M33" s="78"/>
      <c r="N33" s="225">
        <f>VLOOKUP(C33,'Sales Master'!$B$3:$DA$3038,104,0)</f>
        <v>14.333333333333334</v>
      </c>
      <c r="O33" s="225">
        <f t="shared" si="4"/>
        <v>3.6666666666666661</v>
      </c>
      <c r="P33" s="225">
        <f t="shared" si="5"/>
        <v>3.6666666666666661</v>
      </c>
    </row>
    <row r="34" spans="2:16" ht="20.149999999999999" customHeight="1" x14ac:dyDescent="0.45">
      <c r="B34" s="34"/>
      <c r="C34" s="22" t="s">
        <v>1717</v>
      </c>
      <c r="D34" s="508" t="str">
        <f>VLOOKUP(C34,'Sales Master'!B$3:D$699,2,)</f>
        <v>Evaporated Creamer 淡奶水</v>
      </c>
      <c r="E34" s="508"/>
      <c r="F34" s="508"/>
      <c r="G34" s="90">
        <v>1</v>
      </c>
      <c r="H34" s="389" t="str">
        <f>VLOOKUP(C34,'Sales Master'!$B$3:$F$3247,5,0)</f>
        <v>48 can/Ctn</v>
      </c>
      <c r="I34" s="482" t="str">
        <f>VLOOKUP(C34,'Sales Master'!$B$3:$E$3247,4,0)</f>
        <v>Marigold</v>
      </c>
      <c r="J34" s="482"/>
      <c r="K34" s="94">
        <f>VLOOKUP(C34,'Sales Master'!B$3:P$499,15,0)</f>
        <v>54</v>
      </c>
      <c r="L34" s="77">
        <f t="shared" si="3"/>
        <v>54</v>
      </c>
      <c r="M34" s="78"/>
      <c r="N34" s="225">
        <f>VLOOKUP(C34,'Sales Master'!$B$3:$DA$3038,104,0)</f>
        <v>48.5</v>
      </c>
      <c r="O34" s="225">
        <f t="shared" si="4"/>
        <v>5.5</v>
      </c>
      <c r="P34" s="225">
        <f t="shared" si="5"/>
        <v>5.5</v>
      </c>
    </row>
    <row r="35" spans="2:16" ht="20.149999999999999" customHeight="1" x14ac:dyDescent="0.45">
      <c r="B35" s="34"/>
      <c r="C35" s="22" t="s">
        <v>1726</v>
      </c>
      <c r="D35" s="508" t="str">
        <f>VLOOKUP(C35,'Sales Master'!B$3:D$699,2,)</f>
        <v>GingKo Nut白果罐</v>
      </c>
      <c r="E35" s="508"/>
      <c r="F35" s="508"/>
      <c r="G35" s="90">
        <v>1</v>
      </c>
      <c r="H35" s="389" t="str">
        <f>VLOOKUP(C35,'Sales Master'!$B$3:$F$3247,5,0)</f>
        <v>(397gm x 24)/箱</v>
      </c>
      <c r="I35" s="482" t="str">
        <f>VLOOKUP(C35,'Sales Master'!$B$3:$E$3247,4,0)</f>
        <v>MiLi</v>
      </c>
      <c r="J35" s="482"/>
      <c r="K35" s="94">
        <f>VLOOKUP(C35,'Sales Master'!B$3:P$499,15,0)</f>
        <v>30</v>
      </c>
      <c r="L35" s="77">
        <f t="shared" si="3"/>
        <v>30</v>
      </c>
      <c r="M35" s="78"/>
      <c r="N35" s="225">
        <f>VLOOKUP(C35,'Sales Master'!$B$3:$DA$3038,104,0)</f>
        <v>21</v>
      </c>
      <c r="O35" s="225">
        <f t="shared" si="4"/>
        <v>9</v>
      </c>
      <c r="P35" s="225">
        <f t="shared" si="5"/>
        <v>9</v>
      </c>
    </row>
    <row r="36" spans="2:16" ht="20.149999999999999" customHeight="1" x14ac:dyDescent="0.45">
      <c r="B36" s="34"/>
      <c r="C36" s="22" t="s">
        <v>1736</v>
      </c>
      <c r="D36" s="508" t="str">
        <f>VLOOKUP(C36,'Sales Master'!B$3:D$699,2,)</f>
        <v>Coconut Milk 椰浆</v>
      </c>
      <c r="E36" s="508"/>
      <c r="F36" s="508"/>
      <c r="G36" s="90">
        <v>1</v>
      </c>
      <c r="H36" s="389" t="str">
        <f>VLOOKUP(C36,'Sales Master'!$B$3:$F$3247,5,0)</f>
        <v>(1L x 12bag)/箱</v>
      </c>
      <c r="I36" s="482" t="str">
        <f>VLOOKUP(C36,'Sales Master'!$B$3:$E$3247,4,0)</f>
        <v>Kara UHT</v>
      </c>
      <c r="J36" s="482"/>
      <c r="K36" s="94">
        <f>VLOOKUP(C36,'Sales Master'!B$3:P$499,15,0)</f>
        <v>41</v>
      </c>
      <c r="L36" s="77">
        <f t="shared" si="3"/>
        <v>41</v>
      </c>
      <c r="M36" s="78"/>
      <c r="N36" s="225">
        <f>VLOOKUP(C36,'Sales Master'!$B$3:$DA$3038,104,0)</f>
        <v>35.5</v>
      </c>
      <c r="O36" s="225">
        <f t="shared" si="4"/>
        <v>5.5</v>
      </c>
      <c r="P36" s="225">
        <f t="shared" si="5"/>
        <v>5.5</v>
      </c>
    </row>
    <row r="37" spans="2:16" ht="20.149999999999999" customHeight="1" x14ac:dyDescent="0.45">
      <c r="B37" s="34"/>
      <c r="C37" s="22" t="s">
        <v>1771</v>
      </c>
      <c r="D37" s="508" t="str">
        <f>VLOOKUP(C37,'Sales Master'!B$3:D$699,2,)</f>
        <v>Fine Sugar 白糖</v>
      </c>
      <c r="E37" s="508"/>
      <c r="F37" s="508"/>
      <c r="G37" s="90">
        <v>1</v>
      </c>
      <c r="H37" s="389" t="str">
        <f>VLOOKUP(C37,'Sales Master'!$B$3:$F$3247,5,0)</f>
        <v>25 KGS</v>
      </c>
      <c r="I37" s="482" t="str">
        <f>VLOOKUP(C37,'Sales Master'!$B$3:$E$3247,4,0)</f>
        <v>MITRPHOL</v>
      </c>
      <c r="J37" s="482"/>
      <c r="K37" s="94">
        <f>VLOOKUP(C37,'Sales Master'!B$3:P$499,15,0)</f>
        <v>30</v>
      </c>
      <c r="L37" s="77">
        <f t="shared" ref="L37:L39" si="6">K37*G37</f>
        <v>30</v>
      </c>
      <c r="M37" s="78"/>
      <c r="N37" s="225">
        <f>VLOOKUP(C37,'Sales Master'!$B$3:$DA$3038,104,0)</f>
        <v>24</v>
      </c>
      <c r="O37" s="225">
        <f t="shared" ref="O37:O39" si="7">K37-N37</f>
        <v>6</v>
      </c>
      <c r="P37" s="225">
        <f t="shared" ref="P37:P39" si="8">O37*G37</f>
        <v>6</v>
      </c>
    </row>
    <row r="38" spans="2:16" ht="20.149999999999999" customHeight="1" x14ac:dyDescent="0.45">
      <c r="B38" s="34"/>
      <c r="C38" s="22" t="s">
        <v>1789</v>
      </c>
      <c r="D38" s="508" t="str">
        <f>VLOOKUP(C38,'Sales Master'!B$3:D$699,2,)</f>
        <v>Sweet Potato 番薯</v>
      </c>
      <c r="E38" s="508"/>
      <c r="F38" s="508"/>
      <c r="G38" s="90">
        <v>2</v>
      </c>
      <c r="H38" s="389" t="str">
        <f>VLOOKUP(C38,'Sales Master'!$B$3:$F$3247,5,0)</f>
        <v>1 KG</v>
      </c>
      <c r="I38" s="482" t="str">
        <f>VLOOKUP(C38,'Sales Master'!$B$3:$E$3247,4,0)</f>
        <v>Malaysia</v>
      </c>
      <c r="J38" s="482"/>
      <c r="K38" s="94">
        <f>VLOOKUP(C38,'Sales Master'!B$3:P$499,15,0)</f>
        <v>2.5</v>
      </c>
      <c r="L38" s="77">
        <f t="shared" si="6"/>
        <v>5</v>
      </c>
      <c r="M38" s="78"/>
      <c r="N38" s="225">
        <f>VLOOKUP(C38,'Sales Master'!$B$3:$DA$3038,104,0)</f>
        <v>1.8666666666666665</v>
      </c>
      <c r="O38" s="225">
        <f t="shared" si="7"/>
        <v>0.63333333333333353</v>
      </c>
      <c r="P38" s="225">
        <f t="shared" si="8"/>
        <v>1.2666666666666671</v>
      </c>
    </row>
    <row r="39" spans="2:16" ht="20.149999999999999" customHeight="1" x14ac:dyDescent="0.45">
      <c r="B39" s="34"/>
      <c r="C39" s="22" t="s">
        <v>1791</v>
      </c>
      <c r="D39" s="508" t="str">
        <f>VLOOKUP(C39,'Sales Master'!B$3:D$699,2,)</f>
        <v>Yam 芋头</v>
      </c>
      <c r="E39" s="508"/>
      <c r="F39" s="508"/>
      <c r="G39" s="90">
        <v>1.9</v>
      </c>
      <c r="H39" s="389" t="str">
        <f>VLOOKUP(C39,'Sales Master'!$B$3:$F$3247,5,0)</f>
        <v>1 KG</v>
      </c>
      <c r="I39" s="482" t="str">
        <f>VLOOKUP(C39,'Sales Master'!$B$3:$E$3247,4,0)</f>
        <v>Thailand</v>
      </c>
      <c r="J39" s="482"/>
      <c r="K39" s="94">
        <f>VLOOKUP(C39,'Sales Master'!B$3:P$499,15,0)</f>
        <v>4.8</v>
      </c>
      <c r="L39" s="77">
        <f t="shared" si="6"/>
        <v>9.1199999999999992</v>
      </c>
      <c r="M39" s="78"/>
      <c r="N39" s="225">
        <f>VLOOKUP(C39,'Sales Master'!$B$3:$DA$3038,104,0)</f>
        <v>3.5185185185185186</v>
      </c>
      <c r="O39" s="225">
        <f t="shared" si="7"/>
        <v>1.2814814814814812</v>
      </c>
      <c r="P39" s="225">
        <f t="shared" si="8"/>
        <v>2.4348148148148141</v>
      </c>
    </row>
    <row r="40" spans="2:16" ht="20.149999999999999" customHeight="1" x14ac:dyDescent="0.45">
      <c r="B40" s="34"/>
      <c r="C40" s="22" t="s">
        <v>1794</v>
      </c>
      <c r="D40" s="508" t="str">
        <f>VLOOKUP(C40,'Sales Master'!B$3:D$699,2,)</f>
        <v>Pandan Leaf 班兰叶</v>
      </c>
      <c r="E40" s="508"/>
      <c r="F40" s="508"/>
      <c r="G40" s="90">
        <v>1</v>
      </c>
      <c r="H40" s="389" t="str">
        <f>VLOOKUP(C40,'Sales Master'!$B$3:$F$3247,5,0)</f>
        <v>1 kg</v>
      </c>
      <c r="I40" s="482" t="str">
        <f>VLOOKUP(C40,'Sales Master'!$B$3:$E$3247,4,0)</f>
        <v>-</v>
      </c>
      <c r="J40" s="482"/>
      <c r="K40" s="94">
        <f>VLOOKUP(C40,'Sales Master'!B$3:P$499,15,0)</f>
        <v>1.8</v>
      </c>
      <c r="L40" s="77">
        <f t="shared" ref="L40:L42" si="9">K40*G40</f>
        <v>1.8</v>
      </c>
      <c r="M40" s="78"/>
      <c r="N40" s="225">
        <f>VLOOKUP(C40,'Sales Master'!$B$3:$DA$3038,104,0)</f>
        <v>1</v>
      </c>
      <c r="O40" s="225">
        <f t="shared" ref="O40:O42" si="10">K40-N40</f>
        <v>0.8</v>
      </c>
      <c r="P40" s="225">
        <f t="shared" ref="P40:P42" si="11">O40*G40</f>
        <v>0.8</v>
      </c>
    </row>
    <row r="41" spans="2:16" ht="20.149999999999999" customHeight="1" x14ac:dyDescent="0.45">
      <c r="B41" s="34"/>
      <c r="C41" s="22" t="s">
        <v>1795</v>
      </c>
      <c r="D41" s="508" t="str">
        <f>VLOOKUP(C41,'Sales Master'!B$3:D$699,2,)</f>
        <v>Lime 酸甘</v>
      </c>
      <c r="E41" s="508"/>
      <c r="F41" s="508"/>
      <c r="G41" s="90">
        <v>1</v>
      </c>
      <c r="H41" s="389" t="str">
        <f>VLOOKUP(C41,'Sales Master'!$B$3:$F$3247,5,0)</f>
        <v>1 kg</v>
      </c>
      <c r="I41" s="482" t="str">
        <f>VLOOKUP(C41,'Sales Master'!$B$3:$E$3247,4,0)</f>
        <v>-</v>
      </c>
      <c r="J41" s="482"/>
      <c r="K41" s="94">
        <f>VLOOKUP(C41,'Sales Master'!B$3:P$499,15,0)</f>
        <v>2.5</v>
      </c>
      <c r="L41" s="77">
        <f t="shared" si="9"/>
        <v>2.5</v>
      </c>
      <c r="M41" s="78"/>
      <c r="N41" s="225">
        <f>VLOOKUP(C41,'Sales Master'!$B$3:$DA$3038,104,0)</f>
        <v>1.9</v>
      </c>
      <c r="O41" s="225">
        <f t="shared" si="10"/>
        <v>0.60000000000000009</v>
      </c>
      <c r="P41" s="225">
        <f t="shared" si="11"/>
        <v>0.60000000000000009</v>
      </c>
    </row>
    <row r="42" spans="2:16" ht="20.149999999999999" customHeight="1" x14ac:dyDescent="0.45">
      <c r="B42" s="34"/>
      <c r="C42" s="22" t="s">
        <v>1805</v>
      </c>
      <c r="D42" s="508" t="str">
        <f>VLOOKUP(C42,'Sales Master'!B$3:D$699,2,)</f>
        <v>Food Coloring - Liquid)颜色-水</v>
      </c>
      <c r="E42" s="508"/>
      <c r="F42" s="508"/>
      <c r="G42" s="90">
        <v>1</v>
      </c>
      <c r="H42" s="389" t="str">
        <f>VLOOKUP(C42,'Sales Master'!$B$3:$F$3247,5,0)</f>
        <v>500 ML/BTL</v>
      </c>
      <c r="I42" s="482" t="str">
        <f>VLOOKUP(C42,'Sales Master'!$B$3:$E$3247,4,0)</f>
        <v>Red/红</v>
      </c>
      <c r="J42" s="482"/>
      <c r="K42" s="94">
        <f>VLOOKUP(C42,'Sales Master'!B$3:P$499,15,0)</f>
        <v>2.5</v>
      </c>
      <c r="L42" s="77">
        <f t="shared" si="9"/>
        <v>2.5</v>
      </c>
      <c r="M42" s="78"/>
      <c r="N42" s="225">
        <f>VLOOKUP(C42,'Sales Master'!$B$3:$DA$3038,104,0)</f>
        <v>1.5999999999999999</v>
      </c>
      <c r="O42" s="225">
        <f t="shared" si="10"/>
        <v>0.90000000000000013</v>
      </c>
      <c r="P42" s="225">
        <f t="shared" si="11"/>
        <v>0.90000000000000013</v>
      </c>
    </row>
    <row r="43" spans="2:16" ht="20.149999999999999" customHeight="1" x14ac:dyDescent="0.45">
      <c r="B43" s="34"/>
      <c r="C43" s="22"/>
      <c r="D43" s="508"/>
      <c r="E43" s="508"/>
      <c r="F43" s="508"/>
      <c r="G43" s="90"/>
      <c r="H43" s="389"/>
      <c r="I43" s="482"/>
      <c r="J43" s="482"/>
      <c r="K43" s="94"/>
      <c r="L43" s="77"/>
      <c r="M43" s="78"/>
      <c r="N43" s="225"/>
      <c r="O43" s="225"/>
      <c r="P43" s="225"/>
    </row>
    <row r="44" spans="2:16" ht="20.149999999999999" customHeight="1" x14ac:dyDescent="0.45">
      <c r="B44" s="34"/>
      <c r="C44" s="22"/>
      <c r="G44" s="90"/>
      <c r="H44" s="389"/>
      <c r="I44" s="438"/>
      <c r="J44" s="438"/>
      <c r="K44" s="94"/>
      <c r="L44" s="77"/>
      <c r="M44" s="78"/>
      <c r="N44" s="225"/>
      <c r="O44" s="225"/>
      <c r="P44" s="225"/>
    </row>
    <row r="45" spans="2:16" ht="20.149999999999999" customHeight="1" thickBot="1" x14ac:dyDescent="0.5">
      <c r="B45" s="37"/>
      <c r="C45" s="53"/>
      <c r="D45" s="53"/>
      <c r="E45" s="53"/>
      <c r="F45" s="53"/>
      <c r="G45" s="174"/>
      <c r="H45" s="69"/>
      <c r="I45" s="107"/>
      <c r="J45" s="107"/>
      <c r="K45" s="311"/>
      <c r="L45" s="89"/>
    </row>
    <row r="46" spans="2:16" ht="20.149999999999999" customHeight="1" thickBot="1" x14ac:dyDescent="0.5">
      <c r="B46" s="34"/>
      <c r="C46" s="22"/>
      <c r="G46" s="22"/>
      <c r="H46" s="68"/>
      <c r="I46" s="68"/>
      <c r="J46" s="68"/>
      <c r="K46" s="94"/>
      <c r="L46" s="77"/>
    </row>
    <row r="47" spans="2:16" ht="20.149999999999999" customHeight="1" x14ac:dyDescent="0.45">
      <c r="B47" s="11" t="s">
        <v>18</v>
      </c>
      <c r="C47" s="7"/>
      <c r="D47" s="7"/>
      <c r="E47" s="7"/>
      <c r="F47" s="7"/>
      <c r="G47" s="7"/>
      <c r="H47" s="7"/>
      <c r="I47" s="7"/>
      <c r="J47" s="510" t="s">
        <v>15</v>
      </c>
      <c r="K47" s="511"/>
      <c r="L47" s="43">
        <f>SUM(L18:L46)</f>
        <v>442.42</v>
      </c>
      <c r="M47" s="76">
        <f>SUM(P18:P34)</f>
        <v>96.228666666666669</v>
      </c>
      <c r="N47" s="201">
        <f>M47/L47</f>
        <v>0.21750523635158145</v>
      </c>
    </row>
    <row r="48" spans="2:16" ht="20.149999999999999" customHeight="1" x14ac:dyDescent="0.45">
      <c r="B48" s="11" t="s">
        <v>19</v>
      </c>
      <c r="C48" s="7"/>
      <c r="D48" s="7"/>
      <c r="E48" s="7"/>
      <c r="F48" s="7"/>
      <c r="G48" s="7"/>
      <c r="H48" s="7"/>
      <c r="I48" s="7"/>
      <c r="J48" s="44" t="s">
        <v>22</v>
      </c>
      <c r="K48" s="45"/>
      <c r="L48" s="46">
        <f>L47*K48</f>
        <v>0</v>
      </c>
    </row>
    <row r="49" spans="2:12" ht="20.149999999999999" customHeight="1" x14ac:dyDescent="0.45">
      <c r="B49" s="11" t="s">
        <v>20</v>
      </c>
      <c r="C49" s="7"/>
      <c r="D49" s="7"/>
      <c r="E49" s="7"/>
      <c r="F49" s="7"/>
      <c r="G49" s="7"/>
      <c r="H49" s="7"/>
      <c r="I49" s="7"/>
      <c r="J49" s="486" t="s">
        <v>21</v>
      </c>
      <c r="K49" s="487"/>
      <c r="L49" s="46">
        <f>L47-L48</f>
        <v>442.42</v>
      </c>
    </row>
    <row r="50" spans="2:12" ht="20.149999999999999" customHeight="1" x14ac:dyDescent="0.45">
      <c r="B50" s="11" t="s">
        <v>24</v>
      </c>
      <c r="C50" s="7"/>
      <c r="D50" s="7"/>
      <c r="E50" s="7"/>
      <c r="F50" s="7"/>
      <c r="G50" s="7"/>
      <c r="H50" s="7"/>
      <c r="I50" s="7"/>
      <c r="J50" s="150" t="s">
        <v>17</v>
      </c>
      <c r="K50" s="151">
        <v>7.0000000000000007E-2</v>
      </c>
      <c r="L50" s="47">
        <f>L49*K50</f>
        <v>30.969400000000004</v>
      </c>
    </row>
    <row r="51" spans="2:12" ht="20.149999999999999" customHeight="1" thickBot="1" x14ac:dyDescent="0.5">
      <c r="B51" s="11" t="s">
        <v>25</v>
      </c>
      <c r="C51" s="7"/>
      <c r="D51" s="7"/>
      <c r="E51" s="7"/>
      <c r="F51" s="7"/>
      <c r="G51" s="7"/>
      <c r="H51" s="7"/>
      <c r="I51" s="7"/>
      <c r="J51" s="488" t="s">
        <v>23</v>
      </c>
      <c r="K51" s="489"/>
      <c r="L51" s="48">
        <f>L49+L50</f>
        <v>473.38940000000002</v>
      </c>
    </row>
    <row r="52" spans="2:12" ht="20.149999999999999" customHeight="1" x14ac:dyDescent="0.45">
      <c r="B52" s="11" t="s">
        <v>26</v>
      </c>
      <c r="C52" s="7"/>
      <c r="D52" s="7"/>
      <c r="E52" s="7"/>
      <c r="F52" s="7"/>
      <c r="G52" s="7"/>
      <c r="H52" s="7"/>
      <c r="I52" s="7"/>
      <c r="L52" s="42"/>
    </row>
    <row r="53" spans="2:12" ht="20.149999999999999" customHeight="1" x14ac:dyDescent="0.45">
      <c r="B53" s="41"/>
      <c r="L53" s="42"/>
    </row>
    <row r="54" spans="2:12" ht="20.149999999999999" customHeight="1" x14ac:dyDescent="0.45">
      <c r="B54" s="41"/>
      <c r="L54" s="42"/>
    </row>
    <row r="55" spans="2:12" ht="20.149999999999999" customHeight="1" x14ac:dyDescent="0.45">
      <c r="B55" s="49"/>
      <c r="C55" s="50"/>
      <c r="D55" s="50"/>
      <c r="J55" s="50"/>
      <c r="K55" s="50"/>
      <c r="L55" s="51"/>
    </row>
    <row r="56" spans="2:12" ht="20.149999999999999" customHeight="1" x14ac:dyDescent="0.45">
      <c r="B56" s="41" t="s">
        <v>27</v>
      </c>
      <c r="J56" s="24" t="s">
        <v>28</v>
      </c>
      <c r="L56" s="42"/>
    </row>
    <row r="57" spans="2:12" ht="10" customHeight="1" thickBot="1" x14ac:dyDescent="0.5">
      <c r="B57" s="52"/>
      <c r="C57" s="53"/>
      <c r="D57" s="53"/>
      <c r="E57" s="53"/>
      <c r="F57" s="53"/>
      <c r="G57" s="53"/>
      <c r="H57" s="53"/>
      <c r="I57" s="53"/>
      <c r="J57" s="53"/>
      <c r="K57" s="53"/>
      <c r="L57" s="54"/>
    </row>
    <row r="58" spans="2:12" ht="20.5" x14ac:dyDescent="0.45">
      <c r="F58" s="427"/>
    </row>
  </sheetData>
  <mergeCells count="69">
    <mergeCell ref="D39:F39"/>
    <mergeCell ref="I39:J39"/>
    <mergeCell ref="D26:F26"/>
    <mergeCell ref="I26:J26"/>
    <mergeCell ref="D38:F38"/>
    <mergeCell ref="D35:F35"/>
    <mergeCell ref="D36:F36"/>
    <mergeCell ref="I35:J35"/>
    <mergeCell ref="D37:F37"/>
    <mergeCell ref="I37:J37"/>
    <mergeCell ref="D29:F29"/>
    <mergeCell ref="D30:F30"/>
    <mergeCell ref="D31:F31"/>
    <mergeCell ref="I31:J31"/>
    <mergeCell ref="D23:F23"/>
    <mergeCell ref="I23:J23"/>
    <mergeCell ref="D34:F34"/>
    <mergeCell ref="D32:F32"/>
    <mergeCell ref="D33:F33"/>
    <mergeCell ref="I33:J33"/>
    <mergeCell ref="D28:F28"/>
    <mergeCell ref="B1:L8"/>
    <mergeCell ref="D17:F17"/>
    <mergeCell ref="I17:J17"/>
    <mergeCell ref="K10:L10"/>
    <mergeCell ref="B11:D11"/>
    <mergeCell ref="F11:H15"/>
    <mergeCell ref="K11:L11"/>
    <mergeCell ref="B12:D12"/>
    <mergeCell ref="K12:L12"/>
    <mergeCell ref="B13:D13"/>
    <mergeCell ref="K13:L13"/>
    <mergeCell ref="K14:L14"/>
    <mergeCell ref="K15:L15"/>
    <mergeCell ref="B14:D14"/>
    <mergeCell ref="J51:K51"/>
    <mergeCell ref="J49:K49"/>
    <mergeCell ref="J47:K47"/>
    <mergeCell ref="I34:J34"/>
    <mergeCell ref="I28:J28"/>
    <mergeCell ref="I38:J38"/>
    <mergeCell ref="I29:J29"/>
    <mergeCell ref="I30:J30"/>
    <mergeCell ref="I32:J32"/>
    <mergeCell ref="I36:J36"/>
    <mergeCell ref="I19:J19"/>
    <mergeCell ref="D18:F18"/>
    <mergeCell ref="D19:F19"/>
    <mergeCell ref="I27:J27"/>
    <mergeCell ref="D27:F27"/>
    <mergeCell ref="I18:J18"/>
    <mergeCell ref="I25:J25"/>
    <mergeCell ref="D24:F24"/>
    <mergeCell ref="I24:J24"/>
    <mergeCell ref="D25:F25"/>
    <mergeCell ref="D20:F20"/>
    <mergeCell ref="I20:J20"/>
    <mergeCell ref="D21:F21"/>
    <mergeCell ref="I21:J21"/>
    <mergeCell ref="D22:F22"/>
    <mergeCell ref="I22:J22"/>
    <mergeCell ref="D43:F43"/>
    <mergeCell ref="I43:J43"/>
    <mergeCell ref="D40:F40"/>
    <mergeCell ref="I40:J40"/>
    <mergeCell ref="D41:F41"/>
    <mergeCell ref="I41:J41"/>
    <mergeCell ref="D42:F42"/>
    <mergeCell ref="I42:J42"/>
  </mergeCells>
  <conditionalFormatting sqref="C29:C36">
    <cfRule type="duplicateValues" dxfId="143" priority="1122"/>
  </conditionalFormatting>
  <conditionalFormatting sqref="C37">
    <cfRule type="duplicateValues" dxfId="142" priority="1156"/>
  </conditionalFormatting>
  <pageMargins left="0.70866141732283505" right="0.511811023622047" top="0.59055118110236204" bottom="0.23622047244094499" header="0.31496062992126" footer="0.31496062992126"/>
  <pageSetup paperSize="9" scale="70" orientation="portrait" horizontalDpi="300" verticalDpi="300" r:id="rId1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0CA41B-6359-46CA-B63F-57318EA0294C}">
  <sheetPr codeName="Sheet106">
    <tabColor rgb="FFFFC000"/>
    <pageSetUpPr fitToPage="1"/>
  </sheetPr>
  <dimension ref="B1:W50"/>
  <sheetViews>
    <sheetView workbookViewId="0">
      <selection activeCell="B1" sqref="B1:L50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6.453125" style="24" customWidth="1"/>
    <col min="7" max="7" width="8.54296875" style="24" customWidth="1"/>
    <col min="8" max="8" width="16.7265625" style="24" customWidth="1"/>
    <col min="9" max="9" width="1.7265625" style="24" customWidth="1"/>
    <col min="10" max="10" width="13.54296875" style="102" customWidth="1"/>
    <col min="11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216</v>
      </c>
      <c r="J10" s="103" t="s">
        <v>29</v>
      </c>
      <c r="K10" s="452">
        <v>202101310</v>
      </c>
      <c r="L10" s="453"/>
    </row>
    <row r="11" spans="2:12" ht="20.149999999999999" customHeight="1" x14ac:dyDescent="0.45">
      <c r="B11" s="454" t="s">
        <v>2022</v>
      </c>
      <c r="C11" s="455"/>
      <c r="D11" s="456"/>
      <c r="E11" s="30"/>
      <c r="F11" s="457" t="str">
        <f>VLOOKUP(H10,'Delivery Location'!A$4:N$416,2,0)</f>
        <v xml:space="preserve">Koufu - Fruit                                                  Block 768 Woodlands Ave 6                 #01-30/31 Singapore 730768                        </v>
      </c>
      <c r="G11" s="458"/>
      <c r="H11" s="459"/>
      <c r="J11" s="104" t="s">
        <v>11</v>
      </c>
      <c r="K11" s="551">
        <v>44216</v>
      </c>
      <c r="L11" s="472"/>
    </row>
    <row r="12" spans="2:12" ht="20.149999999999999" customHeight="1" x14ac:dyDescent="0.45">
      <c r="B12" s="468" t="s">
        <v>2139</v>
      </c>
      <c r="C12" s="469"/>
      <c r="D12" s="470"/>
      <c r="E12" s="30"/>
      <c r="F12" s="460"/>
      <c r="G12" s="461"/>
      <c r="H12" s="462"/>
      <c r="J12" s="104" t="s">
        <v>171</v>
      </c>
      <c r="K12" s="471" t="s">
        <v>533</v>
      </c>
      <c r="L12" s="472"/>
    </row>
    <row r="13" spans="2:12" ht="20.149999999999999" customHeight="1" x14ac:dyDescent="0.45">
      <c r="B13" s="468" t="s">
        <v>2024</v>
      </c>
      <c r="C13" s="469"/>
      <c r="D13" s="470"/>
      <c r="E13" s="30"/>
      <c r="F13" s="460"/>
      <c r="G13" s="461"/>
      <c r="H13" s="462"/>
      <c r="J13" s="104" t="s">
        <v>12</v>
      </c>
      <c r="K13" s="471" t="s">
        <v>14</v>
      </c>
      <c r="L13" s="472"/>
    </row>
    <row r="14" spans="2:12" ht="20.149999999999999" customHeight="1" x14ac:dyDescent="0.45">
      <c r="B14" s="468" t="s">
        <v>2025</v>
      </c>
      <c r="C14" s="469"/>
      <c r="D14" s="470"/>
      <c r="E14" s="30"/>
      <c r="F14" s="460"/>
      <c r="G14" s="461"/>
      <c r="H14" s="462"/>
      <c r="J14" s="104" t="s">
        <v>30</v>
      </c>
      <c r="K14" s="471" t="s">
        <v>16</v>
      </c>
      <c r="L14" s="472"/>
    </row>
    <row r="15" spans="2:12" ht="18" customHeight="1" thickBot="1" x14ac:dyDescent="0.5">
      <c r="B15" s="463" t="s">
        <v>2026</v>
      </c>
      <c r="C15" s="464"/>
      <c r="D15" s="465"/>
      <c r="E15" s="26"/>
      <c r="F15" s="463"/>
      <c r="G15" s="464"/>
      <c r="H15" s="465"/>
      <c r="J15" s="105" t="s">
        <v>13</v>
      </c>
      <c r="K15" s="476"/>
      <c r="L15" s="477"/>
    </row>
    <row r="16" spans="2:12" ht="19" thickBot="1" x14ac:dyDescent="0.5">
      <c r="J16" s="68"/>
    </row>
    <row r="17" spans="2:23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3"/>
      <c r="O17" s="33"/>
    </row>
    <row r="18" spans="2:23" ht="20.149999999999999" customHeight="1" x14ac:dyDescent="0.45">
      <c r="B18" s="34"/>
      <c r="C18" s="22" t="s">
        <v>1341</v>
      </c>
      <c r="D18" s="508" t="e">
        <f>VLOOKUP(C18,'Sales Master'!B$3:D$499,2,)</f>
        <v>#N/A</v>
      </c>
      <c r="E18" s="508"/>
      <c r="F18" s="508"/>
      <c r="G18" s="22">
        <v>1</v>
      </c>
      <c r="H18" s="68" t="e">
        <f>VLOOKUP(C18,'Sales Master'!B$3:F$3183,5,0)</f>
        <v>#N/A</v>
      </c>
      <c r="I18" s="481" t="e">
        <f>VLOOKUP(C18,'Sales Master'!B$3:E$3183,4,0)</f>
        <v>#N/A</v>
      </c>
      <c r="J18" s="481"/>
      <c r="K18" s="35" t="e">
        <f>VLOOKUP(C18,'Sales Master'!B$3:J$499,9,0)</f>
        <v>#N/A</v>
      </c>
      <c r="L18" s="77" t="e">
        <f>K18*G18</f>
        <v>#N/A</v>
      </c>
      <c r="M18" s="78"/>
      <c r="N18" s="24" t="s">
        <v>411</v>
      </c>
      <c r="O18" s="24" t="s">
        <v>310</v>
      </c>
      <c r="R18" s="24">
        <v>1</v>
      </c>
      <c r="S18" s="24" t="s">
        <v>36</v>
      </c>
      <c r="T18" s="24" t="s">
        <v>54</v>
      </c>
      <c r="V18" s="24">
        <v>10</v>
      </c>
      <c r="W18" s="24">
        <v>10</v>
      </c>
    </row>
    <row r="19" spans="2:23" ht="20.149999999999999" customHeight="1" x14ac:dyDescent="0.45">
      <c r="B19" s="34"/>
      <c r="C19" s="22"/>
      <c r="G19" s="22"/>
      <c r="H19" s="68"/>
      <c r="I19" s="481"/>
      <c r="J19" s="481"/>
      <c r="K19" s="35"/>
      <c r="L19" s="77"/>
      <c r="M19" s="78"/>
      <c r="N19" s="24" t="s">
        <v>413</v>
      </c>
      <c r="O19" s="24" t="s">
        <v>312</v>
      </c>
      <c r="R19" s="24">
        <v>10</v>
      </c>
      <c r="S19" s="24" t="s">
        <v>256</v>
      </c>
      <c r="T19" s="24" t="s">
        <v>34</v>
      </c>
      <c r="V19" s="24">
        <v>12</v>
      </c>
      <c r="W19" s="24">
        <v>120</v>
      </c>
    </row>
    <row r="20" spans="2:23" ht="20.149999999999999" customHeight="1" x14ac:dyDescent="0.45">
      <c r="B20" s="34"/>
      <c r="C20" s="22"/>
      <c r="G20" s="22"/>
      <c r="H20" s="68"/>
      <c r="I20" s="481"/>
      <c r="J20" s="481"/>
      <c r="K20" s="35"/>
      <c r="L20" s="77"/>
      <c r="M20" s="78"/>
      <c r="N20" s="24" t="s">
        <v>394</v>
      </c>
      <c r="O20" s="24" t="s">
        <v>449</v>
      </c>
      <c r="R20" s="24">
        <v>2</v>
      </c>
      <c r="S20" s="24" t="s">
        <v>46</v>
      </c>
      <c r="T20" s="24" t="s">
        <v>100</v>
      </c>
      <c r="V20" s="24">
        <v>7.5</v>
      </c>
      <c r="W20" s="24">
        <v>15</v>
      </c>
    </row>
    <row r="21" spans="2:23" ht="20.149999999999999" customHeight="1" x14ac:dyDescent="0.45">
      <c r="B21" s="34"/>
      <c r="C21" s="22"/>
      <c r="G21" s="22"/>
      <c r="H21" s="68"/>
      <c r="I21" s="481"/>
      <c r="J21" s="481"/>
      <c r="K21" s="35"/>
      <c r="L21" s="77"/>
      <c r="M21" s="78"/>
      <c r="N21" s="24" t="s">
        <v>417</v>
      </c>
      <c r="O21" s="24" t="s">
        <v>313</v>
      </c>
      <c r="R21" s="24">
        <v>2</v>
      </c>
      <c r="S21" s="24" t="s">
        <v>649</v>
      </c>
      <c r="T21" s="24" t="s">
        <v>34</v>
      </c>
      <c r="V21" s="24">
        <v>16</v>
      </c>
      <c r="W21" s="24">
        <v>32</v>
      </c>
    </row>
    <row r="22" spans="2:23" ht="20.149999999999999" customHeight="1" x14ac:dyDescent="0.45">
      <c r="B22" s="34"/>
      <c r="C22" s="22"/>
      <c r="G22" s="22"/>
      <c r="H22" s="68"/>
      <c r="I22" s="481"/>
      <c r="J22" s="481"/>
      <c r="K22" s="35"/>
      <c r="L22" s="77"/>
      <c r="M22" s="78"/>
      <c r="N22" s="24" t="s">
        <v>482</v>
      </c>
      <c r="O22" s="24" t="s">
        <v>322</v>
      </c>
      <c r="R22" s="24">
        <v>1</v>
      </c>
      <c r="S22" s="24" t="s">
        <v>595</v>
      </c>
      <c r="T22" s="24" t="s">
        <v>596</v>
      </c>
      <c r="V22" s="24">
        <v>38</v>
      </c>
      <c r="W22" s="24">
        <v>38</v>
      </c>
    </row>
    <row r="23" spans="2:23" ht="20.149999999999999" customHeight="1" x14ac:dyDescent="0.45">
      <c r="B23" s="34"/>
      <c r="C23" s="22"/>
      <c r="G23" s="22"/>
      <c r="H23" s="68"/>
      <c r="I23" s="481"/>
      <c r="J23" s="481"/>
      <c r="K23" s="35"/>
      <c r="L23" s="77"/>
      <c r="M23" s="78"/>
      <c r="N23" s="24" t="s">
        <v>520</v>
      </c>
      <c r="O23" s="24" t="s">
        <v>326</v>
      </c>
      <c r="R23" s="24">
        <v>7</v>
      </c>
      <c r="S23" s="24" t="s">
        <v>36</v>
      </c>
      <c r="T23" s="24" t="s">
        <v>34</v>
      </c>
      <c r="V23" s="24">
        <v>1.5</v>
      </c>
      <c r="W23" s="24">
        <v>10.5</v>
      </c>
    </row>
    <row r="24" spans="2:23" ht="20.149999999999999" customHeight="1" x14ac:dyDescent="0.45">
      <c r="B24" s="34"/>
      <c r="C24" s="22"/>
      <c r="G24" s="22"/>
      <c r="H24" s="68"/>
      <c r="I24" s="481"/>
      <c r="J24" s="481"/>
      <c r="K24" s="35"/>
      <c r="L24" s="77"/>
      <c r="M24" s="78"/>
      <c r="N24" s="24" t="s">
        <v>521</v>
      </c>
      <c r="O24" s="24" t="s">
        <v>490</v>
      </c>
      <c r="R24" s="24">
        <v>3</v>
      </c>
      <c r="S24" s="24" t="s">
        <v>36</v>
      </c>
      <c r="T24" s="24" t="s">
        <v>34</v>
      </c>
      <c r="V24" s="24">
        <v>2.5</v>
      </c>
      <c r="W24" s="24">
        <v>7.5</v>
      </c>
    </row>
    <row r="25" spans="2:23" ht="20.149999999999999" customHeight="1" x14ac:dyDescent="0.45">
      <c r="B25" s="34"/>
      <c r="C25" s="22"/>
      <c r="G25" s="22"/>
      <c r="H25" s="68"/>
      <c r="I25" s="481"/>
      <c r="J25" s="481"/>
      <c r="K25" s="35"/>
      <c r="L25" s="77"/>
      <c r="M25" s="78"/>
      <c r="N25" s="24" t="s">
        <v>502</v>
      </c>
      <c r="O25" s="24" t="s">
        <v>324</v>
      </c>
      <c r="R25" s="24">
        <v>7</v>
      </c>
      <c r="S25" s="24" t="s">
        <v>36</v>
      </c>
      <c r="T25" s="24" t="s">
        <v>75</v>
      </c>
      <c r="V25" s="24">
        <v>3</v>
      </c>
      <c r="W25" s="24">
        <v>21</v>
      </c>
    </row>
    <row r="26" spans="2:23" ht="20.149999999999999" customHeight="1" x14ac:dyDescent="0.45">
      <c r="B26" s="34"/>
      <c r="C26" s="22"/>
      <c r="G26" s="22"/>
      <c r="H26" s="68"/>
      <c r="I26" s="481"/>
      <c r="J26" s="481"/>
      <c r="K26" s="35"/>
      <c r="L26" s="77"/>
      <c r="M26" s="78"/>
      <c r="N26" s="24" t="s">
        <v>407</v>
      </c>
      <c r="O26" s="24" t="s">
        <v>306</v>
      </c>
      <c r="R26" s="24">
        <v>2</v>
      </c>
      <c r="S26" s="24" t="s">
        <v>36</v>
      </c>
      <c r="T26" s="24" t="s">
        <v>54</v>
      </c>
      <c r="V26" s="24">
        <v>18</v>
      </c>
      <c r="W26" s="24">
        <v>36</v>
      </c>
    </row>
    <row r="27" spans="2:23" ht="20.149999999999999" customHeight="1" x14ac:dyDescent="0.45">
      <c r="B27" s="34"/>
      <c r="C27" s="22"/>
      <c r="G27" s="22"/>
      <c r="H27" s="68"/>
      <c r="I27" s="481"/>
      <c r="J27" s="481"/>
      <c r="K27" s="35"/>
      <c r="L27" s="77"/>
      <c r="M27" s="78"/>
      <c r="N27" s="24" t="s">
        <v>518</v>
      </c>
      <c r="O27" s="24" t="s">
        <v>323</v>
      </c>
      <c r="R27" s="24">
        <v>20</v>
      </c>
      <c r="S27" s="24" t="s">
        <v>36</v>
      </c>
      <c r="T27" s="24" t="s">
        <v>75</v>
      </c>
      <c r="V27" s="24">
        <v>1.5</v>
      </c>
      <c r="W27" s="24">
        <v>30</v>
      </c>
    </row>
    <row r="28" spans="2:23" ht="20.149999999999999" customHeight="1" x14ac:dyDescent="0.45">
      <c r="B28" s="34"/>
      <c r="C28" s="22"/>
      <c r="G28" s="22"/>
      <c r="H28" s="68"/>
      <c r="I28" s="481"/>
      <c r="J28" s="481"/>
      <c r="K28" s="35"/>
      <c r="L28" s="77"/>
      <c r="M28" s="78"/>
      <c r="N28" s="24" t="s">
        <v>481</v>
      </c>
      <c r="O28" s="24" t="s">
        <v>298</v>
      </c>
      <c r="R28" s="24">
        <v>1</v>
      </c>
      <c r="S28" s="24" t="s">
        <v>546</v>
      </c>
      <c r="T28" s="24" t="s">
        <v>470</v>
      </c>
      <c r="V28" s="24">
        <v>30</v>
      </c>
      <c r="W28" s="24">
        <v>30</v>
      </c>
    </row>
    <row r="29" spans="2:23" ht="20.149999999999999" customHeight="1" x14ac:dyDescent="0.45">
      <c r="B29" s="34"/>
      <c r="C29" s="22"/>
      <c r="G29" s="22"/>
      <c r="H29" s="68"/>
      <c r="I29" s="481"/>
      <c r="J29" s="481"/>
      <c r="K29" s="35"/>
      <c r="L29" s="77"/>
      <c r="M29" s="78"/>
      <c r="N29" s="24" t="s">
        <v>628</v>
      </c>
      <c r="O29" s="24" t="s">
        <v>320</v>
      </c>
      <c r="R29" s="24">
        <v>3</v>
      </c>
      <c r="S29" s="24" t="s">
        <v>61</v>
      </c>
      <c r="T29" s="24" t="s">
        <v>34</v>
      </c>
      <c r="V29" s="24">
        <v>5</v>
      </c>
      <c r="W29" s="24">
        <v>15</v>
      </c>
    </row>
    <row r="30" spans="2:23" ht="20.149999999999999" customHeight="1" x14ac:dyDescent="0.45">
      <c r="B30" s="34"/>
      <c r="C30" s="22"/>
      <c r="G30" s="22"/>
      <c r="H30" s="68"/>
      <c r="I30" s="481"/>
      <c r="J30" s="481"/>
      <c r="K30" s="35"/>
      <c r="L30" s="77"/>
      <c r="M30" s="78"/>
      <c r="N30" s="24" t="s">
        <v>440</v>
      </c>
      <c r="O30" s="24" t="s">
        <v>289</v>
      </c>
      <c r="R30" s="24">
        <v>2</v>
      </c>
      <c r="S30" s="24" t="s">
        <v>47</v>
      </c>
      <c r="T30" s="24" t="s">
        <v>454</v>
      </c>
      <c r="V30" s="24">
        <v>25</v>
      </c>
      <c r="W30" s="24">
        <v>50</v>
      </c>
    </row>
    <row r="31" spans="2:23" ht="20.149999999999999" customHeight="1" x14ac:dyDescent="0.45">
      <c r="B31" s="34"/>
      <c r="C31" s="22"/>
      <c r="G31" s="22"/>
      <c r="H31" s="68"/>
      <c r="I31" s="481"/>
      <c r="J31" s="481"/>
      <c r="K31" s="35"/>
      <c r="L31" s="77"/>
      <c r="M31" s="78"/>
      <c r="N31" s="24" t="s">
        <v>402</v>
      </c>
      <c r="O31" s="24" t="s">
        <v>498</v>
      </c>
      <c r="R31" s="24">
        <v>5</v>
      </c>
      <c r="S31" s="24" t="s">
        <v>36</v>
      </c>
      <c r="T31" s="24" t="s">
        <v>54</v>
      </c>
      <c r="V31" s="24">
        <v>13</v>
      </c>
      <c r="W31" s="24">
        <v>65</v>
      </c>
    </row>
    <row r="32" spans="2:23" ht="20.149999999999999" customHeight="1" x14ac:dyDescent="0.45">
      <c r="B32" s="34"/>
      <c r="C32" s="22"/>
      <c r="G32" s="22"/>
      <c r="H32" s="68"/>
      <c r="I32" s="481"/>
      <c r="J32" s="481"/>
      <c r="K32" s="35"/>
      <c r="L32" s="77"/>
      <c r="M32" s="78"/>
      <c r="N32" s="24" t="s">
        <v>450</v>
      </c>
      <c r="O32" s="24" t="s">
        <v>614</v>
      </c>
      <c r="R32" s="24">
        <v>1</v>
      </c>
      <c r="S32" s="24" t="s">
        <v>615</v>
      </c>
      <c r="T32" s="24" t="s">
        <v>602</v>
      </c>
      <c r="V32" s="24">
        <v>34</v>
      </c>
      <c r="W32" s="24">
        <v>34</v>
      </c>
    </row>
    <row r="33" spans="2:23" ht="20.149999999999999" customHeight="1" x14ac:dyDescent="0.45">
      <c r="B33" s="34"/>
      <c r="C33" s="22"/>
      <c r="D33" s="508"/>
      <c r="E33" s="508"/>
      <c r="F33" s="508"/>
      <c r="G33" s="22"/>
      <c r="H33" s="68"/>
      <c r="I33" s="481"/>
      <c r="J33" s="481"/>
      <c r="K33" s="35"/>
      <c r="L33" s="77"/>
      <c r="M33" s="78"/>
      <c r="N33" s="24" t="s">
        <v>453</v>
      </c>
      <c r="O33" s="24" t="s">
        <v>328</v>
      </c>
      <c r="R33" s="24">
        <v>4</v>
      </c>
      <c r="S33" s="24" t="s">
        <v>59</v>
      </c>
      <c r="T33" s="24" t="s">
        <v>485</v>
      </c>
      <c r="V33" s="24">
        <v>41</v>
      </c>
      <c r="W33" s="24">
        <v>164</v>
      </c>
    </row>
    <row r="34" spans="2:23" ht="20.149999999999999" customHeight="1" x14ac:dyDescent="0.45">
      <c r="B34" s="34"/>
      <c r="C34" s="22"/>
      <c r="D34" s="508"/>
      <c r="E34" s="508"/>
      <c r="F34" s="508"/>
      <c r="G34" s="22"/>
      <c r="H34" s="68"/>
      <c r="I34" s="481"/>
      <c r="J34" s="481"/>
      <c r="K34" s="35"/>
      <c r="L34" s="77"/>
      <c r="M34" s="78"/>
      <c r="N34" s="24" t="s">
        <v>437</v>
      </c>
      <c r="O34" s="24" t="s">
        <v>286</v>
      </c>
      <c r="R34" s="24">
        <v>1</v>
      </c>
      <c r="S34" s="24" t="s">
        <v>592</v>
      </c>
      <c r="T34" s="24" t="s">
        <v>452</v>
      </c>
      <c r="V34" s="24">
        <v>26</v>
      </c>
      <c r="W34" s="24">
        <v>26</v>
      </c>
    </row>
    <row r="35" spans="2:23" ht="20.149999999999999" customHeight="1" x14ac:dyDescent="0.45">
      <c r="B35" s="34"/>
      <c r="C35" s="22"/>
      <c r="D35" s="508"/>
      <c r="E35" s="508"/>
      <c r="F35" s="508"/>
      <c r="G35" s="22"/>
      <c r="H35" s="68"/>
      <c r="I35" s="481"/>
      <c r="J35" s="481"/>
      <c r="K35" s="35"/>
      <c r="L35" s="36"/>
      <c r="N35" s="24" t="s">
        <v>438</v>
      </c>
      <c r="O35" s="24" t="s">
        <v>287</v>
      </c>
      <c r="R35" s="24">
        <v>6</v>
      </c>
      <c r="S35" s="24" t="s">
        <v>527</v>
      </c>
      <c r="T35" s="24" t="s">
        <v>452</v>
      </c>
      <c r="V35" s="24">
        <v>21</v>
      </c>
      <c r="W35" s="24">
        <v>126</v>
      </c>
    </row>
    <row r="36" spans="2:23" ht="20.149999999999999" customHeight="1" thickBot="1" x14ac:dyDescent="0.5">
      <c r="B36" s="37"/>
      <c r="C36" s="38"/>
      <c r="D36" s="509"/>
      <c r="E36" s="509"/>
      <c r="F36" s="509"/>
      <c r="G36" s="38"/>
      <c r="H36" s="69"/>
      <c r="I36" s="557"/>
      <c r="J36" s="557"/>
      <c r="K36" s="39"/>
      <c r="L36" s="40"/>
      <c r="N36" s="24" t="s">
        <v>442</v>
      </c>
      <c r="O36" s="24" t="s">
        <v>290</v>
      </c>
      <c r="R36" s="24">
        <v>1</v>
      </c>
      <c r="S36" s="24" t="s">
        <v>48</v>
      </c>
      <c r="T36" s="24" t="s">
        <v>456</v>
      </c>
      <c r="V36" s="24">
        <v>18</v>
      </c>
      <c r="W36" s="24">
        <v>18</v>
      </c>
    </row>
    <row r="37" spans="2:23" ht="20.149999999999999" customHeight="1" thickBot="1" x14ac:dyDescent="0.5">
      <c r="B37" s="41"/>
      <c r="L37" s="42"/>
    </row>
    <row r="38" spans="2:23" ht="20.149999999999999" customHeight="1" x14ac:dyDescent="0.45">
      <c r="B38" s="11" t="s">
        <v>18</v>
      </c>
      <c r="C38" s="7"/>
      <c r="D38" s="7"/>
      <c r="E38" s="7"/>
      <c r="F38" s="7"/>
      <c r="G38" s="7"/>
      <c r="H38" s="7"/>
      <c r="I38" s="7"/>
      <c r="J38" s="510" t="s">
        <v>15</v>
      </c>
      <c r="K38" s="511"/>
      <c r="L38" s="43" t="e">
        <f>SUM(L17:L35)</f>
        <v>#N/A</v>
      </c>
      <c r="M38" s="76" t="e">
        <f>L38-858</f>
        <v>#N/A</v>
      </c>
    </row>
    <row r="39" spans="2:23" ht="20.149999999999999" customHeight="1" x14ac:dyDescent="0.45">
      <c r="B39" s="11" t="s">
        <v>19</v>
      </c>
      <c r="C39" s="7"/>
      <c r="D39" s="7"/>
      <c r="E39" s="7"/>
      <c r="F39" s="7"/>
      <c r="G39" s="7"/>
      <c r="H39" s="7"/>
      <c r="I39" s="7"/>
      <c r="J39" s="44" t="s">
        <v>22</v>
      </c>
      <c r="K39" s="45"/>
      <c r="L39" s="46" t="e">
        <f>L38*K39</f>
        <v>#N/A</v>
      </c>
    </row>
    <row r="40" spans="2:23" ht="20.149999999999999" customHeight="1" x14ac:dyDescent="0.45">
      <c r="B40" s="11" t="s">
        <v>20</v>
      </c>
      <c r="C40" s="7"/>
      <c r="D40" s="7"/>
      <c r="E40" s="7"/>
      <c r="F40" s="7"/>
      <c r="G40" s="7"/>
      <c r="H40" s="7"/>
      <c r="I40" s="7"/>
      <c r="J40" s="486" t="s">
        <v>21</v>
      </c>
      <c r="K40" s="487"/>
      <c r="L40" s="46" t="e">
        <f>L38-L39</f>
        <v>#N/A</v>
      </c>
    </row>
    <row r="41" spans="2:23" ht="20.149999999999999" customHeight="1" x14ac:dyDescent="0.45">
      <c r="B41" s="11" t="s">
        <v>24</v>
      </c>
      <c r="C41" s="7"/>
      <c r="D41" s="7"/>
      <c r="E41" s="7"/>
      <c r="F41" s="7"/>
      <c r="G41" s="7"/>
      <c r="H41" s="7"/>
      <c r="I41" s="7"/>
      <c r="J41" s="150" t="s">
        <v>17</v>
      </c>
      <c r="K41" s="151">
        <v>7.0000000000000007E-2</v>
      </c>
      <c r="L41" s="47" t="e">
        <f>L40*K41</f>
        <v>#N/A</v>
      </c>
    </row>
    <row r="42" spans="2:23" ht="20.149999999999999" customHeight="1" thickBot="1" x14ac:dyDescent="0.5">
      <c r="B42" s="11" t="s">
        <v>25</v>
      </c>
      <c r="C42" s="7"/>
      <c r="D42" s="7"/>
      <c r="E42" s="7"/>
      <c r="F42" s="7"/>
      <c r="G42" s="7"/>
      <c r="H42" s="7"/>
      <c r="I42" s="7"/>
      <c r="J42" s="488" t="s">
        <v>23</v>
      </c>
      <c r="K42" s="489"/>
      <c r="L42" s="48" t="e">
        <f>L40+L41</f>
        <v>#N/A</v>
      </c>
    </row>
    <row r="43" spans="2:23" ht="20.149999999999999" customHeight="1" x14ac:dyDescent="0.45">
      <c r="B43" s="11" t="s">
        <v>26</v>
      </c>
      <c r="C43" s="7"/>
      <c r="D43" s="7"/>
      <c r="E43" s="7"/>
      <c r="F43" s="7"/>
      <c r="G43" s="7"/>
      <c r="H43" s="7"/>
      <c r="I43" s="7"/>
      <c r="L43" s="42"/>
    </row>
    <row r="44" spans="2:23" ht="20.149999999999999" customHeight="1" x14ac:dyDescent="0.45">
      <c r="B44" s="41"/>
      <c r="L44" s="42"/>
    </row>
    <row r="45" spans="2:23" ht="20.149999999999999" customHeight="1" x14ac:dyDescent="0.45">
      <c r="B45" s="41"/>
      <c r="L45" s="42"/>
    </row>
    <row r="46" spans="2:23" ht="20.149999999999999" customHeight="1" x14ac:dyDescent="0.45">
      <c r="B46" s="41"/>
      <c r="L46" s="42"/>
    </row>
    <row r="47" spans="2:23" ht="20.149999999999999" customHeight="1" x14ac:dyDescent="0.45">
      <c r="B47" s="41"/>
      <c r="L47" s="42"/>
    </row>
    <row r="48" spans="2:23" ht="20.149999999999999" customHeight="1" x14ac:dyDescent="0.45">
      <c r="B48" s="49"/>
      <c r="C48" s="50"/>
      <c r="D48" s="50"/>
      <c r="J48" s="106"/>
      <c r="K48" s="50"/>
      <c r="L48" s="51"/>
    </row>
    <row r="49" spans="2:12" ht="20.149999999999999" customHeight="1" x14ac:dyDescent="0.45">
      <c r="B49" s="41" t="s">
        <v>27</v>
      </c>
      <c r="J49" s="102" t="s">
        <v>28</v>
      </c>
      <c r="L49" s="42"/>
    </row>
    <row r="50" spans="2:12" ht="19" thickBot="1" x14ac:dyDescent="0.5">
      <c r="B50" s="52"/>
      <c r="C50" s="53"/>
      <c r="D50" s="53"/>
      <c r="E50" s="53"/>
      <c r="F50" s="53"/>
      <c r="G50" s="53"/>
      <c r="H50" s="53"/>
      <c r="I50" s="53"/>
      <c r="J50" s="107"/>
      <c r="K50" s="53"/>
      <c r="L50" s="54"/>
    </row>
  </sheetData>
  <mergeCells count="42">
    <mergeCell ref="B15:D15"/>
    <mergeCell ref="B1:L8"/>
    <mergeCell ref="J42:K42"/>
    <mergeCell ref="D35:F35"/>
    <mergeCell ref="I35:J35"/>
    <mergeCell ref="D36:F36"/>
    <mergeCell ref="I36:J36"/>
    <mergeCell ref="J38:K38"/>
    <mergeCell ref="J40:K40"/>
    <mergeCell ref="I31:J31"/>
    <mergeCell ref="I32:J32"/>
    <mergeCell ref="D33:F33"/>
    <mergeCell ref="I33:J33"/>
    <mergeCell ref="D34:F34"/>
    <mergeCell ref="I34:J34"/>
    <mergeCell ref="I18:J18"/>
    <mergeCell ref="I30:J30"/>
    <mergeCell ref="I25:J25"/>
    <mergeCell ref="I26:J26"/>
    <mergeCell ref="I27:J27"/>
    <mergeCell ref="I28:J28"/>
    <mergeCell ref="I19:J19"/>
    <mergeCell ref="I20:J20"/>
    <mergeCell ref="I21:J21"/>
    <mergeCell ref="I22:J22"/>
    <mergeCell ref="I23:J23"/>
    <mergeCell ref="D18:F18"/>
    <mergeCell ref="I29:J29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D17:F17"/>
    <mergeCell ref="I17:J17"/>
    <mergeCell ref="I24:J24"/>
  </mergeCells>
  <conditionalFormatting sqref="C18:C36">
    <cfRule type="duplicateValues" dxfId="0" priority="569"/>
  </conditionalFormatting>
  <pageMargins left="0.70866141732283472" right="0.31496062992125984" top="0.59055118110236227" bottom="0" header="0.31496062992125984" footer="0.31496062992125984"/>
  <pageSetup paperSize="9" scale="75" orientation="portrait" verticalDpi="300" r:id="rId1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46FCD1-B683-4002-9821-FB1CC10CAF64}">
  <sheetPr codeName="Sheet109">
    <tabColor rgb="FFFFC000"/>
    <pageSetUpPr fitToPage="1"/>
  </sheetPr>
  <dimension ref="B1:O51"/>
  <sheetViews>
    <sheetView workbookViewId="0">
      <selection activeCell="B12" sqref="B12:D12"/>
    </sheetView>
  </sheetViews>
  <sheetFormatPr defaultColWidth="12.54296875" defaultRowHeight="18.5" x14ac:dyDescent="0.45"/>
  <cols>
    <col min="1" max="1" width="12.54296875" style="24"/>
    <col min="2" max="3" width="12.54296875" style="24" customWidth="1"/>
    <col min="4" max="4" width="14.54296875" style="24" customWidth="1"/>
    <col min="5" max="5" width="1.54296875" style="24" customWidth="1"/>
    <col min="6" max="6" width="14.54296875" style="24" customWidth="1"/>
    <col min="7" max="7" width="8.54296875" style="24" customWidth="1"/>
    <col min="8" max="8" width="17.81640625" style="24" customWidth="1"/>
    <col min="9" max="9" width="1.81640625" style="81" customWidth="1"/>
    <col min="10" max="10" width="15.54296875" style="81" customWidth="1"/>
    <col min="11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742</v>
      </c>
      <c r="J10" s="82" t="s">
        <v>29</v>
      </c>
      <c r="K10" s="452">
        <v>202109315</v>
      </c>
      <c r="L10" s="453"/>
    </row>
    <row r="11" spans="2:12" ht="20.149999999999999" customHeight="1" x14ac:dyDescent="0.45">
      <c r="B11" s="454" t="s">
        <v>2022</v>
      </c>
      <c r="C11" s="455"/>
      <c r="D11" s="456"/>
      <c r="E11" s="30"/>
      <c r="F11" s="457" t="str">
        <f>VLOOKUP(H10,'Delivery Location'!A$4:N$416,2,0)</f>
        <v>Jem Cook House                                           50, Jurong Gateway Road #05-01 JEMS Singapore 608549                                         (DRINK)</v>
      </c>
      <c r="G11" s="458"/>
      <c r="H11" s="459"/>
      <c r="J11" s="83" t="s">
        <v>11</v>
      </c>
      <c r="K11" s="551">
        <v>44459</v>
      </c>
      <c r="L11" s="472"/>
    </row>
    <row r="12" spans="2:12" ht="20.149999999999999" customHeight="1" x14ac:dyDescent="0.45">
      <c r="B12" s="468" t="s">
        <v>2139</v>
      </c>
      <c r="C12" s="469"/>
      <c r="D12" s="470"/>
      <c r="E12" s="30"/>
      <c r="F12" s="460"/>
      <c r="G12" s="461"/>
      <c r="H12" s="462"/>
      <c r="J12" s="83" t="s">
        <v>171</v>
      </c>
      <c r="K12" s="471" t="s">
        <v>533</v>
      </c>
      <c r="L12" s="472"/>
    </row>
    <row r="13" spans="2:12" ht="20.149999999999999" customHeight="1" x14ac:dyDescent="0.45">
      <c r="B13" s="468" t="s">
        <v>2024</v>
      </c>
      <c r="C13" s="469"/>
      <c r="D13" s="470"/>
      <c r="E13" s="30"/>
      <c r="F13" s="460"/>
      <c r="G13" s="461"/>
      <c r="H13" s="462"/>
      <c r="J13" s="83" t="s">
        <v>12</v>
      </c>
      <c r="K13" s="471" t="s">
        <v>14</v>
      </c>
      <c r="L13" s="472"/>
    </row>
    <row r="14" spans="2:12" ht="20.149999999999999" customHeight="1" x14ac:dyDescent="0.45">
      <c r="B14" s="468" t="s">
        <v>2025</v>
      </c>
      <c r="C14" s="469"/>
      <c r="D14" s="470"/>
      <c r="E14" s="30"/>
      <c r="F14" s="460"/>
      <c r="G14" s="461"/>
      <c r="H14" s="462"/>
      <c r="J14" s="83" t="s">
        <v>30</v>
      </c>
      <c r="K14" s="471" t="s">
        <v>16</v>
      </c>
      <c r="L14" s="472"/>
    </row>
    <row r="15" spans="2:12" ht="18" customHeight="1" thickBot="1" x14ac:dyDescent="0.5">
      <c r="B15" s="463" t="s">
        <v>2026</v>
      </c>
      <c r="C15" s="464"/>
      <c r="D15" s="465"/>
      <c r="E15" s="26"/>
      <c r="F15" s="463"/>
      <c r="G15" s="464"/>
      <c r="H15" s="465"/>
      <c r="J15" s="84" t="s">
        <v>13</v>
      </c>
      <c r="K15" s="476"/>
      <c r="L15" s="477"/>
    </row>
    <row r="16" spans="2:12" ht="19" thickBot="1" x14ac:dyDescent="0.5">
      <c r="J16" s="85"/>
    </row>
    <row r="17" spans="2:15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3"/>
      <c r="O17" s="33"/>
    </row>
    <row r="18" spans="2:15" ht="20.149999999999999" customHeight="1" x14ac:dyDescent="0.45">
      <c r="B18" s="34"/>
      <c r="C18" s="22" t="s">
        <v>541</v>
      </c>
      <c r="D18" s="508" t="e">
        <f>VLOOKUP(C18,'Sales Master'!B$3:D$499,2,)</f>
        <v>#N/A</v>
      </c>
      <c r="E18" s="508"/>
      <c r="F18" s="508"/>
      <c r="G18" s="90">
        <v>3</v>
      </c>
      <c r="H18" s="68" t="e">
        <f>VLOOKUP(C18,'Sales Master'!$B$3:$F$3247,5,0)</f>
        <v>#N/A</v>
      </c>
      <c r="I18" s="481" t="e">
        <f>VLOOKUP(C18,'Sales Master'!$B$3:$E$3247,4,0)</f>
        <v>#N/A</v>
      </c>
      <c r="J18" s="481"/>
      <c r="K18" s="35" t="e">
        <f>VLOOKUP(C18,'Sales Master'!B$3:AZ$499,51,0)</f>
        <v>#N/A</v>
      </c>
      <c r="L18" s="77" t="e">
        <f>K18*G18</f>
        <v>#N/A</v>
      </c>
      <c r="M18" s="78"/>
    </row>
    <row r="19" spans="2:15" ht="20.149999999999999" customHeight="1" x14ac:dyDescent="0.45">
      <c r="B19" s="34"/>
      <c r="C19" s="22" t="s">
        <v>1096</v>
      </c>
      <c r="D19" s="508" t="e">
        <f>VLOOKUP(C19,'Sales Master'!B$3:D$499,2,)</f>
        <v>#N/A</v>
      </c>
      <c r="E19" s="508"/>
      <c r="F19" s="508"/>
      <c r="G19" s="90">
        <v>3</v>
      </c>
      <c r="H19" s="68" t="e">
        <f>VLOOKUP(C19,'Sales Master'!$B$3:$F$3247,5,0)</f>
        <v>#N/A</v>
      </c>
      <c r="I19" s="481" t="e">
        <f>VLOOKUP(C19,'Sales Master'!$B$3:$E$3247,4,0)</f>
        <v>#N/A</v>
      </c>
      <c r="J19" s="481"/>
      <c r="K19" s="35" t="e">
        <f>VLOOKUP(C19,'Sales Master'!B$3:AZ$499,51,0)</f>
        <v>#N/A</v>
      </c>
      <c r="L19" s="77" t="e">
        <f t="shared" ref="L19:L26" si="0">K19*G19</f>
        <v>#N/A</v>
      </c>
      <c r="M19" s="78"/>
    </row>
    <row r="20" spans="2:15" ht="20.149999999999999" customHeight="1" x14ac:dyDescent="0.45">
      <c r="B20" s="34"/>
      <c r="C20" s="22" t="s">
        <v>405</v>
      </c>
      <c r="D20" s="508" t="e">
        <f>VLOOKUP(C20,'Sales Master'!B$3:D$499,2,)</f>
        <v>#N/A</v>
      </c>
      <c r="E20" s="508"/>
      <c r="F20" s="508"/>
      <c r="G20" s="90">
        <v>3</v>
      </c>
      <c r="H20" s="68" t="e">
        <f>VLOOKUP(C20,'Sales Master'!$B$3:$F$3247,5,0)</f>
        <v>#N/A</v>
      </c>
      <c r="I20" s="481" t="e">
        <f>VLOOKUP(C20,'Sales Master'!$B$3:$E$3247,4,0)</f>
        <v>#N/A</v>
      </c>
      <c r="J20" s="481"/>
      <c r="K20" s="35" t="e">
        <f>VLOOKUP(C20,'Sales Master'!B$3:AZ$499,51,0)</f>
        <v>#N/A</v>
      </c>
      <c r="L20" s="77" t="e">
        <f t="shared" si="0"/>
        <v>#N/A</v>
      </c>
      <c r="M20" s="78"/>
    </row>
    <row r="21" spans="2:15" ht="20.149999999999999" customHeight="1" x14ac:dyDescent="0.45">
      <c r="B21" s="34"/>
      <c r="C21" s="22" t="s">
        <v>421</v>
      </c>
      <c r="D21" s="508" t="e">
        <f>VLOOKUP(C21,'Sales Master'!B$3:D$499,2,)</f>
        <v>#N/A</v>
      </c>
      <c r="E21" s="508"/>
      <c r="F21" s="508"/>
      <c r="G21" s="90">
        <v>1</v>
      </c>
      <c r="H21" s="68" t="e">
        <f>VLOOKUP(C21,'Sales Master'!$B$3:$F$3247,5,0)</f>
        <v>#N/A</v>
      </c>
      <c r="I21" s="481" t="e">
        <f>VLOOKUP(C21,'Sales Master'!$B$3:$E$3247,4,0)</f>
        <v>#N/A</v>
      </c>
      <c r="J21" s="481"/>
      <c r="K21" s="35" t="e">
        <f>VLOOKUP(C21,'Sales Master'!B$3:AZ$499,51,0)</f>
        <v>#N/A</v>
      </c>
      <c r="L21" s="77" t="e">
        <f t="shared" si="0"/>
        <v>#N/A</v>
      </c>
      <c r="M21" s="78"/>
    </row>
    <row r="22" spans="2:15" ht="20.149999999999999" customHeight="1" x14ac:dyDescent="0.45">
      <c r="B22" s="80"/>
      <c r="C22" s="22" t="s">
        <v>1337</v>
      </c>
      <c r="D22" s="508" t="str">
        <f>VLOOKUP(C22,'Sales Master'!B$3:D$499,2,)</f>
        <v>Bean Curd Sheet 腐竹</v>
      </c>
      <c r="E22" s="508"/>
      <c r="F22" s="508"/>
      <c r="G22" s="90">
        <v>5</v>
      </c>
      <c r="H22" s="68" t="str">
        <f>VLOOKUP(C22,'Sales Master'!$B$3:$F$3247,5,0)</f>
        <v>170G/PKT</v>
      </c>
      <c r="I22" s="481" t="str">
        <f>VLOOKUP(C22,'Sales Master'!$B$3:$E$3247,4,0)</f>
        <v>福</v>
      </c>
      <c r="J22" s="481"/>
      <c r="K22" s="35">
        <f>VLOOKUP(C22,'Sales Master'!B$3:AZ$499,51,0)</f>
        <v>2.2000000000000002</v>
      </c>
      <c r="L22" s="77">
        <f t="shared" si="0"/>
        <v>11</v>
      </c>
      <c r="M22" s="78"/>
    </row>
    <row r="23" spans="2:15" ht="20.149999999999999" customHeight="1" x14ac:dyDescent="0.45">
      <c r="B23" s="34"/>
      <c r="C23" s="22" t="s">
        <v>437</v>
      </c>
      <c r="D23" s="508" t="e">
        <f>VLOOKUP(C23,'Sales Master'!B$3:D$499,2,)</f>
        <v>#N/A</v>
      </c>
      <c r="E23" s="508"/>
      <c r="F23" s="508"/>
      <c r="G23" s="90">
        <v>1</v>
      </c>
      <c r="H23" s="68" t="e">
        <f>VLOOKUP(C23,'Sales Master'!$B$3:$F$3247,5,0)</f>
        <v>#N/A</v>
      </c>
      <c r="I23" s="481" t="e">
        <f>VLOOKUP(C23,'Sales Master'!$B$3:$E$3247,4,0)</f>
        <v>#N/A</v>
      </c>
      <c r="J23" s="481"/>
      <c r="K23" s="35" t="e">
        <f>VLOOKUP(C23,'Sales Master'!B$3:AZ$499,51,0)</f>
        <v>#N/A</v>
      </c>
      <c r="L23" s="77" t="e">
        <f t="shared" si="0"/>
        <v>#N/A</v>
      </c>
      <c r="M23" s="78"/>
    </row>
    <row r="24" spans="2:15" ht="20.149999999999999" customHeight="1" x14ac:dyDescent="0.45">
      <c r="B24" s="34"/>
      <c r="C24" s="22" t="s">
        <v>453</v>
      </c>
      <c r="D24" s="508" t="e">
        <f>VLOOKUP(C24,'Sales Master'!B$3:D$499,2,)</f>
        <v>#N/A</v>
      </c>
      <c r="E24" s="508"/>
      <c r="F24" s="508"/>
      <c r="G24" s="90">
        <v>1</v>
      </c>
      <c r="H24" s="68" t="e">
        <f>VLOOKUP(C24,'Sales Master'!$B$3:$F$3247,5,0)</f>
        <v>#N/A</v>
      </c>
      <c r="I24" s="481" t="e">
        <f>VLOOKUP(C24,'Sales Master'!$B$3:$E$3247,4,0)</f>
        <v>#N/A</v>
      </c>
      <c r="J24" s="481"/>
      <c r="K24" s="35" t="e">
        <f>VLOOKUP(C24,'Sales Master'!B$3:AZ$499,51,0)</f>
        <v>#N/A</v>
      </c>
      <c r="L24" s="77" t="e">
        <f t="shared" si="0"/>
        <v>#N/A</v>
      </c>
      <c r="M24" s="78"/>
    </row>
    <row r="25" spans="2:15" ht="20.149999999999999" customHeight="1" x14ac:dyDescent="0.45">
      <c r="B25" s="34"/>
      <c r="C25" s="22" t="s">
        <v>517</v>
      </c>
      <c r="D25" s="508" t="e">
        <f>VLOOKUP(C25,'Sales Master'!B$3:D$499,2,)</f>
        <v>#N/A</v>
      </c>
      <c r="E25" s="508"/>
      <c r="F25" s="508"/>
      <c r="G25" s="90">
        <v>20</v>
      </c>
      <c r="H25" s="68" t="e">
        <f>VLOOKUP(C25,'Sales Master'!$B$3:$F$3247,5,0)</f>
        <v>#N/A</v>
      </c>
      <c r="I25" s="481" t="e">
        <f>VLOOKUP(C25,'Sales Master'!$B$3:$E$3247,4,0)</f>
        <v>#N/A</v>
      </c>
      <c r="J25" s="481"/>
      <c r="K25" s="35" t="e">
        <f>VLOOKUP(C25,'Sales Master'!B$3:AZ$499,51,0)</f>
        <v>#N/A</v>
      </c>
      <c r="L25" s="77" t="e">
        <f t="shared" si="0"/>
        <v>#N/A</v>
      </c>
      <c r="M25" s="78"/>
    </row>
    <row r="26" spans="2:15" ht="20.149999999999999" customHeight="1" x14ac:dyDescent="0.45">
      <c r="B26" s="34"/>
      <c r="C26" s="22" t="s">
        <v>520</v>
      </c>
      <c r="D26" s="508" t="e">
        <f>VLOOKUP(C26,'Sales Master'!B$3:D$499,2,)</f>
        <v>#N/A</v>
      </c>
      <c r="E26" s="508"/>
      <c r="F26" s="508"/>
      <c r="G26" s="90">
        <v>3</v>
      </c>
      <c r="H26" s="68" t="e">
        <f>VLOOKUP(C26,'Sales Master'!$B$3:$F$3247,5,0)</f>
        <v>#N/A</v>
      </c>
      <c r="I26" s="481" t="e">
        <f>VLOOKUP(C26,'Sales Master'!$B$3:$E$3247,4,0)</f>
        <v>#N/A</v>
      </c>
      <c r="J26" s="481"/>
      <c r="K26" s="35" t="e">
        <f>VLOOKUP(C26,'Sales Master'!B$3:AZ$499,51,0)</f>
        <v>#N/A</v>
      </c>
      <c r="L26" s="77" t="e">
        <f t="shared" si="0"/>
        <v>#N/A</v>
      </c>
      <c r="M26" s="78"/>
    </row>
    <row r="27" spans="2:15" ht="20.149999999999999" customHeight="1" x14ac:dyDescent="0.45">
      <c r="B27" s="34"/>
      <c r="C27" s="22" t="s">
        <v>521</v>
      </c>
      <c r="D27" s="508" t="e">
        <f>VLOOKUP(C27,'Sales Master'!B$3:D$499,2,)</f>
        <v>#N/A</v>
      </c>
      <c r="E27" s="508"/>
      <c r="F27" s="508"/>
      <c r="G27" s="90">
        <v>1</v>
      </c>
      <c r="H27" s="68" t="e">
        <f>VLOOKUP(C27,'Sales Master'!$B$3:$F$3247,5,0)</f>
        <v>#N/A</v>
      </c>
      <c r="I27" s="481" t="e">
        <f>VLOOKUP(C27,'Sales Master'!$B$3:$E$3247,4,0)</f>
        <v>#N/A</v>
      </c>
      <c r="J27" s="481"/>
      <c r="K27" s="35" t="e">
        <f>VLOOKUP(C27,'Sales Master'!B$3:AZ$499,51,0)</f>
        <v>#N/A</v>
      </c>
      <c r="L27" s="77" t="e">
        <f>K27*G27</f>
        <v>#N/A</v>
      </c>
      <c r="M27" s="78"/>
    </row>
    <row r="28" spans="2:15" ht="20.149999999999999" customHeight="1" x14ac:dyDescent="0.45">
      <c r="B28" s="34"/>
      <c r="C28" s="22"/>
      <c r="D28" s="508"/>
      <c r="E28" s="508"/>
      <c r="F28" s="508"/>
      <c r="G28" s="91"/>
      <c r="H28" s="68"/>
      <c r="I28" s="604"/>
      <c r="J28" s="604"/>
      <c r="K28" s="35"/>
      <c r="L28" s="77"/>
      <c r="M28" s="78"/>
    </row>
    <row r="29" spans="2:15" ht="20.149999999999999" customHeight="1" x14ac:dyDescent="0.45">
      <c r="B29" s="34"/>
      <c r="C29" s="22"/>
      <c r="D29" s="508"/>
      <c r="E29" s="508"/>
      <c r="F29" s="508"/>
      <c r="G29" s="91"/>
      <c r="H29" s="68"/>
      <c r="I29" s="604"/>
      <c r="J29" s="604"/>
      <c r="K29" s="35"/>
      <c r="L29" s="77"/>
      <c r="M29" s="78"/>
    </row>
    <row r="30" spans="2:15" ht="20.149999999999999" customHeight="1" x14ac:dyDescent="0.45">
      <c r="B30" s="34"/>
      <c r="C30" s="22"/>
      <c r="D30" s="508"/>
      <c r="E30" s="508"/>
      <c r="F30" s="508"/>
      <c r="G30" s="91"/>
      <c r="H30" s="68"/>
      <c r="I30" s="604"/>
      <c r="J30" s="604"/>
      <c r="K30" s="35"/>
      <c r="L30" s="77"/>
      <c r="M30" s="78"/>
    </row>
    <row r="31" spans="2:15" ht="20.149999999999999" customHeight="1" x14ac:dyDescent="0.45">
      <c r="B31" s="34"/>
      <c r="C31" s="22"/>
      <c r="D31" s="508"/>
      <c r="E31" s="508"/>
      <c r="F31" s="508"/>
      <c r="G31" s="91"/>
      <c r="H31" s="68"/>
      <c r="I31" s="604"/>
      <c r="J31" s="604"/>
      <c r="K31" s="35"/>
      <c r="L31" s="77"/>
      <c r="M31" s="78"/>
    </row>
    <row r="32" spans="2:15" ht="20.149999999999999" customHeight="1" x14ac:dyDescent="0.45">
      <c r="B32" s="34"/>
      <c r="C32" s="22"/>
      <c r="D32" s="508"/>
      <c r="E32" s="508"/>
      <c r="F32" s="508"/>
      <c r="G32" s="91"/>
      <c r="H32" s="68"/>
      <c r="I32" s="604"/>
      <c r="J32" s="604"/>
      <c r="K32" s="35"/>
      <c r="L32" s="77"/>
      <c r="M32" s="78"/>
    </row>
    <row r="33" spans="2:13" ht="20.149999999999999" customHeight="1" x14ac:dyDescent="0.45">
      <c r="B33" s="34"/>
      <c r="C33" s="22"/>
      <c r="D33" s="508"/>
      <c r="E33" s="508"/>
      <c r="F33" s="508"/>
      <c r="G33" s="91"/>
      <c r="H33" s="68"/>
      <c r="I33" s="604"/>
      <c r="J33" s="604"/>
      <c r="K33" s="35"/>
      <c r="L33" s="77"/>
      <c r="M33" s="78"/>
    </row>
    <row r="34" spans="2:13" ht="20.149999999999999" customHeight="1" x14ac:dyDescent="0.45">
      <c r="B34" s="34"/>
      <c r="C34" s="22"/>
      <c r="D34" s="508"/>
      <c r="E34" s="508"/>
      <c r="F34" s="508"/>
      <c r="G34" s="91"/>
      <c r="H34" s="68"/>
      <c r="I34" s="604"/>
      <c r="J34" s="604"/>
      <c r="K34" s="35"/>
      <c r="L34" s="77"/>
      <c r="M34" s="78"/>
    </row>
    <row r="35" spans="2:13" ht="20.149999999999999" customHeight="1" x14ac:dyDescent="0.45">
      <c r="B35" s="34"/>
      <c r="C35" s="22"/>
      <c r="G35" s="91"/>
      <c r="H35" s="68"/>
      <c r="I35" s="604"/>
      <c r="J35" s="604"/>
      <c r="K35" s="35"/>
      <c r="L35" s="77"/>
      <c r="M35" s="78"/>
    </row>
    <row r="36" spans="2:13" ht="20.149999999999999" customHeight="1" x14ac:dyDescent="0.45">
      <c r="B36" s="34"/>
      <c r="C36" s="22"/>
      <c r="D36" s="508"/>
      <c r="E36" s="508"/>
      <c r="F36" s="508"/>
      <c r="G36" s="91"/>
      <c r="H36" s="68"/>
      <c r="I36" s="604"/>
      <c r="J36" s="604"/>
      <c r="K36" s="35"/>
      <c r="L36" s="77"/>
    </row>
    <row r="37" spans="2:13" ht="20.149999999999999" customHeight="1" thickBot="1" x14ac:dyDescent="0.5">
      <c r="B37" s="37"/>
      <c r="C37" s="38"/>
      <c r="D37" s="509"/>
      <c r="E37" s="509"/>
      <c r="F37" s="509"/>
      <c r="G37" s="38"/>
      <c r="H37" s="69"/>
      <c r="I37" s="588"/>
      <c r="J37" s="588"/>
      <c r="K37" s="39"/>
      <c r="L37" s="40"/>
    </row>
    <row r="38" spans="2:13" ht="20.149999999999999" customHeight="1" thickBot="1" x14ac:dyDescent="0.5">
      <c r="B38" s="41"/>
      <c r="L38" s="42"/>
    </row>
    <row r="39" spans="2:13" ht="20.149999999999999" customHeight="1" x14ac:dyDescent="0.45">
      <c r="B39" s="11" t="s">
        <v>18</v>
      </c>
      <c r="C39" s="7"/>
      <c r="D39" s="7"/>
      <c r="E39" s="7"/>
      <c r="F39" s="7"/>
      <c r="G39" s="7"/>
      <c r="H39" s="7"/>
      <c r="I39" s="86"/>
      <c r="J39" s="510" t="s">
        <v>15</v>
      </c>
      <c r="K39" s="511"/>
      <c r="L39" s="43" t="e">
        <f>SUM(L17:L37)</f>
        <v>#N/A</v>
      </c>
      <c r="M39" s="76">
        <f>166+26</f>
        <v>192</v>
      </c>
    </row>
    <row r="40" spans="2:13" ht="20.149999999999999" customHeight="1" x14ac:dyDescent="0.45">
      <c r="B40" s="11" t="s">
        <v>19</v>
      </c>
      <c r="C40" s="7"/>
      <c r="D40" s="7"/>
      <c r="E40" s="7"/>
      <c r="F40" s="7"/>
      <c r="G40" s="7"/>
      <c r="H40" s="7"/>
      <c r="I40" s="86"/>
      <c r="J40" s="44" t="s">
        <v>22</v>
      </c>
      <c r="K40" s="45"/>
      <c r="L40" s="46" t="e">
        <f>L39*K40</f>
        <v>#N/A</v>
      </c>
    </row>
    <row r="41" spans="2:13" ht="20.149999999999999" customHeight="1" x14ac:dyDescent="0.45">
      <c r="B41" s="11" t="s">
        <v>20</v>
      </c>
      <c r="C41" s="7"/>
      <c r="D41" s="7"/>
      <c r="E41" s="7"/>
      <c r="F41" s="7"/>
      <c r="G41" s="7"/>
      <c r="H41" s="7"/>
      <c r="I41" s="86"/>
      <c r="J41" s="486" t="s">
        <v>21</v>
      </c>
      <c r="K41" s="487"/>
      <c r="L41" s="46" t="e">
        <f>L39-L40</f>
        <v>#N/A</v>
      </c>
    </row>
    <row r="42" spans="2:13" ht="20.149999999999999" customHeight="1" x14ac:dyDescent="0.45">
      <c r="B42" s="11" t="s">
        <v>24</v>
      </c>
      <c r="C42" s="7"/>
      <c r="D42" s="7"/>
      <c r="E42" s="7"/>
      <c r="F42" s="7"/>
      <c r="G42" s="7"/>
      <c r="H42" s="7"/>
      <c r="I42" s="86"/>
      <c r="J42" s="150" t="s">
        <v>17</v>
      </c>
      <c r="K42" s="151">
        <v>7.0000000000000007E-2</v>
      </c>
      <c r="L42" s="47" t="e">
        <f>L41*K42</f>
        <v>#N/A</v>
      </c>
    </row>
    <row r="43" spans="2:13" ht="20.149999999999999" customHeight="1" thickBot="1" x14ac:dyDescent="0.5">
      <c r="B43" s="11" t="s">
        <v>25</v>
      </c>
      <c r="C43" s="7"/>
      <c r="D43" s="7"/>
      <c r="E43" s="7"/>
      <c r="F43" s="7"/>
      <c r="G43" s="7"/>
      <c r="H43" s="7"/>
      <c r="I43" s="86"/>
      <c r="J43" s="488" t="s">
        <v>23</v>
      </c>
      <c r="K43" s="489"/>
      <c r="L43" s="48" t="e">
        <f>L41+L42</f>
        <v>#N/A</v>
      </c>
    </row>
    <row r="44" spans="2:13" ht="20.149999999999999" customHeight="1" x14ac:dyDescent="0.45">
      <c r="B44" s="11" t="s">
        <v>26</v>
      </c>
      <c r="C44" s="7"/>
      <c r="D44" s="7"/>
      <c r="E44" s="7"/>
      <c r="F44" s="7"/>
      <c r="G44" s="7"/>
      <c r="H44" s="7"/>
      <c r="I44" s="86"/>
      <c r="L44" s="42"/>
    </row>
    <row r="45" spans="2:13" ht="20.149999999999999" customHeight="1" x14ac:dyDescent="0.45">
      <c r="B45" s="41"/>
      <c r="L45" s="42"/>
    </row>
    <row r="46" spans="2:13" ht="20.149999999999999" customHeight="1" x14ac:dyDescent="0.45">
      <c r="B46" s="41"/>
      <c r="L46" s="42"/>
    </row>
    <row r="47" spans="2:13" ht="20.149999999999999" customHeight="1" x14ac:dyDescent="0.45">
      <c r="B47" s="41"/>
      <c r="L47" s="42"/>
    </row>
    <row r="48" spans="2:13" ht="20.149999999999999" customHeight="1" x14ac:dyDescent="0.45">
      <c r="B48" s="41"/>
      <c r="L48" s="42"/>
    </row>
    <row r="49" spans="2:12" ht="20.149999999999999" customHeight="1" x14ac:dyDescent="0.45">
      <c r="B49" s="49"/>
      <c r="C49" s="50"/>
      <c r="D49" s="50"/>
      <c r="J49" s="87"/>
      <c r="K49" s="50"/>
      <c r="L49" s="51"/>
    </row>
    <row r="50" spans="2:12" ht="20.149999999999999" customHeight="1" x14ac:dyDescent="0.45">
      <c r="B50" s="41" t="s">
        <v>27</v>
      </c>
      <c r="J50" s="81" t="s">
        <v>28</v>
      </c>
      <c r="L50" s="42"/>
    </row>
    <row r="51" spans="2:12" ht="19" thickBot="1" x14ac:dyDescent="0.5">
      <c r="B51" s="52"/>
      <c r="C51" s="53"/>
      <c r="D51" s="53"/>
      <c r="E51" s="53"/>
      <c r="F51" s="53"/>
      <c r="G51" s="53"/>
      <c r="H51" s="53"/>
      <c r="I51" s="88"/>
      <c r="J51" s="88"/>
      <c r="K51" s="53"/>
      <c r="L51" s="54"/>
    </row>
  </sheetData>
  <mergeCells count="57">
    <mergeCell ref="B15:D15"/>
    <mergeCell ref="D34:F34"/>
    <mergeCell ref="I34:J34"/>
    <mergeCell ref="J41:K41"/>
    <mergeCell ref="J43:K43"/>
    <mergeCell ref="I35:J35"/>
    <mergeCell ref="D36:F36"/>
    <mergeCell ref="I36:J36"/>
    <mergeCell ref="D37:F37"/>
    <mergeCell ref="I37:J37"/>
    <mergeCell ref="J39:K39"/>
    <mergeCell ref="D31:F31"/>
    <mergeCell ref="I31:J31"/>
    <mergeCell ref="D32:F32"/>
    <mergeCell ref="I32:J32"/>
    <mergeCell ref="D33:F33"/>
    <mergeCell ref="I33:J33"/>
    <mergeCell ref="D28:F28"/>
    <mergeCell ref="I28:J28"/>
    <mergeCell ref="D29:F29"/>
    <mergeCell ref="I29:J29"/>
    <mergeCell ref="D30:F30"/>
    <mergeCell ref="I30:J30"/>
    <mergeCell ref="D25:F25"/>
    <mergeCell ref="I25:J25"/>
    <mergeCell ref="D26:F26"/>
    <mergeCell ref="I26:J26"/>
    <mergeCell ref="D27:F27"/>
    <mergeCell ref="I27:J27"/>
    <mergeCell ref="D22:F22"/>
    <mergeCell ref="I22:J22"/>
    <mergeCell ref="D23:F23"/>
    <mergeCell ref="I23:J23"/>
    <mergeCell ref="D24:F24"/>
    <mergeCell ref="I24:J24"/>
    <mergeCell ref="D20:F20"/>
    <mergeCell ref="I20:J20"/>
    <mergeCell ref="D21:F21"/>
    <mergeCell ref="I21:J21"/>
    <mergeCell ref="D19:F19"/>
    <mergeCell ref="I19:J19"/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18:J18"/>
  </mergeCells>
  <pageMargins left="0.70866141732283472" right="0.31496062992125984" top="0.59055118110236227" bottom="0" header="0.31496062992125984" footer="0.31496062992125984"/>
  <pageSetup paperSize="9" scale="73" orientation="portrait" verticalDpi="300" r:id="rId1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909A73-34A5-4CDC-89D7-7C2307322A7C}">
  <sheetPr codeName="Sheet111">
    <tabColor rgb="FFFFC000"/>
    <pageSetUpPr fitToPage="1"/>
  </sheetPr>
  <dimension ref="B5:O46"/>
  <sheetViews>
    <sheetView topLeftCell="A4" workbookViewId="0">
      <selection activeCell="H16" sqref="H16"/>
    </sheetView>
  </sheetViews>
  <sheetFormatPr defaultColWidth="12.54296875" defaultRowHeight="18.5" x14ac:dyDescent="0.45"/>
  <cols>
    <col min="1" max="1" width="12.54296875" style="24"/>
    <col min="2" max="3" width="12.54296875" style="24" customWidth="1"/>
    <col min="4" max="4" width="14.54296875" style="24" customWidth="1"/>
    <col min="5" max="5" width="1.54296875" style="24" customWidth="1"/>
    <col min="6" max="6" width="14.54296875" style="24" customWidth="1"/>
    <col min="7" max="7" width="8.54296875" style="24" customWidth="1"/>
    <col min="8" max="8" width="15.81640625" style="24" customWidth="1"/>
    <col min="9" max="9" width="1.453125" style="81" customWidth="1"/>
    <col min="10" max="10" width="15.54296875" style="81" customWidth="1"/>
    <col min="11" max="12" width="12.54296875" style="24" customWidth="1"/>
    <col min="13" max="16384" width="12.54296875" style="24"/>
  </cols>
  <sheetData>
    <row r="5" spans="2:15" ht="19" thickBot="1" x14ac:dyDescent="0.5">
      <c r="B5" s="23"/>
    </row>
    <row r="6" spans="2:15" ht="18" customHeight="1" thickTop="1" thickBot="1" x14ac:dyDescent="0.5">
      <c r="B6" s="25" t="s">
        <v>9</v>
      </c>
      <c r="C6" s="25"/>
      <c r="D6" s="26"/>
      <c r="E6" s="26"/>
      <c r="F6" s="27" t="s">
        <v>10</v>
      </c>
      <c r="G6" s="28"/>
      <c r="H6" s="28" t="s">
        <v>841</v>
      </c>
      <c r="J6" s="82" t="s">
        <v>29</v>
      </c>
      <c r="K6" s="452">
        <v>202003301</v>
      </c>
      <c r="L6" s="453"/>
    </row>
    <row r="7" spans="2:15" ht="20.149999999999999" customHeight="1" x14ac:dyDescent="0.45">
      <c r="B7" s="454"/>
      <c r="C7" s="455"/>
      <c r="D7" s="456"/>
      <c r="E7" s="30"/>
      <c r="F7" s="457" t="str">
        <f>VLOOKUP(H6,'Delivery Location'!A$4:N$416,2,0)</f>
        <v>好口味                                               Blk 272 Bakit Batok East Ave 4                 Singapore 650271.</v>
      </c>
      <c r="G7" s="458"/>
      <c r="H7" s="459"/>
      <c r="J7" s="83" t="s">
        <v>11</v>
      </c>
      <c r="K7" s="551" t="s">
        <v>1005</v>
      </c>
      <c r="L7" s="472"/>
    </row>
    <row r="8" spans="2:15" ht="20.149999999999999" customHeight="1" x14ac:dyDescent="0.45">
      <c r="B8" s="468"/>
      <c r="C8" s="469"/>
      <c r="D8" s="470"/>
      <c r="E8" s="30"/>
      <c r="F8" s="460"/>
      <c r="G8" s="461"/>
      <c r="H8" s="462"/>
      <c r="J8" s="83" t="s">
        <v>171</v>
      </c>
      <c r="K8" s="471" t="s">
        <v>533</v>
      </c>
      <c r="L8" s="472"/>
    </row>
    <row r="9" spans="2:15" ht="20.149999999999999" customHeight="1" x14ac:dyDescent="0.45">
      <c r="B9" s="468"/>
      <c r="C9" s="469"/>
      <c r="D9" s="470"/>
      <c r="E9" s="30"/>
      <c r="F9" s="460"/>
      <c r="G9" s="461"/>
      <c r="H9" s="462"/>
      <c r="J9" s="83" t="s">
        <v>12</v>
      </c>
      <c r="K9" s="471" t="s">
        <v>688</v>
      </c>
      <c r="L9" s="472"/>
    </row>
    <row r="10" spans="2:15" ht="20.149999999999999" customHeight="1" x14ac:dyDescent="0.45">
      <c r="B10" s="468"/>
      <c r="C10" s="469"/>
      <c r="D10" s="470"/>
      <c r="E10" s="30"/>
      <c r="F10" s="460"/>
      <c r="G10" s="461"/>
      <c r="H10" s="462"/>
      <c r="J10" s="83" t="s">
        <v>30</v>
      </c>
      <c r="K10" s="471" t="s">
        <v>16</v>
      </c>
      <c r="L10" s="472"/>
    </row>
    <row r="11" spans="2:15" ht="18" customHeight="1" thickBot="1" x14ac:dyDescent="0.5">
      <c r="B11" s="55"/>
      <c r="C11" s="56"/>
      <c r="D11" s="57"/>
      <c r="E11" s="26"/>
      <c r="F11" s="463"/>
      <c r="G11" s="464"/>
      <c r="H11" s="465"/>
      <c r="J11" s="84" t="s">
        <v>13</v>
      </c>
      <c r="K11" s="476"/>
      <c r="L11" s="477"/>
    </row>
    <row r="12" spans="2:15" ht="19" thickBot="1" x14ac:dyDescent="0.5">
      <c r="J12" s="85"/>
    </row>
    <row r="13" spans="2:15" ht="30" customHeight="1" thickBot="1" x14ac:dyDescent="0.5">
      <c r="B13" s="8" t="s">
        <v>2</v>
      </c>
      <c r="C13" s="9" t="s">
        <v>3</v>
      </c>
      <c r="D13" s="478" t="s">
        <v>4</v>
      </c>
      <c r="E13" s="483"/>
      <c r="F13" s="479"/>
      <c r="G13" s="19" t="s">
        <v>620</v>
      </c>
      <c r="H13" s="9" t="s">
        <v>31</v>
      </c>
      <c r="I13" s="478" t="s">
        <v>60</v>
      </c>
      <c r="J13" s="479"/>
      <c r="K13" s="9" t="s">
        <v>6</v>
      </c>
      <c r="L13" s="10" t="s">
        <v>7</v>
      </c>
      <c r="M13" s="33"/>
      <c r="N13" s="33"/>
      <c r="O13" s="33"/>
    </row>
    <row r="14" spans="2:15" ht="20.149999999999999" customHeight="1" x14ac:dyDescent="0.45">
      <c r="B14" s="34"/>
      <c r="C14" s="22" t="s">
        <v>410</v>
      </c>
      <c r="D14" s="508" t="e">
        <f>VLOOKUP(C14,'Sales Master'!B$3:D$499,2,)</f>
        <v>#N/A</v>
      </c>
      <c r="E14" s="508"/>
      <c r="F14" s="508"/>
      <c r="G14" s="90">
        <v>5</v>
      </c>
      <c r="H14" s="68" t="e">
        <f>VLOOKUP(C14,'Sales Master'!$B$3:$F$3247,5,0)</f>
        <v>#N/A</v>
      </c>
      <c r="I14" s="481" t="e">
        <f>VLOOKUP(C14,'Sales Master'!$B$3:$E$3247,4,0)</f>
        <v>#N/A</v>
      </c>
      <c r="J14" s="481"/>
      <c r="K14" s="35" t="e">
        <f>VLOOKUP(C14,'Sales Master'!B$3:AL$499,37,0)</f>
        <v>#N/A</v>
      </c>
      <c r="L14" s="77" t="e">
        <f>K14*G14</f>
        <v>#N/A</v>
      </c>
      <c r="M14" s="78"/>
    </row>
    <row r="15" spans="2:15" ht="20.149999999999999" customHeight="1" x14ac:dyDescent="0.45">
      <c r="B15" s="34"/>
      <c r="C15" s="22"/>
      <c r="D15" s="508"/>
      <c r="E15" s="508"/>
      <c r="F15" s="508"/>
      <c r="G15" s="90"/>
      <c r="H15" s="68"/>
      <c r="I15" s="604"/>
      <c r="J15" s="604"/>
      <c r="K15" s="35"/>
      <c r="L15" s="77"/>
      <c r="M15" s="78"/>
    </row>
    <row r="16" spans="2:15" ht="20.149999999999999" customHeight="1" x14ac:dyDescent="0.45">
      <c r="B16" s="34"/>
      <c r="C16" s="22"/>
      <c r="D16" s="508"/>
      <c r="E16" s="508"/>
      <c r="F16" s="508"/>
      <c r="G16" s="90"/>
      <c r="H16" s="68"/>
      <c r="I16" s="604"/>
      <c r="J16" s="604"/>
      <c r="K16" s="35"/>
      <c r="L16" s="77"/>
      <c r="M16" s="78"/>
    </row>
    <row r="17" spans="2:13" ht="20.149999999999999" customHeight="1" x14ac:dyDescent="0.45">
      <c r="B17" s="80"/>
      <c r="C17" s="22"/>
      <c r="D17" s="508"/>
      <c r="E17" s="508"/>
      <c r="F17" s="508"/>
      <c r="G17" s="90"/>
      <c r="H17" s="68"/>
      <c r="I17" s="604"/>
      <c r="J17" s="604"/>
      <c r="K17" s="35"/>
      <c r="L17" s="77"/>
      <c r="M17" s="78"/>
    </row>
    <row r="18" spans="2:13" ht="20.149999999999999" customHeight="1" x14ac:dyDescent="0.45">
      <c r="B18" s="34"/>
      <c r="C18" s="22"/>
      <c r="D18" s="508"/>
      <c r="E18" s="508"/>
      <c r="F18" s="508"/>
      <c r="G18" s="90"/>
      <c r="H18" s="68"/>
      <c r="I18" s="604"/>
      <c r="J18" s="604"/>
      <c r="K18" s="35"/>
      <c r="L18" s="77"/>
      <c r="M18" s="78"/>
    </row>
    <row r="19" spans="2:13" ht="20.149999999999999" customHeight="1" x14ac:dyDescent="0.45">
      <c r="B19" s="34"/>
      <c r="C19" s="22"/>
      <c r="D19" s="508"/>
      <c r="E19" s="508"/>
      <c r="F19" s="508"/>
      <c r="G19" s="90"/>
      <c r="H19" s="68"/>
      <c r="I19" s="604"/>
      <c r="J19" s="604"/>
      <c r="K19" s="35"/>
      <c r="L19" s="77"/>
      <c r="M19" s="78"/>
    </row>
    <row r="20" spans="2:13" ht="20.149999999999999" customHeight="1" x14ac:dyDescent="0.45">
      <c r="B20" s="34"/>
      <c r="C20" s="22"/>
      <c r="D20" s="508"/>
      <c r="E20" s="508"/>
      <c r="F20" s="508"/>
      <c r="G20" s="90"/>
      <c r="H20" s="68"/>
      <c r="I20" s="604"/>
      <c r="J20" s="604"/>
      <c r="K20" s="35"/>
      <c r="L20" s="77"/>
      <c r="M20" s="78"/>
    </row>
    <row r="21" spans="2:13" ht="20.149999999999999" customHeight="1" x14ac:dyDescent="0.45">
      <c r="B21" s="34"/>
      <c r="C21" s="22"/>
      <c r="D21" s="508"/>
      <c r="E21" s="508"/>
      <c r="F21" s="508"/>
      <c r="G21" s="90"/>
      <c r="H21" s="68"/>
      <c r="I21" s="604"/>
      <c r="J21" s="604"/>
      <c r="K21" s="35"/>
      <c r="L21" s="77"/>
      <c r="M21" s="78"/>
    </row>
    <row r="22" spans="2:13" ht="20.149999999999999" customHeight="1" x14ac:dyDescent="0.45">
      <c r="B22" s="34"/>
      <c r="C22" s="22"/>
      <c r="D22" s="508"/>
      <c r="E22" s="508"/>
      <c r="F22" s="508"/>
      <c r="G22" s="90"/>
      <c r="H22" s="68"/>
      <c r="I22" s="604"/>
      <c r="J22" s="604"/>
      <c r="K22" s="35"/>
      <c r="L22" s="77"/>
      <c r="M22" s="78"/>
    </row>
    <row r="23" spans="2:13" ht="20.149999999999999" customHeight="1" x14ac:dyDescent="0.45">
      <c r="B23" s="34"/>
      <c r="C23" s="22"/>
      <c r="D23" s="508"/>
      <c r="E23" s="508"/>
      <c r="F23" s="508"/>
      <c r="G23" s="91"/>
      <c r="H23" s="68"/>
      <c r="I23" s="604"/>
      <c r="J23" s="604"/>
      <c r="K23" s="35"/>
      <c r="L23" s="77"/>
      <c r="M23" s="78"/>
    </row>
    <row r="24" spans="2:13" ht="20.149999999999999" customHeight="1" x14ac:dyDescent="0.45">
      <c r="B24" s="34"/>
      <c r="C24" s="22"/>
      <c r="D24" s="508"/>
      <c r="E24" s="508"/>
      <c r="F24" s="508"/>
      <c r="G24" s="91"/>
      <c r="H24" s="68"/>
      <c r="I24" s="604"/>
      <c r="J24" s="604"/>
      <c r="K24" s="35"/>
      <c r="L24" s="77"/>
      <c r="M24" s="78"/>
    </row>
    <row r="25" spans="2:13" ht="20.149999999999999" customHeight="1" x14ac:dyDescent="0.45">
      <c r="B25" s="34"/>
      <c r="C25" s="22"/>
      <c r="D25" s="508"/>
      <c r="E25" s="508"/>
      <c r="F25" s="508"/>
      <c r="G25" s="91"/>
      <c r="H25" s="68"/>
      <c r="I25" s="604"/>
      <c r="J25" s="604"/>
      <c r="K25" s="35"/>
      <c r="L25" s="77"/>
      <c r="M25" s="78"/>
    </row>
    <row r="26" spans="2:13" ht="20.149999999999999" customHeight="1" x14ac:dyDescent="0.45">
      <c r="B26" s="34"/>
      <c r="C26" s="22"/>
      <c r="D26" s="508"/>
      <c r="E26" s="508"/>
      <c r="F26" s="508"/>
      <c r="G26" s="91"/>
      <c r="H26" s="68"/>
      <c r="I26" s="604"/>
      <c r="J26" s="604"/>
      <c r="K26" s="35"/>
      <c r="L26" s="77"/>
      <c r="M26" s="78"/>
    </row>
    <row r="27" spans="2:13" ht="20.149999999999999" customHeight="1" x14ac:dyDescent="0.45">
      <c r="B27" s="34"/>
      <c r="C27" s="22"/>
      <c r="D27" s="508"/>
      <c r="E27" s="508"/>
      <c r="F27" s="508"/>
      <c r="G27" s="91"/>
      <c r="H27" s="68"/>
      <c r="I27" s="604"/>
      <c r="J27" s="604"/>
      <c r="K27" s="35"/>
      <c r="L27" s="77"/>
      <c r="M27" s="78"/>
    </row>
    <row r="28" spans="2:13" ht="20.149999999999999" customHeight="1" x14ac:dyDescent="0.45">
      <c r="B28" s="34"/>
      <c r="C28" s="22"/>
      <c r="D28" s="508"/>
      <c r="E28" s="508"/>
      <c r="F28" s="508"/>
      <c r="G28" s="91"/>
      <c r="H28" s="68"/>
      <c r="I28" s="604"/>
      <c r="J28" s="604"/>
      <c r="K28" s="35"/>
      <c r="L28" s="77"/>
      <c r="M28" s="78"/>
    </row>
    <row r="29" spans="2:13" ht="20.149999999999999" customHeight="1" x14ac:dyDescent="0.45">
      <c r="B29" s="34"/>
      <c r="C29" s="22"/>
      <c r="D29" s="508"/>
      <c r="E29" s="508"/>
      <c r="F29" s="508"/>
      <c r="G29" s="91"/>
      <c r="H29" s="68"/>
      <c r="I29" s="604"/>
      <c r="J29" s="604"/>
      <c r="K29" s="35"/>
      <c r="L29" s="77"/>
      <c r="M29" s="78"/>
    </row>
    <row r="30" spans="2:13" ht="20.149999999999999" customHeight="1" x14ac:dyDescent="0.45">
      <c r="B30" s="34"/>
      <c r="C30" s="22"/>
      <c r="G30" s="91"/>
      <c r="H30" s="68"/>
      <c r="I30" s="604"/>
      <c r="J30" s="604"/>
      <c r="K30" s="35"/>
      <c r="L30" s="77"/>
      <c r="M30" s="78"/>
    </row>
    <row r="31" spans="2:13" ht="20.149999999999999" customHeight="1" x14ac:dyDescent="0.45">
      <c r="B31" s="34"/>
      <c r="C31" s="22"/>
      <c r="D31" s="508"/>
      <c r="E31" s="508"/>
      <c r="F31" s="508"/>
      <c r="G31" s="91"/>
      <c r="H31" s="68"/>
      <c r="I31" s="604"/>
      <c r="J31" s="604"/>
      <c r="K31" s="35"/>
      <c r="L31" s="77"/>
    </row>
    <row r="32" spans="2:13" ht="20.149999999999999" customHeight="1" thickBot="1" x14ac:dyDescent="0.5">
      <c r="B32" s="37"/>
      <c r="C32" s="38"/>
      <c r="D32" s="509"/>
      <c r="E32" s="509"/>
      <c r="F32" s="509"/>
      <c r="G32" s="38"/>
      <c r="H32" s="69"/>
      <c r="I32" s="588"/>
      <c r="J32" s="588"/>
      <c r="K32" s="39"/>
      <c r="L32" s="40"/>
    </row>
    <row r="33" spans="2:13" ht="20.149999999999999" customHeight="1" thickBot="1" x14ac:dyDescent="0.5">
      <c r="B33" s="41"/>
      <c r="L33" s="42"/>
    </row>
    <row r="34" spans="2:13" ht="20.149999999999999" customHeight="1" x14ac:dyDescent="0.45">
      <c r="B34" s="11" t="s">
        <v>18</v>
      </c>
      <c r="C34" s="7"/>
      <c r="D34" s="7"/>
      <c r="E34" s="7"/>
      <c r="F34" s="7"/>
      <c r="G34" s="7"/>
      <c r="H34" s="7"/>
      <c r="I34" s="86"/>
      <c r="J34" s="510" t="s">
        <v>15</v>
      </c>
      <c r="K34" s="511"/>
      <c r="L34" s="43" t="e">
        <f>SUM(L13:L32)</f>
        <v>#N/A</v>
      </c>
      <c r="M34" s="76">
        <f>166+26</f>
        <v>192</v>
      </c>
    </row>
    <row r="35" spans="2:13" ht="20.149999999999999" customHeight="1" x14ac:dyDescent="0.45">
      <c r="B35" s="11" t="s">
        <v>19</v>
      </c>
      <c r="C35" s="7"/>
      <c r="D35" s="7"/>
      <c r="E35" s="7"/>
      <c r="F35" s="7"/>
      <c r="G35" s="7"/>
      <c r="H35" s="7"/>
      <c r="I35" s="86"/>
      <c r="J35" s="44" t="s">
        <v>22</v>
      </c>
      <c r="K35" s="45"/>
      <c r="L35" s="46" t="e">
        <f>L34*K35</f>
        <v>#N/A</v>
      </c>
    </row>
    <row r="36" spans="2:13" ht="20.149999999999999" customHeight="1" x14ac:dyDescent="0.45">
      <c r="B36" s="11" t="s">
        <v>20</v>
      </c>
      <c r="C36" s="7"/>
      <c r="D36" s="7"/>
      <c r="E36" s="7"/>
      <c r="F36" s="7"/>
      <c r="G36" s="7"/>
      <c r="H36" s="7"/>
      <c r="I36" s="86"/>
      <c r="J36" s="486" t="s">
        <v>21</v>
      </c>
      <c r="K36" s="487"/>
      <c r="L36" s="46" t="e">
        <f>L34-L35</f>
        <v>#N/A</v>
      </c>
    </row>
    <row r="37" spans="2:13" ht="20.149999999999999" customHeight="1" x14ac:dyDescent="0.45">
      <c r="B37" s="11" t="s">
        <v>24</v>
      </c>
      <c r="C37" s="7"/>
      <c r="D37" s="7"/>
      <c r="E37" s="7"/>
      <c r="F37" s="7"/>
      <c r="G37" s="7"/>
      <c r="H37" s="7"/>
      <c r="I37" s="86"/>
      <c r="J37" s="150" t="s">
        <v>17</v>
      </c>
      <c r="K37" s="151">
        <v>7.0000000000000007E-2</v>
      </c>
      <c r="L37" s="47" t="e">
        <f>L36*K37</f>
        <v>#N/A</v>
      </c>
    </row>
    <row r="38" spans="2:13" ht="20.149999999999999" customHeight="1" thickBot="1" x14ac:dyDescent="0.5">
      <c r="B38" s="11" t="s">
        <v>25</v>
      </c>
      <c r="C38" s="7"/>
      <c r="D38" s="7"/>
      <c r="E38" s="7"/>
      <c r="F38" s="7"/>
      <c r="G38" s="7"/>
      <c r="H38" s="7"/>
      <c r="I38" s="86"/>
      <c r="J38" s="488" t="s">
        <v>23</v>
      </c>
      <c r="K38" s="489"/>
      <c r="L38" s="48" t="e">
        <f>L36+L37</f>
        <v>#N/A</v>
      </c>
    </row>
    <row r="39" spans="2:13" ht="20.149999999999999" customHeight="1" x14ac:dyDescent="0.45">
      <c r="B39" s="11" t="s">
        <v>26</v>
      </c>
      <c r="C39" s="7"/>
      <c r="D39" s="7"/>
      <c r="E39" s="7"/>
      <c r="F39" s="7"/>
      <c r="G39" s="7"/>
      <c r="H39" s="7"/>
      <c r="I39" s="86"/>
      <c r="L39" s="42"/>
    </row>
    <row r="40" spans="2:13" ht="20.149999999999999" customHeight="1" x14ac:dyDescent="0.45">
      <c r="B40" s="41"/>
      <c r="L40" s="42"/>
    </row>
    <row r="41" spans="2:13" ht="20.149999999999999" customHeight="1" x14ac:dyDescent="0.45">
      <c r="B41" s="41"/>
      <c r="L41" s="42"/>
    </row>
    <row r="42" spans="2:13" ht="20.149999999999999" customHeight="1" x14ac:dyDescent="0.45">
      <c r="B42" s="41"/>
      <c r="L42" s="42"/>
    </row>
    <row r="43" spans="2:13" ht="20.149999999999999" customHeight="1" x14ac:dyDescent="0.45">
      <c r="B43" s="41"/>
      <c r="L43" s="42"/>
    </row>
    <row r="44" spans="2:13" ht="20.149999999999999" customHeight="1" x14ac:dyDescent="0.45">
      <c r="B44" s="49"/>
      <c r="C44" s="50"/>
      <c r="D44" s="50"/>
      <c r="J44" s="87"/>
      <c r="K44" s="50"/>
      <c r="L44" s="51"/>
    </row>
    <row r="45" spans="2:13" ht="20.149999999999999" customHeight="1" x14ac:dyDescent="0.45">
      <c r="B45" s="41" t="s">
        <v>27</v>
      </c>
      <c r="J45" s="81" t="s">
        <v>28</v>
      </c>
      <c r="L45" s="42"/>
    </row>
    <row r="46" spans="2:13" ht="19" thickBot="1" x14ac:dyDescent="0.5">
      <c r="B46" s="52"/>
      <c r="C46" s="53"/>
      <c r="D46" s="53"/>
      <c r="E46" s="53"/>
      <c r="F46" s="53"/>
      <c r="G46" s="53"/>
      <c r="H46" s="53"/>
      <c r="I46" s="88"/>
      <c r="J46" s="88"/>
      <c r="K46" s="53"/>
      <c r="L46" s="54"/>
    </row>
  </sheetData>
  <mergeCells count="53">
    <mergeCell ref="D29:F29"/>
    <mergeCell ref="I29:J29"/>
    <mergeCell ref="J36:K36"/>
    <mergeCell ref="J38:K38"/>
    <mergeCell ref="I30:J30"/>
    <mergeCell ref="D31:F31"/>
    <mergeCell ref="I31:J31"/>
    <mergeCell ref="D32:F32"/>
    <mergeCell ref="I32:J32"/>
    <mergeCell ref="J34:K34"/>
    <mergeCell ref="D26:F26"/>
    <mergeCell ref="I26:J26"/>
    <mergeCell ref="D27:F27"/>
    <mergeCell ref="I27:J27"/>
    <mergeCell ref="D28:F28"/>
    <mergeCell ref="I28:J28"/>
    <mergeCell ref="D23:F23"/>
    <mergeCell ref="I23:J23"/>
    <mergeCell ref="D24:F24"/>
    <mergeCell ref="I24:J24"/>
    <mergeCell ref="D25:F25"/>
    <mergeCell ref="I25:J25"/>
    <mergeCell ref="D20:F20"/>
    <mergeCell ref="I20:J20"/>
    <mergeCell ref="D21:F21"/>
    <mergeCell ref="I21:J21"/>
    <mergeCell ref="D22:F22"/>
    <mergeCell ref="I22:J22"/>
    <mergeCell ref="D17:F17"/>
    <mergeCell ref="I17:J17"/>
    <mergeCell ref="D18:F18"/>
    <mergeCell ref="I18:J18"/>
    <mergeCell ref="D19:F19"/>
    <mergeCell ref="I19:J19"/>
    <mergeCell ref="D15:F15"/>
    <mergeCell ref="I15:J15"/>
    <mergeCell ref="D16:F16"/>
    <mergeCell ref="I16:J16"/>
    <mergeCell ref="D14:F14"/>
    <mergeCell ref="I14:J14"/>
    <mergeCell ref="D13:F13"/>
    <mergeCell ref="I13:J13"/>
    <mergeCell ref="K6:L6"/>
    <mergeCell ref="B7:D7"/>
    <mergeCell ref="F7:H11"/>
    <mergeCell ref="K7:L7"/>
    <mergeCell ref="B8:D8"/>
    <mergeCell ref="K8:L8"/>
    <mergeCell ref="B9:D9"/>
    <mergeCell ref="K9:L9"/>
    <mergeCell ref="B10:D10"/>
    <mergeCell ref="K10:L10"/>
    <mergeCell ref="K11:L11"/>
  </mergeCells>
  <pageMargins left="0.70866141732283505" right="0.31496062992126" top="2.1653543307086598" bottom="0" header="0.31496062992126" footer="0.31496062992126"/>
  <pageSetup paperSize="9" scale="74" orientation="portrait" verticalDpi="300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33FCB-73D3-4861-8CCA-8E09F6FDE594}">
  <sheetPr codeName="Sheet112">
    <tabColor rgb="FFFFC000"/>
    <pageSetUpPr fitToPage="1"/>
  </sheetPr>
  <dimension ref="B1:O43"/>
  <sheetViews>
    <sheetView workbookViewId="0">
      <selection activeCell="B1" sqref="B1:L8"/>
    </sheetView>
  </sheetViews>
  <sheetFormatPr defaultColWidth="12.54296875" defaultRowHeight="18.5" x14ac:dyDescent="0.45"/>
  <cols>
    <col min="1" max="1" width="12.54296875" style="24"/>
    <col min="2" max="3" width="12.54296875" style="24" customWidth="1"/>
    <col min="4" max="4" width="14.54296875" style="24" customWidth="1"/>
    <col min="5" max="5" width="1.54296875" style="24" customWidth="1"/>
    <col min="6" max="6" width="14.54296875" style="24" customWidth="1"/>
    <col min="7" max="7" width="8.54296875" style="24" customWidth="1"/>
    <col min="8" max="8" width="17.1796875" style="24" customWidth="1"/>
    <col min="9" max="9" width="0.81640625" style="81" customWidth="1"/>
    <col min="10" max="10" width="15.54296875" style="81" customWidth="1"/>
    <col min="11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887</v>
      </c>
      <c r="J10" s="82" t="s">
        <v>29</v>
      </c>
      <c r="K10" s="452">
        <v>202107221</v>
      </c>
      <c r="L10" s="453"/>
    </row>
    <row r="11" spans="2:12" ht="20.149999999999999" customHeight="1" x14ac:dyDescent="0.45">
      <c r="B11" s="569" t="s">
        <v>916</v>
      </c>
      <c r="C11" s="570"/>
      <c r="D11" s="571"/>
      <c r="E11" s="30"/>
      <c r="F11" s="457" t="str">
        <f>VLOOKUP(H10,'Delivery Location'!A$4:N$416,2,0)</f>
        <v>Hee Tea                                                                 35 Robinson Road #01-04                                 Singapore 068898</v>
      </c>
      <c r="G11" s="458"/>
      <c r="H11" s="459"/>
      <c r="J11" s="83" t="s">
        <v>11</v>
      </c>
      <c r="K11" s="551">
        <v>44390</v>
      </c>
      <c r="L11" s="472"/>
    </row>
    <row r="12" spans="2:12" ht="20.149999999999999" customHeight="1" x14ac:dyDescent="0.45">
      <c r="B12" s="468"/>
      <c r="C12" s="469"/>
      <c r="D12" s="470"/>
      <c r="E12" s="30"/>
      <c r="F12" s="460"/>
      <c r="G12" s="461"/>
      <c r="H12" s="462"/>
      <c r="J12" s="83" t="s">
        <v>171</v>
      </c>
      <c r="K12" s="471" t="s">
        <v>533</v>
      </c>
      <c r="L12" s="472"/>
    </row>
    <row r="13" spans="2:12" ht="20.149999999999999" customHeight="1" x14ac:dyDescent="0.45">
      <c r="B13" s="468"/>
      <c r="C13" s="469"/>
      <c r="D13" s="470"/>
      <c r="E13" s="30"/>
      <c r="F13" s="460"/>
      <c r="G13" s="461"/>
      <c r="H13" s="462"/>
      <c r="J13" s="83" t="s">
        <v>12</v>
      </c>
      <c r="K13" s="471" t="s">
        <v>688</v>
      </c>
      <c r="L13" s="472"/>
    </row>
    <row r="14" spans="2:12" ht="20.149999999999999" customHeight="1" x14ac:dyDescent="0.45">
      <c r="B14" s="468"/>
      <c r="C14" s="469"/>
      <c r="D14" s="470"/>
      <c r="E14" s="30"/>
      <c r="F14" s="460"/>
      <c r="G14" s="461"/>
      <c r="H14" s="462"/>
      <c r="J14" s="83" t="s">
        <v>30</v>
      </c>
      <c r="K14" s="471" t="s">
        <v>16</v>
      </c>
      <c r="L14" s="472"/>
    </row>
    <row r="15" spans="2:12" ht="18" customHeight="1" thickBot="1" x14ac:dyDescent="0.5">
      <c r="B15" s="55"/>
      <c r="C15" s="56"/>
      <c r="D15" s="57"/>
      <c r="E15" s="26"/>
      <c r="F15" s="463"/>
      <c r="G15" s="464"/>
      <c r="H15" s="465"/>
      <c r="J15" s="84" t="s">
        <v>13</v>
      </c>
      <c r="K15" s="476"/>
      <c r="L15" s="477"/>
    </row>
    <row r="16" spans="2:12" ht="19" thickBot="1" x14ac:dyDescent="0.5">
      <c r="J16" s="85"/>
    </row>
    <row r="17" spans="2:15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3"/>
      <c r="O17" s="33"/>
    </row>
    <row r="18" spans="2:15" ht="20.149999999999999" customHeight="1" x14ac:dyDescent="0.45">
      <c r="B18" s="34"/>
      <c r="C18" s="22" t="s">
        <v>1460</v>
      </c>
      <c r="D18" s="508" t="str">
        <f>VLOOKUP(C18,'Sales Master'!B$3:D$499,2,)</f>
        <v>Coconut Sugar Syrup 椰糖浆</v>
      </c>
      <c r="E18" s="508"/>
      <c r="F18" s="508"/>
      <c r="G18" s="90">
        <v>8</v>
      </c>
      <c r="H18" s="68" t="str">
        <f>VLOOKUP(C18,'Sales Master'!$B$3:$F$3247,5,0)</f>
        <v>4L/BTL</v>
      </c>
      <c r="I18" s="481" t="str">
        <f>VLOOKUP(C18,'Sales Master'!$B$3:$E$3247,4,0)</f>
        <v>DO!</v>
      </c>
      <c r="J18" s="481"/>
      <c r="K18" s="94">
        <v>13</v>
      </c>
      <c r="L18" s="77">
        <f>K18*G18</f>
        <v>104</v>
      </c>
      <c r="M18" s="78"/>
    </row>
    <row r="19" spans="2:15" ht="20.149999999999999" customHeight="1" x14ac:dyDescent="0.45">
      <c r="B19" s="34"/>
      <c r="C19" s="22"/>
      <c r="D19" s="508"/>
      <c r="E19" s="508"/>
      <c r="F19" s="508"/>
      <c r="G19" s="90"/>
      <c r="H19" s="68"/>
      <c r="I19" s="481"/>
      <c r="J19" s="481"/>
      <c r="K19" s="98"/>
      <c r="L19" s="99"/>
      <c r="M19" s="78"/>
    </row>
    <row r="20" spans="2:15" ht="20.149999999999999" customHeight="1" x14ac:dyDescent="0.45">
      <c r="B20" s="34"/>
      <c r="C20" s="22"/>
      <c r="D20" s="508"/>
      <c r="E20" s="508"/>
      <c r="F20" s="508"/>
      <c r="G20" s="90"/>
      <c r="H20" s="68"/>
      <c r="I20" s="481"/>
      <c r="J20" s="481"/>
      <c r="K20" s="98"/>
      <c r="L20" s="99"/>
      <c r="M20" s="78"/>
    </row>
    <row r="21" spans="2:15" ht="20.149999999999999" customHeight="1" x14ac:dyDescent="0.45">
      <c r="B21" s="34"/>
      <c r="C21" s="22"/>
      <c r="D21" s="508"/>
      <c r="E21" s="508"/>
      <c r="F21" s="508"/>
      <c r="G21" s="90"/>
      <c r="H21" s="68"/>
      <c r="I21" s="481"/>
      <c r="J21" s="481"/>
      <c r="K21" s="98"/>
      <c r="L21" s="99"/>
      <c r="M21" s="78"/>
    </row>
    <row r="22" spans="2:15" ht="20.149999999999999" customHeight="1" x14ac:dyDescent="0.45">
      <c r="B22" s="80"/>
      <c r="C22" s="22"/>
      <c r="D22" s="508"/>
      <c r="E22" s="508"/>
      <c r="F22" s="508"/>
      <c r="G22" s="90"/>
      <c r="H22" s="68"/>
      <c r="I22" s="481"/>
      <c r="J22" s="481"/>
      <c r="K22" s="94"/>
      <c r="L22" s="77"/>
      <c r="M22" s="78"/>
    </row>
    <row r="23" spans="2:15" ht="20.149999999999999" customHeight="1" x14ac:dyDescent="0.45">
      <c r="B23" s="34"/>
      <c r="C23" s="22"/>
      <c r="D23" s="508"/>
      <c r="E23" s="508"/>
      <c r="F23" s="508"/>
      <c r="G23" s="90"/>
      <c r="H23" s="68"/>
      <c r="I23" s="604"/>
      <c r="J23" s="604"/>
      <c r="K23" s="35"/>
      <c r="L23" s="77"/>
      <c r="M23" s="78"/>
    </row>
    <row r="24" spans="2:15" ht="20.149999999999999" customHeight="1" x14ac:dyDescent="0.45">
      <c r="B24" s="34"/>
      <c r="C24" s="22"/>
      <c r="D24" s="508"/>
      <c r="E24" s="508"/>
      <c r="F24" s="508"/>
      <c r="G24" s="91"/>
      <c r="H24" s="68"/>
      <c r="I24" s="604"/>
      <c r="J24" s="604"/>
      <c r="K24" s="35"/>
      <c r="L24" s="77"/>
      <c r="M24" s="78"/>
    </row>
    <row r="25" spans="2:15" ht="20.149999999999999" customHeight="1" x14ac:dyDescent="0.45">
      <c r="B25" s="34"/>
      <c r="C25" s="22"/>
      <c r="D25" s="508"/>
      <c r="E25" s="508"/>
      <c r="F25" s="508"/>
      <c r="G25" s="91"/>
      <c r="H25" s="68"/>
      <c r="I25" s="604"/>
      <c r="J25" s="604"/>
      <c r="K25" s="35"/>
      <c r="L25" s="77"/>
      <c r="M25" s="78"/>
    </row>
    <row r="26" spans="2:15" ht="20.149999999999999" customHeight="1" x14ac:dyDescent="0.45">
      <c r="B26" s="34"/>
      <c r="C26" s="22"/>
      <c r="D26" s="508"/>
      <c r="E26" s="508"/>
      <c r="F26" s="508"/>
      <c r="G26" s="91"/>
      <c r="H26" s="68"/>
      <c r="I26" s="604"/>
      <c r="J26" s="604"/>
      <c r="K26" s="35"/>
      <c r="L26" s="77"/>
      <c r="M26" s="78"/>
    </row>
    <row r="27" spans="2:15" ht="20.149999999999999" customHeight="1" x14ac:dyDescent="0.45">
      <c r="B27" s="34"/>
      <c r="C27" s="22"/>
      <c r="G27" s="91"/>
      <c r="H27" s="68"/>
      <c r="I27" s="604"/>
      <c r="J27" s="604"/>
      <c r="K27" s="35"/>
      <c r="L27" s="77"/>
      <c r="M27" s="78"/>
    </row>
    <row r="28" spans="2:15" ht="20.149999999999999" customHeight="1" x14ac:dyDescent="0.45">
      <c r="B28" s="34"/>
      <c r="C28" s="22"/>
      <c r="D28" s="508"/>
      <c r="E28" s="508"/>
      <c r="F28" s="508"/>
      <c r="G28" s="91"/>
      <c r="H28" s="68"/>
      <c r="I28" s="604"/>
      <c r="J28" s="604"/>
      <c r="K28" s="35"/>
      <c r="L28" s="77"/>
    </row>
    <row r="29" spans="2:15" ht="20.149999999999999" customHeight="1" thickBot="1" x14ac:dyDescent="0.5">
      <c r="B29" s="37"/>
      <c r="C29" s="38"/>
      <c r="D29" s="509"/>
      <c r="E29" s="509"/>
      <c r="F29" s="509"/>
      <c r="G29" s="38"/>
      <c r="H29" s="69"/>
      <c r="I29" s="588"/>
      <c r="J29" s="588"/>
      <c r="K29" s="39"/>
      <c r="L29" s="40"/>
    </row>
    <row r="30" spans="2:15" ht="20.149999999999999" customHeight="1" thickBot="1" x14ac:dyDescent="0.5">
      <c r="B30" s="41"/>
      <c r="L30" s="42"/>
    </row>
    <row r="31" spans="2:15" ht="20.149999999999999" customHeight="1" x14ac:dyDescent="0.45">
      <c r="B31" s="11" t="s">
        <v>18</v>
      </c>
      <c r="C31" s="7"/>
      <c r="D31" s="7"/>
      <c r="E31" s="7"/>
      <c r="F31" s="7"/>
      <c r="G31" s="7"/>
      <c r="H31" s="7"/>
      <c r="I31" s="86"/>
      <c r="J31" s="510" t="s">
        <v>15</v>
      </c>
      <c r="K31" s="511"/>
      <c r="L31" s="43">
        <f>SUM(L17:L29)</f>
        <v>104</v>
      </c>
      <c r="M31" s="76">
        <f>166+26</f>
        <v>192</v>
      </c>
    </row>
    <row r="32" spans="2:15" ht="20.149999999999999" customHeight="1" x14ac:dyDescent="0.45">
      <c r="B32" s="11" t="s">
        <v>19</v>
      </c>
      <c r="C32" s="7"/>
      <c r="D32" s="7"/>
      <c r="E32" s="7"/>
      <c r="F32" s="7"/>
      <c r="G32" s="7"/>
      <c r="H32" s="7"/>
      <c r="I32" s="86"/>
      <c r="J32" s="44" t="s">
        <v>22</v>
      </c>
      <c r="K32" s="45"/>
      <c r="L32" s="46">
        <f>L31*K32</f>
        <v>0</v>
      </c>
    </row>
    <row r="33" spans="2:12" ht="20.149999999999999" customHeight="1" x14ac:dyDescent="0.45">
      <c r="B33" s="11" t="s">
        <v>20</v>
      </c>
      <c r="C33" s="7"/>
      <c r="D33" s="7"/>
      <c r="E33" s="7"/>
      <c r="F33" s="7"/>
      <c r="G33" s="7"/>
      <c r="H33" s="7"/>
      <c r="I33" s="86"/>
      <c r="J33" s="486" t="s">
        <v>21</v>
      </c>
      <c r="K33" s="487"/>
      <c r="L33" s="46">
        <f>L31-L32</f>
        <v>104</v>
      </c>
    </row>
    <row r="34" spans="2:12" ht="20.149999999999999" customHeight="1" x14ac:dyDescent="0.45">
      <c r="B34" s="11" t="s">
        <v>24</v>
      </c>
      <c r="C34" s="7"/>
      <c r="D34" s="7"/>
      <c r="E34" s="7"/>
      <c r="F34" s="7"/>
      <c r="G34" s="7"/>
      <c r="H34" s="7"/>
      <c r="I34" s="86"/>
      <c r="J34" s="150" t="s">
        <v>17</v>
      </c>
      <c r="K34" s="151">
        <v>7.0000000000000007E-2</v>
      </c>
      <c r="L34" s="47">
        <f>L33*K34</f>
        <v>7.2800000000000011</v>
      </c>
    </row>
    <row r="35" spans="2:12" ht="20.149999999999999" customHeight="1" thickBot="1" x14ac:dyDescent="0.5">
      <c r="B35" s="11" t="s">
        <v>25</v>
      </c>
      <c r="C35" s="7"/>
      <c r="D35" s="7"/>
      <c r="E35" s="7"/>
      <c r="F35" s="7"/>
      <c r="G35" s="7"/>
      <c r="H35" s="7"/>
      <c r="I35" s="86"/>
      <c r="J35" s="488" t="s">
        <v>23</v>
      </c>
      <c r="K35" s="489"/>
      <c r="L35" s="48">
        <f>L33+L34</f>
        <v>111.28</v>
      </c>
    </row>
    <row r="36" spans="2:12" ht="20.149999999999999" customHeight="1" x14ac:dyDescent="0.45">
      <c r="B36" s="11" t="s">
        <v>26</v>
      </c>
      <c r="C36" s="7"/>
      <c r="D36" s="7"/>
      <c r="E36" s="7"/>
      <c r="F36" s="7"/>
      <c r="G36" s="7"/>
      <c r="H36" s="7"/>
      <c r="I36" s="86"/>
      <c r="L36" s="42"/>
    </row>
    <row r="37" spans="2:12" ht="20.149999999999999" customHeight="1" x14ac:dyDescent="0.45">
      <c r="B37" s="41"/>
      <c r="L37" s="42"/>
    </row>
    <row r="38" spans="2:12" ht="20.149999999999999" customHeight="1" x14ac:dyDescent="0.45">
      <c r="B38" s="41"/>
      <c r="L38" s="42"/>
    </row>
    <row r="39" spans="2:12" ht="20.149999999999999" customHeight="1" x14ac:dyDescent="0.45">
      <c r="B39" s="41"/>
      <c r="L39" s="42"/>
    </row>
    <row r="40" spans="2:12" ht="20.149999999999999" customHeight="1" x14ac:dyDescent="0.45">
      <c r="B40" s="41"/>
      <c r="L40" s="42"/>
    </row>
    <row r="41" spans="2:12" ht="20.149999999999999" customHeight="1" x14ac:dyDescent="0.45">
      <c r="B41" s="49"/>
      <c r="C41" s="50"/>
      <c r="D41" s="50"/>
      <c r="J41" s="87"/>
      <c r="K41" s="50"/>
      <c r="L41" s="51"/>
    </row>
    <row r="42" spans="2:12" ht="20.149999999999999" customHeight="1" x14ac:dyDescent="0.45">
      <c r="B42" s="41" t="s">
        <v>27</v>
      </c>
      <c r="J42" s="81" t="s">
        <v>28</v>
      </c>
      <c r="L42" s="42"/>
    </row>
    <row r="43" spans="2:12" ht="19" thickBot="1" x14ac:dyDescent="0.5">
      <c r="B43" s="52"/>
      <c r="C43" s="53"/>
      <c r="D43" s="53"/>
      <c r="E43" s="53"/>
      <c r="F43" s="53"/>
      <c r="G43" s="53"/>
      <c r="H43" s="53"/>
      <c r="I43" s="88"/>
      <c r="J43" s="88"/>
      <c r="K43" s="53"/>
      <c r="L43" s="54"/>
    </row>
  </sheetData>
  <mergeCells count="40">
    <mergeCell ref="J35:K35"/>
    <mergeCell ref="I27:J27"/>
    <mergeCell ref="D28:F28"/>
    <mergeCell ref="I28:J28"/>
    <mergeCell ref="D29:F29"/>
    <mergeCell ref="I29:J29"/>
    <mergeCell ref="J31:K31"/>
    <mergeCell ref="D25:F25"/>
    <mergeCell ref="I25:J25"/>
    <mergeCell ref="D26:F26"/>
    <mergeCell ref="I26:J26"/>
    <mergeCell ref="J33:K33"/>
    <mergeCell ref="D22:F22"/>
    <mergeCell ref="I22:J22"/>
    <mergeCell ref="D23:F23"/>
    <mergeCell ref="I23:J23"/>
    <mergeCell ref="D24:F24"/>
    <mergeCell ref="I24:J24"/>
    <mergeCell ref="D20:F20"/>
    <mergeCell ref="I20:J20"/>
    <mergeCell ref="D21:F21"/>
    <mergeCell ref="I21:J21"/>
    <mergeCell ref="D19:F19"/>
    <mergeCell ref="I19:J19"/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18:J18"/>
  </mergeCells>
  <pageMargins left="0.70866141732283472" right="0.31496062992125984" top="0.59055118110236227" bottom="0" header="0.31496062992125984" footer="0.31496062992125984"/>
  <pageSetup paperSize="9" scale="74" orientation="portrait" verticalDpi="300" r:id="rId1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2ED3FD-E014-4BAD-900E-52A9047E0E4D}">
  <sheetPr codeName="Sheet122">
    <tabColor rgb="FF00B050"/>
    <pageSetUpPr fitToPage="1"/>
  </sheetPr>
  <dimension ref="B1:W51"/>
  <sheetViews>
    <sheetView topLeftCell="A9" workbookViewId="0">
      <selection activeCell="B1" sqref="B1:L52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4.54296875" style="24" customWidth="1"/>
    <col min="7" max="7" width="8.54296875" style="24" customWidth="1"/>
    <col min="8" max="8" width="17.81640625" style="24" customWidth="1"/>
    <col min="9" max="9" width="1.453125" style="24" customWidth="1"/>
    <col min="10" max="10" width="15.54296875" style="24" customWidth="1"/>
    <col min="11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985</v>
      </c>
      <c r="J10" s="29" t="s">
        <v>29</v>
      </c>
      <c r="K10" s="452">
        <v>202003283</v>
      </c>
      <c r="L10" s="453"/>
    </row>
    <row r="11" spans="2:12" ht="20.149999999999999" customHeight="1" x14ac:dyDescent="0.45">
      <c r="B11" s="454" t="s">
        <v>2022</v>
      </c>
      <c r="C11" s="455"/>
      <c r="D11" s="456"/>
      <c r="E11" s="30"/>
      <c r="F11" s="457" t="str">
        <f>VLOOKUP(H10,'Delivery Location'!A$4:N$416,2,0)</f>
        <v xml:space="preserve">Koufu Pte Ltd - Yew Tee Point                                                              21, Chua Chu Kang North 6,       #B1-17 Yew Tee Point.                  Singapore 689579                                                                                                     </v>
      </c>
      <c r="G11" s="458"/>
      <c r="H11" s="459"/>
      <c r="J11" s="31" t="s">
        <v>11</v>
      </c>
      <c r="K11" s="551" t="s">
        <v>1006</v>
      </c>
      <c r="L11" s="472"/>
    </row>
    <row r="12" spans="2:12" ht="20.149999999999999" customHeight="1" x14ac:dyDescent="0.45">
      <c r="B12" s="468" t="s">
        <v>2139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36</v>
      </c>
      <c r="L12" s="472"/>
    </row>
    <row r="13" spans="2:12" ht="20.149999999999999" customHeight="1" x14ac:dyDescent="0.45">
      <c r="B13" s="468" t="s">
        <v>2024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14</v>
      </c>
      <c r="L13" s="472"/>
    </row>
    <row r="14" spans="2:12" ht="20.149999999999999" customHeight="1" x14ac:dyDescent="0.45">
      <c r="B14" s="468" t="s">
        <v>2025</v>
      </c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463" t="s">
        <v>2026</v>
      </c>
      <c r="C15" s="464"/>
      <c r="D15" s="465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23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8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3"/>
      <c r="O17" s="33"/>
    </row>
    <row r="18" spans="2:23" ht="20.149999999999999" customHeight="1" x14ac:dyDescent="0.45">
      <c r="B18" s="34"/>
      <c r="C18" s="22" t="s">
        <v>541</v>
      </c>
      <c r="D18" s="508" t="e">
        <f>VLOOKUP(C18,'Sales Master'!B$3:D$499,2,)</f>
        <v>#N/A</v>
      </c>
      <c r="E18" s="508"/>
      <c r="F18" s="508"/>
      <c r="G18" s="22">
        <v>3</v>
      </c>
      <c r="H18" s="68" t="e">
        <f>VLOOKUP(C18,'Sales Master'!$B$3:$F$3247,5,0)</f>
        <v>#N/A</v>
      </c>
      <c r="I18" s="481" t="e">
        <f>VLOOKUP(C18,'Sales Master'!$B$3:$E$3247,4,0)</f>
        <v>#N/A</v>
      </c>
      <c r="J18" s="481"/>
      <c r="K18" s="35" t="e">
        <f>VLOOKUP(C18,'Sales Master'!B$3:J$499,9,0)</f>
        <v>#N/A</v>
      </c>
      <c r="L18" s="77" t="e">
        <f>K18*G18</f>
        <v>#N/A</v>
      </c>
      <c r="M18" s="78"/>
    </row>
    <row r="19" spans="2:23" ht="20.149999999999999" customHeight="1" x14ac:dyDescent="0.45">
      <c r="B19" s="34"/>
      <c r="C19" s="22" t="s">
        <v>402</v>
      </c>
      <c r="D19" s="508" t="e">
        <f>VLOOKUP(C19,'Sales Master'!B$3:D$499,2,)</f>
        <v>#N/A</v>
      </c>
      <c r="E19" s="508"/>
      <c r="F19" s="508"/>
      <c r="G19" s="22">
        <v>2</v>
      </c>
      <c r="H19" s="68" t="e">
        <f>VLOOKUP(C19,'Sales Master'!$B$3:$F$3247,5,0)</f>
        <v>#N/A</v>
      </c>
      <c r="I19" s="481" t="e">
        <f>VLOOKUP(C19,'Sales Master'!$B$3:$E$3247,4,0)</f>
        <v>#N/A</v>
      </c>
      <c r="J19" s="481"/>
      <c r="K19" s="35" t="e">
        <f>VLOOKUP(C19,'Sales Master'!B$3:J$499,9,0)</f>
        <v>#N/A</v>
      </c>
      <c r="L19" s="77" t="e">
        <f t="shared" ref="L19:L24" si="0">K19*G19</f>
        <v>#N/A</v>
      </c>
      <c r="M19" s="78"/>
      <c r="N19" s="24" t="s">
        <v>629</v>
      </c>
      <c r="O19" s="24" t="s">
        <v>295</v>
      </c>
      <c r="R19" s="24">
        <v>2</v>
      </c>
      <c r="S19" s="24" t="s">
        <v>61</v>
      </c>
      <c r="T19" s="24" t="s">
        <v>529</v>
      </c>
      <c r="V19" s="24">
        <v>9</v>
      </c>
      <c r="W19" s="24">
        <v>18</v>
      </c>
    </row>
    <row r="20" spans="2:23" ht="20.149999999999999" customHeight="1" x14ac:dyDescent="0.45">
      <c r="B20" s="34"/>
      <c r="C20" s="22" t="s">
        <v>405</v>
      </c>
      <c r="D20" s="508" t="e">
        <f>VLOOKUP(C20,'Sales Master'!B$3:D$499,2,)</f>
        <v>#N/A</v>
      </c>
      <c r="E20" s="508"/>
      <c r="F20" s="508"/>
      <c r="G20" s="22">
        <v>2</v>
      </c>
      <c r="H20" s="68" t="e">
        <f>VLOOKUP(C20,'Sales Master'!$B$3:$F$3247,5,0)</f>
        <v>#N/A</v>
      </c>
      <c r="I20" s="481" t="e">
        <f>VLOOKUP(C20,'Sales Master'!$B$3:$E$3247,4,0)</f>
        <v>#N/A</v>
      </c>
      <c r="J20" s="481"/>
      <c r="K20" s="35" t="e">
        <f>VLOOKUP(C20,'Sales Master'!B$3:J$499,9,0)</f>
        <v>#N/A</v>
      </c>
      <c r="L20" s="77" t="e">
        <f t="shared" si="0"/>
        <v>#N/A</v>
      </c>
      <c r="M20" s="78"/>
      <c r="N20" s="24" t="s">
        <v>447</v>
      </c>
      <c r="O20" s="24" t="s">
        <v>459</v>
      </c>
      <c r="R20" s="24">
        <v>1</v>
      </c>
      <c r="S20" s="24" t="s">
        <v>592</v>
      </c>
      <c r="T20" s="24" t="s">
        <v>709</v>
      </c>
      <c r="V20" s="24">
        <v>32</v>
      </c>
      <c r="W20" s="24">
        <v>32</v>
      </c>
    </row>
    <row r="21" spans="2:23" ht="20.149999999999999" customHeight="1" x14ac:dyDescent="0.45">
      <c r="B21" s="34"/>
      <c r="C21" s="22" t="s">
        <v>407</v>
      </c>
      <c r="D21" s="508" t="e">
        <f>VLOOKUP(C21,'Sales Master'!B$3:D$499,2,)</f>
        <v>#N/A</v>
      </c>
      <c r="E21" s="508"/>
      <c r="F21" s="508"/>
      <c r="G21" s="22">
        <v>2</v>
      </c>
      <c r="H21" s="68" t="e">
        <f>VLOOKUP(C21,'Sales Master'!$B$3:$F$3247,5,0)</f>
        <v>#N/A</v>
      </c>
      <c r="I21" s="481" t="e">
        <f>VLOOKUP(C21,'Sales Master'!$B$3:$E$3247,4,0)</f>
        <v>#N/A</v>
      </c>
      <c r="J21" s="481"/>
      <c r="K21" s="35" t="e">
        <f>VLOOKUP(C21,'Sales Master'!B$3:J$499,9,0)</f>
        <v>#N/A</v>
      </c>
      <c r="L21" s="77" t="e">
        <f t="shared" si="0"/>
        <v>#N/A</v>
      </c>
      <c r="M21" s="78"/>
      <c r="N21" s="24" t="s">
        <v>450</v>
      </c>
      <c r="O21" s="24" t="s">
        <v>614</v>
      </c>
      <c r="R21" s="24">
        <v>1</v>
      </c>
      <c r="S21" s="24" t="s">
        <v>592</v>
      </c>
      <c r="T21" s="24" t="s">
        <v>711</v>
      </c>
      <c r="V21" s="24">
        <v>34</v>
      </c>
      <c r="W21" s="24">
        <v>34</v>
      </c>
    </row>
    <row r="22" spans="2:23" ht="20.149999999999999" customHeight="1" x14ac:dyDescent="0.45">
      <c r="B22" s="34"/>
      <c r="C22" s="22" t="s">
        <v>409</v>
      </c>
      <c r="D22" s="508" t="e">
        <f>VLOOKUP(C22,'Sales Master'!B$3:D$499,2,)</f>
        <v>#N/A</v>
      </c>
      <c r="E22" s="508"/>
      <c r="F22" s="508"/>
      <c r="G22" s="22">
        <v>1</v>
      </c>
      <c r="H22" s="68" t="e">
        <f>VLOOKUP(C22,'Sales Master'!$B$3:$F$3247,5,0)</f>
        <v>#N/A</v>
      </c>
      <c r="I22" s="481" t="e">
        <f>VLOOKUP(C22,'Sales Master'!$B$3:$E$3247,4,0)</f>
        <v>#N/A</v>
      </c>
      <c r="J22" s="481"/>
      <c r="K22" s="35" t="e">
        <f>VLOOKUP(C22,'Sales Master'!B$3:J$499,9,0)</f>
        <v>#N/A</v>
      </c>
      <c r="L22" s="77" t="e">
        <f t="shared" si="0"/>
        <v>#N/A</v>
      </c>
      <c r="M22" s="78"/>
      <c r="N22" s="24" t="s">
        <v>437</v>
      </c>
      <c r="O22" s="24" t="s">
        <v>286</v>
      </c>
      <c r="R22" s="24">
        <v>1</v>
      </c>
      <c r="S22" s="24" t="s">
        <v>592</v>
      </c>
      <c r="T22" s="24" t="s">
        <v>704</v>
      </c>
      <c r="V22" s="24">
        <v>26</v>
      </c>
      <c r="W22" s="24">
        <v>26</v>
      </c>
    </row>
    <row r="23" spans="2:23" ht="20.149999999999999" customHeight="1" x14ac:dyDescent="0.45">
      <c r="B23" s="34"/>
      <c r="C23" s="22" t="s">
        <v>453</v>
      </c>
      <c r="D23" s="508" t="e">
        <f>VLOOKUP(C23,'Sales Master'!B$3:D$499,2,)</f>
        <v>#N/A</v>
      </c>
      <c r="E23" s="508"/>
      <c r="F23" s="508"/>
      <c r="G23" s="22">
        <v>2</v>
      </c>
      <c r="H23" s="68" t="e">
        <f>VLOOKUP(C23,'Sales Master'!$B$3:$F$3247,5,0)</f>
        <v>#N/A</v>
      </c>
      <c r="I23" s="481" t="e">
        <f>VLOOKUP(C23,'Sales Master'!$B$3:$E$3247,4,0)</f>
        <v>#N/A</v>
      </c>
      <c r="J23" s="481"/>
      <c r="K23" s="35" t="e">
        <f>VLOOKUP(C23,'Sales Master'!B$3:J$499,9,0)</f>
        <v>#N/A</v>
      </c>
      <c r="L23" s="77" t="e">
        <f t="shared" si="0"/>
        <v>#N/A</v>
      </c>
      <c r="M23" s="78"/>
      <c r="N23" s="24" t="s">
        <v>440</v>
      </c>
      <c r="O23" s="24" t="s">
        <v>289</v>
      </c>
      <c r="R23" s="24">
        <v>1</v>
      </c>
      <c r="S23" s="24" t="s">
        <v>47</v>
      </c>
      <c r="T23" s="24" t="s">
        <v>706</v>
      </c>
      <c r="V23" s="24">
        <v>25</v>
      </c>
      <c r="W23" s="24">
        <v>25</v>
      </c>
    </row>
    <row r="24" spans="2:23" ht="20.149999999999999" customHeight="1" x14ac:dyDescent="0.45">
      <c r="B24" s="34"/>
      <c r="C24" s="22" t="s">
        <v>517</v>
      </c>
      <c r="D24" s="508" t="e">
        <f>VLOOKUP(C24,'Sales Master'!B$3:D$499,2,)</f>
        <v>#N/A</v>
      </c>
      <c r="E24" s="508"/>
      <c r="F24" s="508"/>
      <c r="G24" s="22">
        <v>30</v>
      </c>
      <c r="H24" s="68" t="e">
        <f>VLOOKUP(C24,'Sales Master'!$B$3:$F$3247,5,0)</f>
        <v>#N/A</v>
      </c>
      <c r="I24" s="481" t="e">
        <f>VLOOKUP(C24,'Sales Master'!$B$3:$E$3247,4,0)</f>
        <v>#N/A</v>
      </c>
      <c r="J24" s="481"/>
      <c r="K24" s="35" t="e">
        <f>VLOOKUP(C24,'Sales Master'!B$3:J$499,9,0)</f>
        <v>#N/A</v>
      </c>
      <c r="L24" s="77" t="e">
        <f t="shared" si="0"/>
        <v>#N/A</v>
      </c>
      <c r="M24" s="78"/>
      <c r="N24" s="24" t="s">
        <v>453</v>
      </c>
      <c r="O24" s="24" t="s">
        <v>328</v>
      </c>
      <c r="R24" s="24">
        <v>3</v>
      </c>
      <c r="S24" s="24" t="s">
        <v>59</v>
      </c>
      <c r="T24" s="24" t="s">
        <v>712</v>
      </c>
      <c r="V24" s="24">
        <v>41</v>
      </c>
      <c r="W24" s="24">
        <v>123</v>
      </c>
    </row>
    <row r="25" spans="2:23" ht="20.149999999999999" customHeight="1" x14ac:dyDescent="0.45">
      <c r="B25" s="34"/>
      <c r="C25" s="22"/>
      <c r="D25" s="508"/>
      <c r="E25" s="508"/>
      <c r="F25" s="508"/>
      <c r="G25" s="22"/>
      <c r="H25" s="68"/>
      <c r="I25" s="450"/>
      <c r="J25" s="450"/>
      <c r="K25" s="35"/>
      <c r="L25" s="77"/>
      <c r="M25" s="78"/>
      <c r="N25" s="24" t="s">
        <v>435</v>
      </c>
      <c r="O25" s="24" t="s">
        <v>298</v>
      </c>
      <c r="R25" s="24">
        <v>1</v>
      </c>
      <c r="S25" s="24" t="s">
        <v>36</v>
      </c>
      <c r="T25" s="24" t="s">
        <v>529</v>
      </c>
      <c r="V25" s="24">
        <v>9</v>
      </c>
      <c r="W25" s="24">
        <v>9</v>
      </c>
    </row>
    <row r="26" spans="2:23" ht="20.149999999999999" customHeight="1" x14ac:dyDescent="0.45">
      <c r="B26" s="34"/>
      <c r="C26" s="22"/>
      <c r="D26" s="508"/>
      <c r="E26" s="508"/>
      <c r="F26" s="508"/>
      <c r="G26" s="22"/>
      <c r="H26" s="68"/>
      <c r="I26" s="450"/>
      <c r="J26" s="450"/>
      <c r="K26" s="35"/>
      <c r="L26" s="77"/>
      <c r="M26" s="78"/>
      <c r="N26" s="24" t="s">
        <v>633</v>
      </c>
      <c r="O26" s="24" t="s">
        <v>322</v>
      </c>
      <c r="R26" s="24">
        <v>1</v>
      </c>
      <c r="S26" s="24" t="s">
        <v>36</v>
      </c>
      <c r="T26" s="24" t="s">
        <v>109</v>
      </c>
      <c r="V26" s="24">
        <v>12</v>
      </c>
      <c r="W26" s="24">
        <v>12</v>
      </c>
    </row>
    <row r="27" spans="2:23" ht="20.149999999999999" customHeight="1" x14ac:dyDescent="0.45">
      <c r="B27" s="34"/>
      <c r="C27" s="22"/>
      <c r="D27" s="508"/>
      <c r="E27" s="508"/>
      <c r="F27" s="508"/>
      <c r="G27" s="22"/>
      <c r="H27" s="68"/>
      <c r="I27" s="450"/>
      <c r="J27" s="450"/>
      <c r="K27" s="35"/>
      <c r="L27" s="77"/>
      <c r="M27" s="78"/>
      <c r="N27" s="24" t="s">
        <v>428</v>
      </c>
      <c r="O27" s="24" t="s">
        <v>280</v>
      </c>
      <c r="R27" s="24">
        <v>2</v>
      </c>
      <c r="S27" s="24" t="s">
        <v>36</v>
      </c>
      <c r="T27" s="24" t="s">
        <v>71</v>
      </c>
      <c r="V27" s="24">
        <v>6</v>
      </c>
      <c r="W27" s="24">
        <v>12</v>
      </c>
    </row>
    <row r="28" spans="2:23" ht="20.149999999999999" customHeight="1" x14ac:dyDescent="0.45">
      <c r="B28" s="34"/>
      <c r="C28" s="22"/>
      <c r="D28" s="508"/>
      <c r="E28" s="508"/>
      <c r="F28" s="508"/>
      <c r="G28" s="22"/>
      <c r="H28" s="68"/>
      <c r="I28" s="450"/>
      <c r="J28" s="450"/>
      <c r="K28" s="35"/>
      <c r="L28" s="77"/>
      <c r="M28" s="78"/>
      <c r="N28" s="24" t="s">
        <v>517</v>
      </c>
      <c r="O28" s="24" t="s">
        <v>279</v>
      </c>
      <c r="R28" s="24">
        <v>20</v>
      </c>
      <c r="S28" s="24" t="s">
        <v>36</v>
      </c>
      <c r="T28" s="24" t="s">
        <v>34</v>
      </c>
      <c r="V28" s="24">
        <v>1.8</v>
      </c>
      <c r="W28" s="24">
        <v>36</v>
      </c>
    </row>
    <row r="29" spans="2:23" ht="20.149999999999999" customHeight="1" x14ac:dyDescent="0.45">
      <c r="B29" s="34"/>
      <c r="C29" s="22"/>
      <c r="D29" s="508"/>
      <c r="E29" s="508"/>
      <c r="F29" s="508"/>
      <c r="G29" s="22"/>
      <c r="H29" s="68"/>
      <c r="I29" s="450"/>
      <c r="J29" s="450"/>
      <c r="K29" s="35"/>
      <c r="L29" s="77"/>
      <c r="M29" s="78"/>
      <c r="N29" s="24" t="s">
        <v>520</v>
      </c>
      <c r="O29" s="24" t="s">
        <v>326</v>
      </c>
      <c r="R29" s="24">
        <v>1</v>
      </c>
      <c r="S29" s="24" t="s">
        <v>36</v>
      </c>
      <c r="T29" s="24" t="s">
        <v>34</v>
      </c>
      <c r="V29" s="24">
        <v>1.5</v>
      </c>
      <c r="W29" s="24">
        <v>1.5</v>
      </c>
    </row>
    <row r="30" spans="2:23" ht="20.149999999999999" customHeight="1" x14ac:dyDescent="0.45">
      <c r="B30" s="34"/>
      <c r="C30" s="22"/>
      <c r="D30" s="508"/>
      <c r="E30" s="508"/>
      <c r="F30" s="508"/>
      <c r="G30" s="22"/>
      <c r="H30" s="68"/>
      <c r="I30" s="450"/>
      <c r="J30" s="450"/>
      <c r="K30" s="35"/>
      <c r="L30" s="77"/>
      <c r="M30" s="78"/>
      <c r="N30" s="24" t="s">
        <v>521</v>
      </c>
      <c r="O30" s="24" t="s">
        <v>490</v>
      </c>
      <c r="R30" s="24">
        <v>1</v>
      </c>
      <c r="S30" s="24" t="s">
        <v>36</v>
      </c>
      <c r="T30" s="24" t="s">
        <v>34</v>
      </c>
      <c r="V30" s="24">
        <v>2.5</v>
      </c>
      <c r="W30" s="24">
        <v>2.5</v>
      </c>
    </row>
    <row r="31" spans="2:23" ht="20.149999999999999" customHeight="1" x14ac:dyDescent="0.45">
      <c r="B31" s="34"/>
      <c r="C31" s="22"/>
      <c r="D31" s="508"/>
      <c r="E31" s="508"/>
      <c r="F31" s="508"/>
      <c r="G31" s="22"/>
      <c r="H31" s="68"/>
      <c r="I31" s="450"/>
      <c r="J31" s="450"/>
      <c r="K31" s="35"/>
      <c r="L31" s="77"/>
      <c r="M31" s="78"/>
    </row>
    <row r="32" spans="2:23" ht="20.149999999999999" customHeight="1" x14ac:dyDescent="0.45">
      <c r="B32" s="34"/>
      <c r="C32" s="22"/>
      <c r="D32" s="508"/>
      <c r="E32" s="508"/>
      <c r="F32" s="508"/>
      <c r="G32" s="22"/>
      <c r="H32" s="68"/>
      <c r="I32" s="450"/>
      <c r="J32" s="450"/>
      <c r="K32" s="35"/>
      <c r="L32" s="77"/>
      <c r="M32" s="78"/>
    </row>
    <row r="33" spans="2:13" ht="20.149999999999999" customHeight="1" x14ac:dyDescent="0.45">
      <c r="B33" s="34"/>
      <c r="C33" s="22"/>
      <c r="D33" s="508"/>
      <c r="E33" s="508"/>
      <c r="F33" s="508"/>
      <c r="G33" s="22"/>
      <c r="H33" s="68"/>
      <c r="I33" s="450"/>
      <c r="J33" s="450"/>
      <c r="K33" s="35"/>
      <c r="L33" s="77"/>
      <c r="M33" s="78"/>
    </row>
    <row r="34" spans="2:13" ht="20.149999999999999" customHeight="1" x14ac:dyDescent="0.45">
      <c r="B34" s="34"/>
      <c r="C34" s="22"/>
      <c r="D34" s="508"/>
      <c r="E34" s="508"/>
      <c r="F34" s="508"/>
      <c r="G34" s="22"/>
      <c r="H34" s="68"/>
      <c r="I34" s="450"/>
      <c r="J34" s="450"/>
      <c r="K34" s="35"/>
      <c r="L34" s="77"/>
      <c r="M34" s="78"/>
    </row>
    <row r="35" spans="2:13" ht="20.149999999999999" customHeight="1" x14ac:dyDescent="0.45">
      <c r="B35" s="34"/>
      <c r="C35" s="22"/>
      <c r="D35" s="508"/>
      <c r="E35" s="508"/>
      <c r="F35" s="508"/>
      <c r="G35" s="22"/>
      <c r="H35" s="68"/>
      <c r="I35" s="450"/>
      <c r="J35" s="450"/>
      <c r="K35" s="35"/>
      <c r="L35" s="77"/>
      <c r="M35" s="78"/>
    </row>
    <row r="36" spans="2:13" ht="20.149999999999999" customHeight="1" x14ac:dyDescent="0.45">
      <c r="B36" s="34"/>
      <c r="C36" s="22"/>
      <c r="D36" s="508"/>
      <c r="E36" s="508"/>
      <c r="F36" s="508"/>
      <c r="G36" s="22"/>
      <c r="H36" s="68"/>
      <c r="I36" s="450"/>
      <c r="J36" s="450"/>
      <c r="K36" s="35"/>
      <c r="L36" s="36"/>
    </row>
    <row r="37" spans="2:13" ht="20.149999999999999" customHeight="1" thickBot="1" x14ac:dyDescent="0.5">
      <c r="B37" s="37"/>
      <c r="C37" s="38"/>
      <c r="D37" s="509"/>
      <c r="E37" s="509"/>
      <c r="F37" s="509"/>
      <c r="G37" s="38"/>
      <c r="H37" s="69"/>
      <c r="I37" s="451"/>
      <c r="J37" s="451"/>
      <c r="K37" s="39"/>
      <c r="L37" s="40"/>
    </row>
    <row r="38" spans="2:13" ht="20.149999999999999" customHeight="1" thickBot="1" x14ac:dyDescent="0.5">
      <c r="B38" s="41"/>
      <c r="L38" s="42"/>
    </row>
    <row r="39" spans="2:13" ht="20.149999999999999" customHeight="1" x14ac:dyDescent="0.45">
      <c r="B39" s="11" t="s">
        <v>18</v>
      </c>
      <c r="C39" s="7"/>
      <c r="D39" s="7"/>
      <c r="E39" s="7"/>
      <c r="F39" s="7"/>
      <c r="G39" s="7"/>
      <c r="H39" s="7"/>
      <c r="I39" s="7"/>
      <c r="J39" s="510" t="s">
        <v>15</v>
      </c>
      <c r="K39" s="511"/>
      <c r="L39" s="43" t="e">
        <f>SUM(L17:L37)</f>
        <v>#N/A</v>
      </c>
      <c r="M39" s="76">
        <f>166+26</f>
        <v>192</v>
      </c>
    </row>
    <row r="40" spans="2:13" ht="20.149999999999999" customHeight="1" x14ac:dyDescent="0.45">
      <c r="B40" s="11" t="s">
        <v>19</v>
      </c>
      <c r="C40" s="7"/>
      <c r="D40" s="7"/>
      <c r="E40" s="7"/>
      <c r="F40" s="7"/>
      <c r="G40" s="7"/>
      <c r="H40" s="7"/>
      <c r="I40" s="7"/>
      <c r="J40" s="44" t="s">
        <v>22</v>
      </c>
      <c r="K40" s="45"/>
      <c r="L40" s="46" t="e">
        <f>L39*K40</f>
        <v>#N/A</v>
      </c>
    </row>
    <row r="41" spans="2:13" ht="20.149999999999999" customHeight="1" x14ac:dyDescent="0.45">
      <c r="B41" s="11" t="s">
        <v>20</v>
      </c>
      <c r="C41" s="7"/>
      <c r="D41" s="7"/>
      <c r="E41" s="7"/>
      <c r="F41" s="7"/>
      <c r="G41" s="7"/>
      <c r="H41" s="7"/>
      <c r="I41" s="7"/>
      <c r="J41" s="486" t="s">
        <v>21</v>
      </c>
      <c r="K41" s="487"/>
      <c r="L41" s="46" t="e">
        <f>L39-L40</f>
        <v>#N/A</v>
      </c>
    </row>
    <row r="42" spans="2:13" ht="20.149999999999999" customHeight="1" x14ac:dyDescent="0.45">
      <c r="B42" s="11" t="s">
        <v>24</v>
      </c>
      <c r="C42" s="7"/>
      <c r="D42" s="7"/>
      <c r="E42" s="7"/>
      <c r="F42" s="7"/>
      <c r="G42" s="7"/>
      <c r="H42" s="7"/>
      <c r="I42" s="7"/>
      <c r="J42" s="150" t="s">
        <v>17</v>
      </c>
      <c r="K42" s="151">
        <v>7.0000000000000007E-2</v>
      </c>
      <c r="L42" s="47" t="e">
        <f>L41*K42</f>
        <v>#N/A</v>
      </c>
    </row>
    <row r="43" spans="2:13" ht="20.149999999999999" customHeight="1" thickBot="1" x14ac:dyDescent="0.5">
      <c r="B43" s="11" t="s">
        <v>25</v>
      </c>
      <c r="C43" s="7"/>
      <c r="D43" s="7"/>
      <c r="E43" s="7"/>
      <c r="F43" s="7"/>
      <c r="G43" s="7"/>
      <c r="H43" s="7"/>
      <c r="I43" s="7"/>
      <c r="J43" s="488" t="s">
        <v>23</v>
      </c>
      <c r="K43" s="489"/>
      <c r="L43" s="48" t="e">
        <f>L41+L42</f>
        <v>#N/A</v>
      </c>
    </row>
    <row r="44" spans="2:13" ht="20.149999999999999" customHeight="1" x14ac:dyDescent="0.45">
      <c r="B44" s="11" t="s">
        <v>26</v>
      </c>
      <c r="C44" s="7"/>
      <c r="D44" s="7"/>
      <c r="E44" s="7"/>
      <c r="F44" s="7"/>
      <c r="G44" s="7"/>
      <c r="H44" s="7"/>
      <c r="I44" s="7"/>
      <c r="L44" s="42"/>
    </row>
    <row r="45" spans="2:13" ht="20.149999999999999" customHeight="1" x14ac:dyDescent="0.45">
      <c r="B45" s="41"/>
      <c r="L45" s="42"/>
    </row>
    <row r="46" spans="2:13" ht="20.149999999999999" customHeight="1" x14ac:dyDescent="0.45">
      <c r="B46" s="41"/>
      <c r="L46" s="42"/>
    </row>
    <row r="47" spans="2:13" ht="20.149999999999999" customHeight="1" x14ac:dyDescent="0.45">
      <c r="B47" s="41"/>
      <c r="L47" s="42"/>
    </row>
    <row r="48" spans="2:13" ht="20.149999999999999" customHeight="1" x14ac:dyDescent="0.45">
      <c r="B48" s="41"/>
      <c r="L48" s="42"/>
    </row>
    <row r="49" spans="2:12" ht="20.149999999999999" customHeight="1" x14ac:dyDescent="0.45">
      <c r="B49" s="49"/>
      <c r="C49" s="50"/>
      <c r="D49" s="50"/>
      <c r="J49" s="50"/>
      <c r="K49" s="50"/>
      <c r="L49" s="51"/>
    </row>
    <row r="50" spans="2:12" ht="20.149999999999999" customHeight="1" x14ac:dyDescent="0.45">
      <c r="B50" s="41" t="s">
        <v>27</v>
      </c>
      <c r="J50" s="24" t="s">
        <v>28</v>
      </c>
      <c r="L50" s="42"/>
    </row>
    <row r="51" spans="2:12" ht="19" thickBot="1" x14ac:dyDescent="0.5">
      <c r="B51" s="52"/>
      <c r="C51" s="53"/>
      <c r="D51" s="53"/>
      <c r="E51" s="53"/>
      <c r="F51" s="53"/>
      <c r="G51" s="53"/>
      <c r="H51" s="53"/>
      <c r="I51" s="53"/>
      <c r="J51" s="53"/>
      <c r="K51" s="53"/>
      <c r="L51" s="54"/>
    </row>
  </sheetData>
  <mergeCells count="58">
    <mergeCell ref="B15:D15"/>
    <mergeCell ref="J39:K39"/>
    <mergeCell ref="J41:K41"/>
    <mergeCell ref="J43:K43"/>
    <mergeCell ref="D35:F35"/>
    <mergeCell ref="I35:J35"/>
    <mergeCell ref="D36:F36"/>
    <mergeCell ref="I36:J36"/>
    <mergeCell ref="D37:F37"/>
    <mergeCell ref="I37:J37"/>
    <mergeCell ref="D32:F32"/>
    <mergeCell ref="I32:J32"/>
    <mergeCell ref="D33:F33"/>
    <mergeCell ref="I33:J33"/>
    <mergeCell ref="D34:F34"/>
    <mergeCell ref="I34:J34"/>
    <mergeCell ref="D26:F26"/>
    <mergeCell ref="I26:J26"/>
    <mergeCell ref="D20:F20"/>
    <mergeCell ref="I20:J20"/>
    <mergeCell ref="D22:F22"/>
    <mergeCell ref="D24:F24"/>
    <mergeCell ref="I24:J24"/>
    <mergeCell ref="D25:F25"/>
    <mergeCell ref="I25:J25"/>
    <mergeCell ref="D27:F27"/>
    <mergeCell ref="I27:J27"/>
    <mergeCell ref="D31:F31"/>
    <mergeCell ref="I31:J31"/>
    <mergeCell ref="D28:F28"/>
    <mergeCell ref="I28:J28"/>
    <mergeCell ref="D29:F29"/>
    <mergeCell ref="I29:J29"/>
    <mergeCell ref="D30:F30"/>
    <mergeCell ref="I30:J30"/>
    <mergeCell ref="I19:J19"/>
    <mergeCell ref="I22:J22"/>
    <mergeCell ref="D23:F23"/>
    <mergeCell ref="I23:J23"/>
    <mergeCell ref="D21:F21"/>
    <mergeCell ref="I21:J21"/>
    <mergeCell ref="D19:F19"/>
    <mergeCell ref="B1:L8"/>
    <mergeCell ref="D17:F17"/>
    <mergeCell ref="I17:J17"/>
    <mergeCell ref="D18:F18"/>
    <mergeCell ref="I18:J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</mergeCells>
  <pageMargins left="0.70866141732283472" right="0.31496062992125984" top="0.59055118110236227" bottom="0" header="0.31496062992125984" footer="0.31496062992125984"/>
  <pageSetup paperSize="9" scale="76" orientation="portrait" verticalDpi="300" r:id="rId1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74F9AE-15CC-4F70-95DF-32410ABEF3EB}">
  <sheetPr codeName="Sheet126">
    <tabColor rgb="FF996600"/>
    <pageSetUpPr fitToPage="1"/>
  </sheetPr>
  <dimension ref="B1:O42"/>
  <sheetViews>
    <sheetView topLeftCell="A9" workbookViewId="0">
      <selection activeCell="I18" sqref="I18:J18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23.7265625" style="24" customWidth="1"/>
    <col min="7" max="7" width="8.54296875" style="24" customWidth="1"/>
    <col min="8" max="8" width="15.54296875" style="24" customWidth="1"/>
    <col min="9" max="9" width="1.26953125" style="24" customWidth="1"/>
    <col min="10" max="10" width="13.1796875" style="24" customWidth="1"/>
    <col min="11" max="11" width="10.54296875" style="24" customWidth="1"/>
    <col min="12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165</v>
      </c>
      <c r="J10" s="29" t="s">
        <v>29</v>
      </c>
      <c r="K10" s="452">
        <v>202201429</v>
      </c>
      <c r="L10" s="453"/>
    </row>
    <row r="11" spans="2:12" ht="20.149999999999999" customHeight="1" x14ac:dyDescent="0.45">
      <c r="B11" s="454" t="s">
        <v>556</v>
      </c>
      <c r="C11" s="455"/>
      <c r="D11" s="456"/>
      <c r="E11" s="30"/>
      <c r="F11" s="457" t="str">
        <f>VLOOKUP(H10,'Delivery Location'!A$4:N$416,2,0)</f>
        <v>Tea Tree Café Pte Ltd                               Block 4012, Ang Mo Kio Ave 10         #01-05 TechPlace 1 Singapore 569628</v>
      </c>
      <c r="G11" s="458"/>
      <c r="H11" s="459"/>
      <c r="J11" s="31" t="s">
        <v>11</v>
      </c>
      <c r="K11" s="551" t="s">
        <v>2107</v>
      </c>
      <c r="L11" s="472"/>
    </row>
    <row r="12" spans="2:12" ht="20.149999999999999" customHeight="1" x14ac:dyDescent="0.45">
      <c r="B12" s="468" t="s">
        <v>557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2108</v>
      </c>
      <c r="L12" s="472"/>
    </row>
    <row r="13" spans="2:12" ht="20.149999999999999" customHeight="1" x14ac:dyDescent="0.45">
      <c r="B13" s="468" t="s">
        <v>558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1438</v>
      </c>
      <c r="L13" s="472"/>
    </row>
    <row r="14" spans="2:12" ht="20.149999999999999" customHeight="1" x14ac:dyDescent="0.45">
      <c r="B14" s="468" t="s">
        <v>559</v>
      </c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552" t="s">
        <v>586</v>
      </c>
      <c r="C15" s="474"/>
      <c r="D15" s="475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15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3"/>
      <c r="O17" s="33"/>
    </row>
    <row r="18" spans="2:15" ht="20.149999999999999" customHeight="1" x14ac:dyDescent="0.45">
      <c r="B18" s="34"/>
      <c r="C18" s="22" t="s">
        <v>1457</v>
      </c>
      <c r="D18" s="508" t="str">
        <f>VLOOKUP(C18,'Sales Master'!B$3:D$499,2,)</f>
        <v>Bobo ChaCha Cubes 摩摩喳喳</v>
      </c>
      <c r="E18" s="508"/>
      <c r="F18" s="508"/>
      <c r="G18" s="22">
        <v>16</v>
      </c>
      <c r="H18" s="389" t="str">
        <f>VLOOKUP(C18,'Sales Master'!$B$3:$F$3247,5,0)</f>
        <v>800 GM/BAG</v>
      </c>
      <c r="I18" s="482" t="str">
        <f>VLOOKUP(C18,'Sales Master'!$B$3:$E$3247,4,0)</f>
        <v>DO!</v>
      </c>
      <c r="J18" s="482"/>
      <c r="K18" s="94">
        <f>VLOOKUP(C18,'Sales Master'!B$3:Y$499,24,0)</f>
        <v>6.5</v>
      </c>
      <c r="L18" s="77">
        <f>K18*G18</f>
        <v>104</v>
      </c>
      <c r="M18" s="96"/>
    </row>
    <row r="19" spans="2:15" ht="20.149999999999999" customHeight="1" x14ac:dyDescent="0.45">
      <c r="B19" s="34"/>
      <c r="C19" s="22"/>
      <c r="D19" s="508"/>
      <c r="E19" s="508"/>
      <c r="F19" s="508"/>
      <c r="G19" s="22"/>
      <c r="H19" s="68"/>
      <c r="I19" s="481"/>
      <c r="J19" s="481"/>
      <c r="K19" s="94"/>
      <c r="L19" s="77"/>
      <c r="M19" s="78"/>
    </row>
    <row r="20" spans="2:15" ht="20.149999999999999" customHeight="1" x14ac:dyDescent="0.45">
      <c r="B20" s="34"/>
      <c r="C20" s="22"/>
      <c r="D20" s="508"/>
      <c r="E20" s="508"/>
      <c r="F20" s="508"/>
      <c r="G20" s="22"/>
      <c r="H20" s="68"/>
      <c r="I20" s="481"/>
      <c r="J20" s="481"/>
      <c r="K20" s="94"/>
      <c r="L20" s="77"/>
      <c r="M20" s="78"/>
    </row>
    <row r="21" spans="2:15" ht="20.149999999999999" customHeight="1" x14ac:dyDescent="0.45">
      <c r="B21" s="34"/>
      <c r="C21" s="22"/>
      <c r="G21" s="22"/>
      <c r="H21" s="68"/>
      <c r="I21" s="22"/>
      <c r="J21" s="22"/>
      <c r="K21" s="94"/>
      <c r="L21" s="77"/>
      <c r="M21" s="78"/>
    </row>
    <row r="22" spans="2:15" ht="20.149999999999999" customHeight="1" x14ac:dyDescent="0.45">
      <c r="B22" s="34"/>
      <c r="C22" s="22"/>
      <c r="G22" s="22"/>
      <c r="H22" s="68"/>
      <c r="I22" s="22"/>
      <c r="J22" s="22"/>
      <c r="K22" s="94"/>
      <c r="L22" s="77"/>
      <c r="M22" s="78"/>
    </row>
    <row r="23" spans="2:15" ht="20.149999999999999" customHeight="1" x14ac:dyDescent="0.45">
      <c r="B23" s="34"/>
      <c r="C23" s="22"/>
      <c r="G23" s="22"/>
      <c r="H23" s="68"/>
      <c r="I23" s="22"/>
      <c r="J23" s="22"/>
      <c r="K23" s="94"/>
      <c r="L23" s="77"/>
      <c r="M23" s="78"/>
    </row>
    <row r="24" spans="2:15" ht="20.149999999999999" customHeight="1" x14ac:dyDescent="0.45">
      <c r="B24" s="34"/>
      <c r="C24" s="22"/>
      <c r="G24" s="22"/>
      <c r="H24" s="68"/>
      <c r="I24" s="22"/>
      <c r="J24" s="22"/>
      <c r="K24" s="94"/>
      <c r="L24" s="77"/>
      <c r="M24" s="78"/>
    </row>
    <row r="25" spans="2:15" ht="20.149999999999999" customHeight="1" x14ac:dyDescent="0.45">
      <c r="B25" s="34"/>
      <c r="C25" s="22"/>
      <c r="D25" s="508"/>
      <c r="E25" s="508"/>
      <c r="F25" s="508"/>
      <c r="G25" s="22"/>
      <c r="H25" s="68"/>
      <c r="I25" s="450"/>
      <c r="J25" s="450"/>
      <c r="K25" s="94"/>
      <c r="L25" s="77"/>
      <c r="M25" s="78"/>
    </row>
    <row r="26" spans="2:15" ht="20.149999999999999" customHeight="1" x14ac:dyDescent="0.45">
      <c r="B26" s="34"/>
      <c r="C26" s="595" t="s">
        <v>2109</v>
      </c>
      <c r="D26" s="595"/>
      <c r="E26" s="595"/>
      <c r="F26" s="595"/>
      <c r="G26" s="595"/>
      <c r="H26" s="595"/>
      <c r="I26" s="595"/>
      <c r="J26" s="595"/>
      <c r="K26" s="595"/>
      <c r="L26" s="77"/>
      <c r="M26" s="78"/>
    </row>
    <row r="27" spans="2:15" ht="20.149999999999999" customHeight="1" x14ac:dyDescent="0.45">
      <c r="B27" s="34"/>
      <c r="C27" s="595" t="s">
        <v>2110</v>
      </c>
      <c r="D27" s="595"/>
      <c r="E27" s="595"/>
      <c r="F27" s="595"/>
      <c r="G27" s="595"/>
      <c r="H27" s="595"/>
      <c r="I27" s="595"/>
      <c r="J27" s="595"/>
      <c r="K27" s="595"/>
      <c r="L27" s="77"/>
    </row>
    <row r="28" spans="2:15" ht="20.149999999999999" customHeight="1" thickBot="1" x14ac:dyDescent="0.5">
      <c r="B28" s="37"/>
      <c r="C28" s="38"/>
      <c r="D28" s="509"/>
      <c r="E28" s="509"/>
      <c r="F28" s="509"/>
      <c r="G28" s="38"/>
      <c r="H28" s="69"/>
      <c r="I28" s="451"/>
      <c r="J28" s="451"/>
      <c r="K28" s="39"/>
      <c r="L28" s="40"/>
    </row>
    <row r="29" spans="2:15" ht="20.149999999999999" customHeight="1" thickBot="1" x14ac:dyDescent="0.5">
      <c r="B29" s="41"/>
      <c r="L29" s="42"/>
    </row>
    <row r="30" spans="2:15" ht="20.149999999999999" customHeight="1" x14ac:dyDescent="0.45">
      <c r="B30" s="11" t="s">
        <v>18</v>
      </c>
      <c r="C30" s="7"/>
      <c r="D30" s="7"/>
      <c r="E30" s="7"/>
      <c r="F30" s="7"/>
      <c r="G30" s="7"/>
      <c r="H30" s="7"/>
      <c r="I30" s="7"/>
      <c r="J30" s="510" t="s">
        <v>15</v>
      </c>
      <c r="K30" s="511"/>
      <c r="L30" s="43">
        <f>SUM(L17:L27)</f>
        <v>104</v>
      </c>
      <c r="M30" s="76">
        <f>166+26</f>
        <v>192</v>
      </c>
    </row>
    <row r="31" spans="2:15" ht="20.149999999999999" customHeight="1" x14ac:dyDescent="0.45">
      <c r="B31" s="11" t="s">
        <v>19</v>
      </c>
      <c r="C31" s="7"/>
      <c r="D31" s="7"/>
      <c r="E31" s="7"/>
      <c r="F31" s="7"/>
      <c r="G31" s="7"/>
      <c r="H31" s="7"/>
      <c r="I31" s="7"/>
      <c r="J31" s="44" t="s">
        <v>22</v>
      </c>
      <c r="K31" s="45"/>
      <c r="L31" s="46"/>
    </row>
    <row r="32" spans="2:15" ht="20.149999999999999" customHeight="1" x14ac:dyDescent="0.45">
      <c r="B32" s="11" t="s">
        <v>20</v>
      </c>
      <c r="C32" s="7"/>
      <c r="D32" s="7"/>
      <c r="E32" s="7"/>
      <c r="F32" s="7"/>
      <c r="G32" s="7"/>
      <c r="H32" s="7"/>
      <c r="I32" s="7"/>
      <c r="J32" s="486" t="s">
        <v>21</v>
      </c>
      <c r="K32" s="487"/>
      <c r="L32" s="46">
        <f>L30-L31</f>
        <v>104</v>
      </c>
    </row>
    <row r="33" spans="2:12" ht="20.149999999999999" customHeight="1" x14ac:dyDescent="0.45">
      <c r="B33" s="11" t="s">
        <v>24</v>
      </c>
      <c r="C33" s="7"/>
      <c r="D33" s="7"/>
      <c r="E33" s="7"/>
      <c r="F33" s="7"/>
      <c r="G33" s="7"/>
      <c r="H33" s="7"/>
      <c r="I33" s="7"/>
      <c r="J33" s="150" t="s">
        <v>17</v>
      </c>
      <c r="K33" s="151">
        <v>7.0000000000000007E-2</v>
      </c>
      <c r="L33" s="47">
        <f>L32*K33</f>
        <v>7.2800000000000011</v>
      </c>
    </row>
    <row r="34" spans="2:12" ht="20.149999999999999" customHeight="1" thickBot="1" x14ac:dyDescent="0.5">
      <c r="B34" s="11" t="s">
        <v>25</v>
      </c>
      <c r="C34" s="7"/>
      <c r="D34" s="7"/>
      <c r="E34" s="7"/>
      <c r="F34" s="7"/>
      <c r="G34" s="7"/>
      <c r="H34" s="7"/>
      <c r="I34" s="7"/>
      <c r="J34" s="488" t="s">
        <v>23</v>
      </c>
      <c r="K34" s="489"/>
      <c r="L34" s="48">
        <f>L32+L33</f>
        <v>111.28</v>
      </c>
    </row>
    <row r="35" spans="2:12" ht="20.149999999999999" customHeight="1" x14ac:dyDescent="0.45">
      <c r="B35" s="11" t="s">
        <v>26</v>
      </c>
      <c r="C35" s="7"/>
      <c r="D35" s="7"/>
      <c r="E35" s="7"/>
      <c r="F35" s="7"/>
      <c r="G35" s="7"/>
      <c r="H35" s="7"/>
      <c r="I35" s="7"/>
      <c r="L35" s="42"/>
    </row>
    <row r="36" spans="2:12" ht="20.149999999999999" customHeight="1" x14ac:dyDescent="0.45">
      <c r="B36" s="41"/>
      <c r="L36" s="42"/>
    </row>
    <row r="37" spans="2:12" ht="20.149999999999999" customHeight="1" x14ac:dyDescent="0.45">
      <c r="B37" s="41"/>
      <c r="L37" s="42"/>
    </row>
    <row r="38" spans="2:12" ht="20.149999999999999" customHeight="1" x14ac:dyDescent="0.45">
      <c r="B38" s="41"/>
      <c r="L38" s="42"/>
    </row>
    <row r="39" spans="2:12" ht="20.149999999999999" customHeight="1" x14ac:dyDescent="0.45">
      <c r="B39" s="41"/>
      <c r="L39" s="42"/>
    </row>
    <row r="40" spans="2:12" ht="20.149999999999999" customHeight="1" x14ac:dyDescent="0.45">
      <c r="B40" s="49"/>
      <c r="C40" s="50"/>
      <c r="D40" s="50"/>
      <c r="J40" s="50"/>
      <c r="K40" s="50"/>
      <c r="L40" s="51"/>
    </row>
    <row r="41" spans="2:12" ht="20.149999999999999" customHeight="1" x14ac:dyDescent="0.45">
      <c r="B41" s="41" t="s">
        <v>27</v>
      </c>
      <c r="J41" s="24" t="s">
        <v>28</v>
      </c>
      <c r="L41" s="42"/>
    </row>
    <row r="42" spans="2:12" ht="19" thickBot="1" x14ac:dyDescent="0.5">
      <c r="B42" s="52"/>
      <c r="C42" s="53"/>
      <c r="D42" s="53"/>
      <c r="E42" s="53"/>
      <c r="F42" s="53"/>
      <c r="G42" s="53"/>
      <c r="H42" s="53"/>
      <c r="I42" s="53"/>
      <c r="J42" s="53"/>
      <c r="K42" s="53"/>
      <c r="L42" s="54"/>
    </row>
  </sheetData>
  <mergeCells count="30">
    <mergeCell ref="K13:L13"/>
    <mergeCell ref="B14:D14"/>
    <mergeCell ref="K14:L14"/>
    <mergeCell ref="B15:D15"/>
    <mergeCell ref="K15:L15"/>
    <mergeCell ref="J34:K34"/>
    <mergeCell ref="D25:F25"/>
    <mergeCell ref="I25:J25"/>
    <mergeCell ref="D28:F28"/>
    <mergeCell ref="I28:J28"/>
    <mergeCell ref="J30:K30"/>
    <mergeCell ref="J32:K32"/>
    <mergeCell ref="C26:K26"/>
    <mergeCell ref="C27:K27"/>
    <mergeCell ref="B1:L8"/>
    <mergeCell ref="D19:F19"/>
    <mergeCell ref="I19:J19"/>
    <mergeCell ref="D20:F20"/>
    <mergeCell ref="I20:J20"/>
    <mergeCell ref="D17:F17"/>
    <mergeCell ref="I17:J17"/>
    <mergeCell ref="D18:F18"/>
    <mergeCell ref="I18:J18"/>
    <mergeCell ref="K10:L10"/>
    <mergeCell ref="B11:D11"/>
    <mergeCell ref="F11:H15"/>
    <mergeCell ref="K11:L11"/>
    <mergeCell ref="B12:D12"/>
    <mergeCell ref="K12:L12"/>
    <mergeCell ref="B13:D13"/>
  </mergeCells>
  <pageMargins left="0.70866141732283505" right="0.31496062992126" top="0.59055118110236204" bottom="0" header="0.31496062992126" footer="0.31496062992126"/>
  <pageSetup scale="78" orientation="portrait" horizontalDpi="300" verticalDpi="300" r:id="rId1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50302A-4F79-4139-9329-5D0DCC273F02}">
  <sheetPr codeName="Sheet129">
    <tabColor rgb="FF996600"/>
    <pageSetUpPr fitToPage="1"/>
  </sheetPr>
  <dimension ref="B1:V49"/>
  <sheetViews>
    <sheetView workbookViewId="0">
      <selection activeCell="B1" sqref="B1:L8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6.54296875" style="24" customWidth="1"/>
    <col min="7" max="7" width="8.54296875" style="24" customWidth="1"/>
    <col min="8" max="8" width="12.54296875" style="24" customWidth="1"/>
    <col min="9" max="9" width="2.54296875" style="24" customWidth="1"/>
    <col min="10" max="10" width="15.54296875" style="24" customWidth="1"/>
    <col min="11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220</v>
      </c>
      <c r="J10" s="29" t="s">
        <v>29</v>
      </c>
      <c r="K10" s="452">
        <v>202108041</v>
      </c>
      <c r="L10" s="453"/>
    </row>
    <row r="11" spans="2:12" ht="20.149999999999999" customHeight="1" x14ac:dyDescent="0.45">
      <c r="B11" s="454" t="s">
        <v>583</v>
      </c>
      <c r="C11" s="455"/>
      <c r="D11" s="456"/>
      <c r="E11" s="30"/>
      <c r="F11" s="457" t="str">
        <f>VLOOKUP(H10,'Delivery Location'!A$4:N$416,2,0)</f>
        <v>Xi Yue Yuan Pte Ltd                                  Pionner Central, 1 Soon Lee Street #01-32 Singapore 627605</v>
      </c>
      <c r="G11" s="458"/>
      <c r="H11" s="459"/>
      <c r="J11" s="31" t="s">
        <v>11</v>
      </c>
      <c r="K11" s="551">
        <v>44411</v>
      </c>
      <c r="L11" s="472"/>
    </row>
    <row r="12" spans="2:12" ht="20.149999999999999" customHeight="1" x14ac:dyDescent="0.45">
      <c r="B12" s="468" t="s">
        <v>584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533</v>
      </c>
      <c r="L12" s="472"/>
    </row>
    <row r="13" spans="2:12" ht="20.149999999999999" customHeight="1" x14ac:dyDescent="0.45">
      <c r="B13" s="468" t="s">
        <v>890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14</v>
      </c>
      <c r="L13" s="472"/>
    </row>
    <row r="14" spans="2:12" ht="20.149999999999999" customHeight="1" x14ac:dyDescent="0.45">
      <c r="B14" s="468" t="s">
        <v>891</v>
      </c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552" t="s">
        <v>585</v>
      </c>
      <c r="C15" s="474"/>
      <c r="D15" s="475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22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3"/>
      <c r="O17" s="33"/>
    </row>
    <row r="18" spans="2:22" ht="20.149999999999999" customHeight="1" x14ac:dyDescent="0.45">
      <c r="B18" s="34"/>
      <c r="C18" s="22" t="s">
        <v>1566</v>
      </c>
      <c r="D18" s="508" t="str">
        <f>VLOOKUP(C18,'Sales Master'!B$3:D$499,2,)</f>
        <v>Chin Chow  仙草</v>
      </c>
      <c r="E18" s="508"/>
      <c r="F18" s="508"/>
      <c r="G18" s="90">
        <v>1</v>
      </c>
      <c r="H18" s="68" t="str">
        <f>VLOOKUP(C18,'Sales Master'!$B$3:$F$3247,5,0)</f>
        <v>5KGS/PKT</v>
      </c>
      <c r="I18" s="481" t="str">
        <f>VLOOKUP(C18,'Sales Master'!$B$3:$E$3247,4,0)</f>
        <v>TSM</v>
      </c>
      <c r="J18" s="481"/>
      <c r="K18" s="94">
        <f>VLOOKUP(C18,'Sales Master'!B$3:S$499,18,0)</f>
        <v>6</v>
      </c>
      <c r="L18" s="77">
        <f>K18*G18</f>
        <v>6</v>
      </c>
      <c r="M18" s="78"/>
      <c r="N18" s="24" t="s">
        <v>612</v>
      </c>
      <c r="O18" s="24" t="s">
        <v>282</v>
      </c>
      <c r="R18" s="24">
        <v>1</v>
      </c>
      <c r="S18" s="24" t="s">
        <v>61</v>
      </c>
      <c r="T18" s="24" t="s">
        <v>529</v>
      </c>
      <c r="V18" s="24">
        <v>7.5</v>
      </c>
    </row>
    <row r="19" spans="2:22" ht="20.149999999999999" customHeight="1" x14ac:dyDescent="0.45">
      <c r="B19" s="34"/>
      <c r="C19" s="22"/>
      <c r="D19" s="508"/>
      <c r="E19" s="508"/>
      <c r="F19" s="508"/>
      <c r="G19" s="90"/>
      <c r="H19" s="68"/>
      <c r="I19" s="481"/>
      <c r="J19" s="481"/>
      <c r="K19" s="94"/>
      <c r="L19" s="77"/>
      <c r="M19" s="78"/>
      <c r="N19" s="24" t="s">
        <v>627</v>
      </c>
      <c r="O19" s="24" t="s">
        <v>341</v>
      </c>
      <c r="R19" s="24">
        <v>2</v>
      </c>
      <c r="S19" s="24" t="s">
        <v>61</v>
      </c>
      <c r="T19" s="24" t="s">
        <v>664</v>
      </c>
      <c r="V19" s="24">
        <v>15</v>
      </c>
    </row>
    <row r="20" spans="2:22" ht="20.149999999999999" customHeight="1" x14ac:dyDescent="0.45">
      <c r="B20" s="34"/>
      <c r="C20" s="22"/>
      <c r="D20" s="508"/>
      <c r="E20" s="508"/>
      <c r="F20" s="508"/>
      <c r="G20" s="90"/>
      <c r="H20" s="68"/>
      <c r="I20" s="481"/>
      <c r="J20" s="481"/>
      <c r="K20" s="94"/>
      <c r="L20" s="77"/>
      <c r="M20" s="78"/>
      <c r="N20" s="24" t="s">
        <v>453</v>
      </c>
      <c r="O20" s="24" t="s">
        <v>328</v>
      </c>
      <c r="R20" s="24">
        <v>1</v>
      </c>
      <c r="S20" s="24" t="s">
        <v>59</v>
      </c>
      <c r="T20" s="24" t="s">
        <v>712</v>
      </c>
      <c r="V20" s="24">
        <v>42</v>
      </c>
    </row>
    <row r="21" spans="2:22" ht="20.149999999999999" customHeight="1" x14ac:dyDescent="0.45">
      <c r="B21" s="34"/>
      <c r="C21" s="22"/>
      <c r="D21" s="508"/>
      <c r="E21" s="508"/>
      <c r="F21" s="508"/>
      <c r="G21" s="90"/>
      <c r="H21" s="68"/>
      <c r="I21" s="481"/>
      <c r="J21" s="481"/>
      <c r="K21" s="94"/>
      <c r="L21" s="77"/>
      <c r="M21" s="78"/>
      <c r="N21" s="24" t="s">
        <v>442</v>
      </c>
      <c r="O21" s="24" t="s">
        <v>290</v>
      </c>
      <c r="R21" s="24">
        <v>1</v>
      </c>
      <c r="S21" s="24" t="s">
        <v>48</v>
      </c>
      <c r="T21" s="24" t="s">
        <v>707</v>
      </c>
      <c r="V21" s="24">
        <v>19</v>
      </c>
    </row>
    <row r="22" spans="2:22" ht="20.149999999999999" customHeight="1" x14ac:dyDescent="0.45">
      <c r="B22" s="34"/>
      <c r="C22" s="22"/>
      <c r="D22" s="508"/>
      <c r="E22" s="508"/>
      <c r="F22" s="508"/>
      <c r="G22" s="90"/>
      <c r="H22" s="68"/>
      <c r="I22" s="481"/>
      <c r="J22" s="481"/>
      <c r="K22" s="94"/>
      <c r="L22" s="77"/>
      <c r="M22" s="78"/>
      <c r="N22" s="24" t="s">
        <v>393</v>
      </c>
      <c r="O22" s="24" t="s">
        <v>286</v>
      </c>
      <c r="R22" s="24">
        <v>1</v>
      </c>
      <c r="S22" s="24" t="s">
        <v>44</v>
      </c>
      <c r="T22" s="24" t="s">
        <v>100</v>
      </c>
      <c r="V22" s="24">
        <v>15</v>
      </c>
    </row>
    <row r="23" spans="2:22" ht="20.149999999999999" customHeight="1" x14ac:dyDescent="0.45">
      <c r="B23" s="34"/>
      <c r="C23" s="22"/>
      <c r="D23" s="508"/>
      <c r="E23" s="508"/>
      <c r="F23" s="508"/>
      <c r="G23" s="90"/>
      <c r="H23" s="68"/>
      <c r="I23" s="481"/>
      <c r="J23" s="481"/>
      <c r="K23" s="94"/>
      <c r="L23" s="77"/>
      <c r="M23" s="78"/>
      <c r="N23" s="24" t="s">
        <v>410</v>
      </c>
      <c r="O23" s="24" t="s">
        <v>309</v>
      </c>
      <c r="R23" s="24">
        <v>1</v>
      </c>
      <c r="S23" s="24" t="s">
        <v>536</v>
      </c>
      <c r="T23" s="24" t="s">
        <v>54</v>
      </c>
      <c r="V23" s="24">
        <v>8</v>
      </c>
    </row>
    <row r="24" spans="2:22" ht="20.149999999999999" customHeight="1" x14ac:dyDescent="0.45">
      <c r="B24" s="34"/>
      <c r="C24" s="22"/>
      <c r="D24" s="508"/>
      <c r="E24" s="508"/>
      <c r="F24" s="508"/>
      <c r="G24" s="90"/>
      <c r="H24" s="68"/>
      <c r="I24" s="481"/>
      <c r="J24" s="481"/>
      <c r="K24" s="94"/>
      <c r="L24" s="77"/>
      <c r="M24" s="78"/>
      <c r="N24" s="24" t="s">
        <v>413</v>
      </c>
      <c r="O24" s="24" t="s">
        <v>312</v>
      </c>
      <c r="R24" s="24">
        <v>3</v>
      </c>
      <c r="S24" s="24" t="s">
        <v>256</v>
      </c>
      <c r="T24" s="24" t="s">
        <v>34</v>
      </c>
      <c r="V24" s="24">
        <v>13</v>
      </c>
    </row>
    <row r="25" spans="2:22" ht="20.149999999999999" customHeight="1" x14ac:dyDescent="0.45">
      <c r="B25" s="34"/>
      <c r="C25" s="22"/>
      <c r="D25" s="508"/>
      <c r="E25" s="508"/>
      <c r="F25" s="508"/>
      <c r="G25" s="90"/>
      <c r="H25" s="68"/>
      <c r="I25" s="481"/>
      <c r="J25" s="481"/>
      <c r="K25" s="94"/>
      <c r="L25" s="77"/>
      <c r="M25" s="78"/>
      <c r="N25" s="24" t="s">
        <v>409</v>
      </c>
      <c r="O25" s="24" t="s">
        <v>308</v>
      </c>
      <c r="R25" s="24">
        <v>1</v>
      </c>
      <c r="S25" s="24" t="s">
        <v>36</v>
      </c>
      <c r="T25" s="24" t="s">
        <v>73</v>
      </c>
      <c r="V25" s="24">
        <v>9.5</v>
      </c>
    </row>
    <row r="26" spans="2:22" ht="20.149999999999999" customHeight="1" x14ac:dyDescent="0.45">
      <c r="B26" s="34"/>
      <c r="C26" s="22"/>
      <c r="G26" s="90"/>
      <c r="H26" s="68"/>
      <c r="I26" s="481"/>
      <c r="J26" s="481"/>
      <c r="K26" s="94"/>
      <c r="L26" s="77"/>
      <c r="M26" s="78"/>
      <c r="N26" s="24" t="s">
        <v>518</v>
      </c>
      <c r="O26" s="24" t="s">
        <v>323</v>
      </c>
      <c r="R26" s="24">
        <v>3</v>
      </c>
      <c r="S26" s="24" t="s">
        <v>36</v>
      </c>
      <c r="T26" s="24" t="s">
        <v>75</v>
      </c>
      <c r="V26" s="24">
        <v>2</v>
      </c>
    </row>
    <row r="27" spans="2:22" ht="20.149999999999999" customHeight="1" x14ac:dyDescent="0.45">
      <c r="B27" s="34"/>
      <c r="C27" s="22"/>
      <c r="G27" s="90"/>
      <c r="H27" s="68"/>
      <c r="I27" s="481"/>
      <c r="J27" s="481"/>
      <c r="K27" s="94"/>
      <c r="L27" s="77"/>
      <c r="M27" s="78"/>
      <c r="N27" s="24" t="s">
        <v>520</v>
      </c>
      <c r="O27" s="24" t="s">
        <v>326</v>
      </c>
      <c r="R27" s="24">
        <v>2</v>
      </c>
      <c r="S27" s="24" t="s">
        <v>36</v>
      </c>
      <c r="T27" s="24" t="s">
        <v>34</v>
      </c>
      <c r="V27" s="24">
        <v>2</v>
      </c>
    </row>
    <row r="28" spans="2:22" ht="20.149999999999999" customHeight="1" x14ac:dyDescent="0.45">
      <c r="B28" s="34"/>
      <c r="C28" s="22"/>
      <c r="G28" s="90"/>
      <c r="H28" s="68"/>
      <c r="I28" s="481"/>
      <c r="J28" s="481"/>
      <c r="K28" s="94"/>
      <c r="L28" s="77"/>
      <c r="M28" s="78"/>
    </row>
    <row r="29" spans="2:22" ht="20.149999999999999" customHeight="1" x14ac:dyDescent="0.45">
      <c r="B29" s="34"/>
      <c r="C29" s="22"/>
      <c r="D29" s="508"/>
      <c r="E29" s="508"/>
      <c r="F29" s="508"/>
      <c r="G29" s="22"/>
      <c r="H29" s="68"/>
      <c r="I29" s="481"/>
      <c r="J29" s="481"/>
      <c r="K29" s="94"/>
      <c r="L29" s="77"/>
      <c r="M29" s="78"/>
    </row>
    <row r="30" spans="2:22" ht="20.149999999999999" customHeight="1" x14ac:dyDescent="0.45">
      <c r="B30" s="34"/>
      <c r="C30" s="22"/>
      <c r="D30" s="508"/>
      <c r="E30" s="508"/>
      <c r="F30" s="508"/>
      <c r="G30" s="22"/>
      <c r="H30" s="68"/>
      <c r="I30" s="481"/>
      <c r="J30" s="481"/>
      <c r="K30" s="94"/>
      <c r="L30" s="77"/>
      <c r="M30" s="78"/>
    </row>
    <row r="31" spans="2:22" ht="20.149999999999999" customHeight="1" x14ac:dyDescent="0.45">
      <c r="B31" s="34"/>
      <c r="C31" s="22"/>
      <c r="D31" s="508"/>
      <c r="E31" s="508"/>
      <c r="F31" s="508"/>
      <c r="G31" s="22"/>
      <c r="H31" s="68"/>
      <c r="I31" s="481"/>
      <c r="J31" s="481"/>
      <c r="K31" s="94"/>
      <c r="L31" s="77"/>
      <c r="M31" s="78"/>
    </row>
    <row r="32" spans="2:22" ht="20.149999999999999" customHeight="1" x14ac:dyDescent="0.45">
      <c r="B32" s="34"/>
      <c r="C32" s="22"/>
      <c r="D32" s="508"/>
      <c r="E32" s="508"/>
      <c r="F32" s="508"/>
      <c r="G32" s="22"/>
      <c r="H32" s="68"/>
      <c r="I32" s="481"/>
      <c r="J32" s="481"/>
      <c r="K32" s="94"/>
      <c r="L32" s="77"/>
      <c r="M32" s="78"/>
    </row>
    <row r="33" spans="2:13" ht="20.149999999999999" customHeight="1" x14ac:dyDescent="0.45">
      <c r="B33" s="34"/>
      <c r="C33" s="22"/>
      <c r="D33" s="508"/>
      <c r="E33" s="508"/>
      <c r="F33" s="508"/>
      <c r="G33" s="22"/>
      <c r="H33" s="68"/>
      <c r="I33" s="481"/>
      <c r="J33" s="481"/>
      <c r="K33" s="94"/>
      <c r="L33" s="77"/>
      <c r="M33" s="78"/>
    </row>
    <row r="34" spans="2:13" ht="20.149999999999999" customHeight="1" x14ac:dyDescent="0.45">
      <c r="B34" s="34"/>
      <c r="C34" s="22"/>
      <c r="D34" s="508"/>
      <c r="E34" s="508"/>
      <c r="F34" s="508"/>
      <c r="G34" s="22"/>
      <c r="H34" s="68"/>
      <c r="I34" s="481"/>
      <c r="J34" s="481"/>
      <c r="K34" s="94"/>
      <c r="L34" s="77"/>
    </row>
    <row r="35" spans="2:13" ht="20.149999999999999" customHeight="1" thickBot="1" x14ac:dyDescent="0.5">
      <c r="B35" s="37"/>
      <c r="C35" s="38"/>
      <c r="D35" s="509"/>
      <c r="E35" s="509"/>
      <c r="F35" s="509"/>
      <c r="G35" s="38"/>
      <c r="H35" s="69"/>
      <c r="I35" s="451"/>
      <c r="J35" s="451"/>
      <c r="K35" s="39"/>
      <c r="L35" s="40"/>
    </row>
    <row r="36" spans="2:13" ht="20.149999999999999" customHeight="1" thickBot="1" x14ac:dyDescent="0.5">
      <c r="B36" s="41"/>
      <c r="L36" s="42"/>
    </row>
    <row r="37" spans="2:13" ht="20.149999999999999" customHeight="1" x14ac:dyDescent="0.45">
      <c r="B37" s="11" t="s">
        <v>18</v>
      </c>
      <c r="C37" s="7"/>
      <c r="D37" s="7"/>
      <c r="E37" s="7"/>
      <c r="F37" s="7"/>
      <c r="G37" s="7"/>
      <c r="H37" s="7"/>
      <c r="I37" s="7"/>
      <c r="J37" s="510" t="s">
        <v>15</v>
      </c>
      <c r="K37" s="511"/>
      <c r="L37" s="43">
        <f>SUM(L17:L34)</f>
        <v>6</v>
      </c>
      <c r="M37" s="76">
        <f>166+26</f>
        <v>192</v>
      </c>
    </row>
    <row r="38" spans="2:13" ht="20.149999999999999" customHeight="1" x14ac:dyDescent="0.45">
      <c r="B38" s="11" t="s">
        <v>19</v>
      </c>
      <c r="C38" s="7"/>
      <c r="D38" s="7"/>
      <c r="E38" s="7"/>
      <c r="F38" s="7"/>
      <c r="G38" s="7"/>
      <c r="H38" s="7"/>
      <c r="I38" s="7"/>
      <c r="J38" s="44" t="s">
        <v>22</v>
      </c>
      <c r="K38" s="45"/>
      <c r="L38" s="46">
        <f>L37*K38</f>
        <v>0</v>
      </c>
    </row>
    <row r="39" spans="2:13" ht="20.149999999999999" customHeight="1" x14ac:dyDescent="0.45">
      <c r="B39" s="11" t="s">
        <v>20</v>
      </c>
      <c r="C39" s="7"/>
      <c r="D39" s="7"/>
      <c r="E39" s="7"/>
      <c r="F39" s="7"/>
      <c r="G39" s="7"/>
      <c r="H39" s="7"/>
      <c r="I39" s="7"/>
      <c r="J39" s="486" t="s">
        <v>21</v>
      </c>
      <c r="K39" s="487"/>
      <c r="L39" s="46">
        <f>L37-L38</f>
        <v>6</v>
      </c>
    </row>
    <row r="40" spans="2:13" ht="20.149999999999999" customHeight="1" x14ac:dyDescent="0.45">
      <c r="B40" s="11" t="s">
        <v>24</v>
      </c>
      <c r="C40" s="7"/>
      <c r="D40" s="7"/>
      <c r="E40" s="7"/>
      <c r="F40" s="7"/>
      <c r="G40" s="7"/>
      <c r="H40" s="7"/>
      <c r="I40" s="7"/>
      <c r="J40" s="150" t="s">
        <v>17</v>
      </c>
      <c r="K40" s="151">
        <v>7.0000000000000007E-2</v>
      </c>
      <c r="L40" s="47">
        <f>L39*K40</f>
        <v>0.42000000000000004</v>
      </c>
    </row>
    <row r="41" spans="2:13" ht="20.149999999999999" customHeight="1" thickBot="1" x14ac:dyDescent="0.5">
      <c r="B41" s="11" t="s">
        <v>25</v>
      </c>
      <c r="C41" s="7"/>
      <c r="D41" s="7"/>
      <c r="E41" s="7"/>
      <c r="F41" s="7"/>
      <c r="G41" s="7"/>
      <c r="H41" s="7"/>
      <c r="I41" s="7"/>
      <c r="J41" s="488" t="s">
        <v>23</v>
      </c>
      <c r="K41" s="489"/>
      <c r="L41" s="48">
        <f>L39+L40</f>
        <v>6.42</v>
      </c>
    </row>
    <row r="42" spans="2:13" ht="20.149999999999999" customHeight="1" x14ac:dyDescent="0.45">
      <c r="B42" s="11" t="s">
        <v>26</v>
      </c>
      <c r="C42" s="7"/>
      <c r="D42" s="7"/>
      <c r="E42" s="7"/>
      <c r="F42" s="7"/>
      <c r="G42" s="7"/>
      <c r="H42" s="7"/>
      <c r="I42" s="7"/>
      <c r="L42" s="42"/>
    </row>
    <row r="43" spans="2:13" ht="20.149999999999999" customHeight="1" x14ac:dyDescent="0.45">
      <c r="B43" s="41"/>
      <c r="L43" s="42"/>
    </row>
    <row r="44" spans="2:13" ht="20.149999999999999" customHeight="1" x14ac:dyDescent="0.45">
      <c r="B44" s="41"/>
      <c r="L44" s="42"/>
    </row>
    <row r="45" spans="2:13" ht="20.149999999999999" customHeight="1" x14ac:dyDescent="0.45">
      <c r="B45" s="41"/>
      <c r="L45" s="42"/>
    </row>
    <row r="46" spans="2:13" ht="20.149999999999999" customHeight="1" x14ac:dyDescent="0.45">
      <c r="B46" s="41"/>
      <c r="L46" s="42"/>
    </row>
    <row r="47" spans="2:13" ht="20.149999999999999" customHeight="1" x14ac:dyDescent="0.45">
      <c r="B47" s="49"/>
      <c r="C47" s="50"/>
      <c r="D47" s="50"/>
      <c r="J47" s="50"/>
      <c r="K47" s="50"/>
      <c r="L47" s="51"/>
    </row>
    <row r="48" spans="2:13" ht="20.149999999999999" customHeight="1" x14ac:dyDescent="0.45">
      <c r="B48" s="41" t="s">
        <v>27</v>
      </c>
      <c r="J48" s="24" t="s">
        <v>28</v>
      </c>
      <c r="L48" s="42"/>
    </row>
    <row r="49" spans="2:12" ht="19" thickBot="1" x14ac:dyDescent="0.5">
      <c r="B49" s="52"/>
      <c r="C49" s="53"/>
      <c r="D49" s="53"/>
      <c r="E49" s="53"/>
      <c r="F49" s="53"/>
      <c r="G49" s="53"/>
      <c r="H49" s="53"/>
      <c r="I49" s="53"/>
      <c r="J49" s="53"/>
      <c r="K49" s="53"/>
      <c r="L49" s="54"/>
    </row>
  </sheetData>
  <mergeCells count="51">
    <mergeCell ref="B1:L8"/>
    <mergeCell ref="D33:F33"/>
    <mergeCell ref="I33:J33"/>
    <mergeCell ref="J41:K41"/>
    <mergeCell ref="D34:F34"/>
    <mergeCell ref="I34:J34"/>
    <mergeCell ref="D35:F35"/>
    <mergeCell ref="I35:J35"/>
    <mergeCell ref="J37:K37"/>
    <mergeCell ref="J39:K39"/>
    <mergeCell ref="I29:J29"/>
    <mergeCell ref="D31:F31"/>
    <mergeCell ref="I31:J31"/>
    <mergeCell ref="D32:F32"/>
    <mergeCell ref="I32:J32"/>
    <mergeCell ref="D21:F21"/>
    <mergeCell ref="I21:J21"/>
    <mergeCell ref="D22:F22"/>
    <mergeCell ref="I22:J22"/>
    <mergeCell ref="D30:F30"/>
    <mergeCell ref="I30:J30"/>
    <mergeCell ref="D23:F23"/>
    <mergeCell ref="I23:J23"/>
    <mergeCell ref="D24:F24"/>
    <mergeCell ref="I24:J24"/>
    <mergeCell ref="D25:F25"/>
    <mergeCell ref="I25:J25"/>
    <mergeCell ref="I26:J26"/>
    <mergeCell ref="I27:J27"/>
    <mergeCell ref="I28:J28"/>
    <mergeCell ref="D29:F29"/>
    <mergeCell ref="D19:F19"/>
    <mergeCell ref="I19:J19"/>
    <mergeCell ref="D20:F20"/>
    <mergeCell ref="I20:J20"/>
    <mergeCell ref="D17:F17"/>
    <mergeCell ref="I17:J17"/>
    <mergeCell ref="D18:F18"/>
    <mergeCell ref="I18:J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6" orientation="portrait" verticalDpi="300" r:id="rId1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83F611-2264-4134-BC0F-F83D65E0EB25}">
  <sheetPr codeName="Sheet130">
    <tabColor rgb="FF996600"/>
    <pageSetUpPr fitToPage="1"/>
  </sheetPr>
  <dimension ref="B5:V47"/>
  <sheetViews>
    <sheetView topLeftCell="B5" workbookViewId="0">
      <selection activeCell="B5" sqref="B5:L47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6.54296875" style="24" customWidth="1"/>
    <col min="7" max="7" width="8.54296875" style="24" customWidth="1"/>
    <col min="8" max="8" width="12.54296875" style="24" customWidth="1"/>
    <col min="9" max="9" width="2.54296875" style="24" customWidth="1"/>
    <col min="10" max="10" width="15.54296875" style="24" customWidth="1"/>
    <col min="11" max="12" width="12.54296875" style="24" customWidth="1"/>
    <col min="13" max="16384" width="12.54296875" style="24"/>
  </cols>
  <sheetData>
    <row r="5" spans="2:22" ht="19" thickBot="1" x14ac:dyDescent="0.5">
      <c r="B5" s="23"/>
    </row>
    <row r="6" spans="2:22" ht="18" customHeight="1" thickTop="1" thickBot="1" x14ac:dyDescent="0.5">
      <c r="B6" s="25" t="s">
        <v>9</v>
      </c>
      <c r="C6" s="25"/>
      <c r="D6" s="26"/>
      <c r="E6" s="26"/>
      <c r="F6" s="27" t="s">
        <v>10</v>
      </c>
      <c r="G6" s="28"/>
      <c r="H6" s="28" t="s">
        <v>836</v>
      </c>
      <c r="J6" s="29" t="s">
        <v>29</v>
      </c>
      <c r="K6" s="452">
        <v>201904050</v>
      </c>
      <c r="L6" s="453"/>
    </row>
    <row r="7" spans="2:22" ht="20.149999999999999" customHeight="1" x14ac:dyDescent="0.45">
      <c r="B7" s="454"/>
      <c r="C7" s="455"/>
      <c r="D7" s="456"/>
      <c r="E7" s="30"/>
      <c r="F7" s="457" t="str">
        <f>VLOOKUP(H6,'Delivery Location'!A$4:N$416,2,0)</f>
        <v>Tel: 90087698                                         690 Upper changi Road East #B3-02. Upper Changi MRT Station Singapore 485990</v>
      </c>
      <c r="G7" s="458"/>
      <c r="H7" s="459"/>
      <c r="J7" s="31" t="s">
        <v>11</v>
      </c>
      <c r="K7" s="551">
        <v>43865</v>
      </c>
      <c r="L7" s="472"/>
    </row>
    <row r="8" spans="2:22" ht="20.149999999999999" customHeight="1" x14ac:dyDescent="0.45">
      <c r="B8" s="468"/>
      <c r="C8" s="469"/>
      <c r="D8" s="470"/>
      <c r="E8" s="30"/>
      <c r="F8" s="460"/>
      <c r="G8" s="461"/>
      <c r="H8" s="462"/>
      <c r="J8" s="31" t="s">
        <v>171</v>
      </c>
      <c r="K8" s="471" t="s">
        <v>533</v>
      </c>
      <c r="L8" s="472"/>
    </row>
    <row r="9" spans="2:22" ht="20.149999999999999" customHeight="1" x14ac:dyDescent="0.45">
      <c r="B9" s="468"/>
      <c r="C9" s="469"/>
      <c r="D9" s="470"/>
      <c r="E9" s="30"/>
      <c r="F9" s="460"/>
      <c r="G9" s="461"/>
      <c r="H9" s="462"/>
      <c r="J9" s="31" t="s">
        <v>12</v>
      </c>
      <c r="K9" s="471" t="s">
        <v>688</v>
      </c>
      <c r="L9" s="472"/>
    </row>
    <row r="10" spans="2:22" ht="20.149999999999999" customHeight="1" x14ac:dyDescent="0.45">
      <c r="B10" s="468"/>
      <c r="C10" s="469"/>
      <c r="D10" s="470"/>
      <c r="E10" s="30"/>
      <c r="F10" s="460"/>
      <c r="G10" s="461"/>
      <c r="H10" s="462"/>
      <c r="J10" s="31" t="s">
        <v>30</v>
      </c>
      <c r="K10" s="471" t="s">
        <v>16</v>
      </c>
      <c r="L10" s="472"/>
    </row>
    <row r="11" spans="2:22" ht="18" customHeight="1" thickBot="1" x14ac:dyDescent="0.5">
      <c r="B11" s="552"/>
      <c r="C11" s="474"/>
      <c r="D11" s="475"/>
      <c r="E11" s="26"/>
      <c r="F11" s="463"/>
      <c r="G11" s="464"/>
      <c r="H11" s="465"/>
      <c r="J11" s="32" t="s">
        <v>13</v>
      </c>
      <c r="K11" s="476"/>
      <c r="L11" s="477"/>
    </row>
    <row r="12" spans="2:22" ht="19" thickBot="1" x14ac:dyDescent="0.5">
      <c r="J12" s="22"/>
    </row>
    <row r="13" spans="2:22" ht="30" customHeight="1" thickBot="1" x14ac:dyDescent="0.5">
      <c r="B13" s="8" t="s">
        <v>2</v>
      </c>
      <c r="C13" s="9" t="s">
        <v>3</v>
      </c>
      <c r="D13" s="478" t="s">
        <v>4</v>
      </c>
      <c r="E13" s="483"/>
      <c r="F13" s="479"/>
      <c r="G13" s="19" t="s">
        <v>620</v>
      </c>
      <c r="H13" s="8" t="s">
        <v>622</v>
      </c>
      <c r="I13" s="478" t="s">
        <v>621</v>
      </c>
      <c r="J13" s="479"/>
      <c r="K13" s="9" t="s">
        <v>6</v>
      </c>
      <c r="L13" s="10" t="s">
        <v>7</v>
      </c>
      <c r="M13" s="33"/>
      <c r="N13" s="33"/>
      <c r="O13" s="33"/>
    </row>
    <row r="14" spans="2:22" ht="20.149999999999999" customHeight="1" x14ac:dyDescent="0.45">
      <c r="B14" s="34"/>
      <c r="C14" s="22" t="s">
        <v>400</v>
      </c>
      <c r="D14" s="508" t="e">
        <f>VLOOKUP(C14,'Sales Master'!B$3:D$499,2,)</f>
        <v>#N/A</v>
      </c>
      <c r="E14" s="508"/>
      <c r="F14" s="508"/>
      <c r="G14" s="90">
        <v>5</v>
      </c>
      <c r="H14" s="68" t="e">
        <f>VLOOKUP(C14,'Sales Master'!$B$3:$E$590,4,0)</f>
        <v>#N/A</v>
      </c>
      <c r="I14" s="481" t="e">
        <f>VLOOKUP(C14,'Sales Master'!$B$3:F$590,5,0)</f>
        <v>#N/A</v>
      </c>
      <c r="J14" s="481"/>
      <c r="K14" s="94" t="e">
        <f>VLOOKUP(C14,'Sales Master'!B$3:BD$499,55,0)</f>
        <v>#N/A</v>
      </c>
      <c r="L14" s="77" t="e">
        <f>K14*G14</f>
        <v>#N/A</v>
      </c>
      <c r="M14" s="78"/>
      <c r="N14" s="125" t="s">
        <v>381</v>
      </c>
      <c r="O14" s="24" t="s">
        <v>284</v>
      </c>
      <c r="R14" s="24">
        <v>1</v>
      </c>
      <c r="S14" s="24" t="s">
        <v>36</v>
      </c>
      <c r="T14" s="24" t="s">
        <v>740</v>
      </c>
      <c r="V14" s="24">
        <v>30</v>
      </c>
    </row>
    <row r="15" spans="2:22" ht="20.149999999999999" customHeight="1" x14ac:dyDescent="0.45">
      <c r="B15" s="34"/>
      <c r="C15" s="22" t="s">
        <v>405</v>
      </c>
      <c r="D15" s="508" t="e">
        <f>VLOOKUP(C15,'Sales Master'!B$3:D$499,2,)</f>
        <v>#N/A</v>
      </c>
      <c r="E15" s="508"/>
      <c r="F15" s="508"/>
      <c r="G15" s="90">
        <v>5</v>
      </c>
      <c r="H15" s="68" t="e">
        <f>VLOOKUP(C15,'Sales Master'!$B$3:$E$590,4,0)</f>
        <v>#N/A</v>
      </c>
      <c r="I15" s="481" t="e">
        <f>VLOOKUP(C15,'Sales Master'!$B$3:F$590,5,0)</f>
        <v>#N/A</v>
      </c>
      <c r="J15" s="481"/>
      <c r="K15" s="94" t="e">
        <f>VLOOKUP(C15,'Sales Master'!B$3:BD$499,55,0)</f>
        <v>#N/A</v>
      </c>
      <c r="L15" s="77" t="e">
        <f>K15*G15</f>
        <v>#N/A</v>
      </c>
      <c r="M15" s="78"/>
      <c r="N15" s="125" t="s">
        <v>413</v>
      </c>
      <c r="O15" s="24" t="s">
        <v>312</v>
      </c>
      <c r="R15" s="24">
        <v>2</v>
      </c>
      <c r="S15" s="24" t="s">
        <v>256</v>
      </c>
      <c r="T15" s="24" t="s">
        <v>34</v>
      </c>
      <c r="V15" s="24">
        <v>13</v>
      </c>
    </row>
    <row r="16" spans="2:22" ht="20.149999999999999" customHeight="1" x14ac:dyDescent="0.45">
      <c r="B16" s="34"/>
      <c r="C16" s="22"/>
      <c r="D16" s="508"/>
      <c r="E16" s="508"/>
      <c r="F16" s="508"/>
      <c r="G16" s="90"/>
      <c r="H16" s="68"/>
      <c r="I16" s="481"/>
      <c r="J16" s="481"/>
      <c r="K16" s="94"/>
      <c r="L16" s="77"/>
      <c r="M16" s="78"/>
      <c r="N16" s="125" t="s">
        <v>422</v>
      </c>
      <c r="O16" s="24" t="s">
        <v>315</v>
      </c>
      <c r="R16" s="24">
        <v>1</v>
      </c>
      <c r="S16" s="24" t="s">
        <v>57</v>
      </c>
      <c r="T16" s="24" t="s">
        <v>34</v>
      </c>
      <c r="V16" s="24">
        <v>8.5</v>
      </c>
    </row>
    <row r="17" spans="2:22" ht="20.149999999999999" customHeight="1" x14ac:dyDescent="0.45">
      <c r="B17" s="34"/>
      <c r="C17" s="22"/>
      <c r="D17" s="508"/>
      <c r="E17" s="508"/>
      <c r="F17" s="508"/>
      <c r="G17" s="90"/>
      <c r="H17" s="68"/>
      <c r="I17" s="481"/>
      <c r="J17" s="481"/>
      <c r="K17" s="94"/>
      <c r="L17" s="77"/>
      <c r="M17" s="78"/>
      <c r="N17" s="125" t="s">
        <v>447</v>
      </c>
      <c r="O17" s="24" t="s">
        <v>459</v>
      </c>
      <c r="R17" s="24">
        <v>1</v>
      </c>
      <c r="S17" s="24" t="s">
        <v>260</v>
      </c>
      <c r="T17" s="24" t="s">
        <v>709</v>
      </c>
      <c r="V17" s="24">
        <v>32</v>
      </c>
    </row>
    <row r="18" spans="2:22" ht="20.149999999999999" customHeight="1" x14ac:dyDescent="0.45">
      <c r="B18" s="34"/>
      <c r="C18" s="22"/>
      <c r="D18" s="508"/>
      <c r="E18" s="508"/>
      <c r="F18" s="508"/>
      <c r="G18" s="90"/>
      <c r="H18" s="68"/>
      <c r="I18" s="481"/>
      <c r="J18" s="481"/>
      <c r="K18" s="94"/>
      <c r="L18" s="77"/>
      <c r="M18" s="78"/>
    </row>
    <row r="19" spans="2:22" ht="20.149999999999999" customHeight="1" x14ac:dyDescent="0.45">
      <c r="B19" s="34"/>
      <c r="C19" s="22"/>
      <c r="D19" s="508"/>
      <c r="E19" s="508"/>
      <c r="F19" s="508"/>
      <c r="G19" s="90"/>
      <c r="H19" s="68"/>
      <c r="I19" s="481"/>
      <c r="J19" s="481"/>
      <c r="K19" s="94"/>
      <c r="L19" s="77"/>
      <c r="M19" s="78"/>
    </row>
    <row r="20" spans="2:22" ht="20.149999999999999" customHeight="1" x14ac:dyDescent="0.45">
      <c r="B20" s="34"/>
      <c r="C20" s="22"/>
      <c r="D20" s="508"/>
      <c r="E20" s="508"/>
      <c r="F20" s="508"/>
      <c r="G20" s="90"/>
      <c r="H20" s="68"/>
      <c r="I20" s="481"/>
      <c r="J20" s="481"/>
      <c r="K20" s="94"/>
      <c r="L20" s="77"/>
      <c r="M20" s="78"/>
    </row>
    <row r="21" spans="2:22" ht="20.149999999999999" customHeight="1" x14ac:dyDescent="0.45">
      <c r="B21" s="34"/>
      <c r="C21" s="22"/>
      <c r="D21" s="508"/>
      <c r="E21" s="508"/>
      <c r="F21" s="508"/>
      <c r="G21" s="90"/>
      <c r="H21" s="68"/>
      <c r="I21" s="481"/>
      <c r="J21" s="481"/>
      <c r="K21" s="94"/>
      <c r="L21" s="77"/>
      <c r="M21" s="78"/>
    </row>
    <row r="22" spans="2:22" ht="20.149999999999999" customHeight="1" x14ac:dyDescent="0.45">
      <c r="B22" s="34"/>
      <c r="C22" s="22"/>
      <c r="D22" s="508"/>
      <c r="E22" s="508"/>
      <c r="F22" s="508"/>
      <c r="G22" s="90"/>
      <c r="H22" s="68"/>
      <c r="I22" s="481"/>
      <c r="J22" s="481"/>
      <c r="K22" s="94"/>
      <c r="L22" s="77"/>
      <c r="M22" s="78"/>
    </row>
    <row r="23" spans="2:22" ht="20.149999999999999" customHeight="1" x14ac:dyDescent="0.45">
      <c r="B23" s="34"/>
      <c r="C23" s="22"/>
      <c r="D23" s="508"/>
      <c r="E23" s="508"/>
      <c r="F23" s="508"/>
      <c r="G23" s="90"/>
      <c r="H23" s="68"/>
      <c r="I23" s="481"/>
      <c r="J23" s="481"/>
      <c r="K23" s="94"/>
      <c r="L23" s="77"/>
      <c r="M23" s="78"/>
    </row>
    <row r="24" spans="2:22" ht="20.149999999999999" customHeight="1" x14ac:dyDescent="0.45">
      <c r="B24" s="34"/>
      <c r="C24" s="22"/>
      <c r="G24" s="90"/>
      <c r="H24" s="68"/>
      <c r="I24" s="481"/>
      <c r="J24" s="481"/>
      <c r="K24" s="94"/>
      <c r="L24" s="77"/>
      <c r="M24" s="78"/>
    </row>
    <row r="25" spans="2:22" ht="20.149999999999999" customHeight="1" x14ac:dyDescent="0.45">
      <c r="B25" s="34"/>
      <c r="C25" s="22"/>
      <c r="G25" s="90"/>
      <c r="H25" s="68"/>
      <c r="I25" s="481"/>
      <c r="J25" s="481"/>
      <c r="K25" s="94"/>
      <c r="L25" s="77"/>
      <c r="M25" s="78"/>
    </row>
    <row r="26" spans="2:22" ht="20.149999999999999" customHeight="1" x14ac:dyDescent="0.45">
      <c r="B26" s="34"/>
      <c r="C26" s="22"/>
      <c r="G26" s="90"/>
      <c r="H26" s="68"/>
      <c r="I26" s="481"/>
      <c r="J26" s="481"/>
      <c r="K26" s="94"/>
      <c r="L26" s="77"/>
      <c r="M26" s="78"/>
    </row>
    <row r="27" spans="2:22" ht="20.149999999999999" customHeight="1" x14ac:dyDescent="0.45">
      <c r="B27" s="34"/>
      <c r="C27" s="22"/>
      <c r="G27" s="22"/>
      <c r="H27" s="68"/>
      <c r="I27" s="481"/>
      <c r="J27" s="481"/>
      <c r="K27" s="94"/>
      <c r="L27" s="77"/>
      <c r="M27" s="78"/>
    </row>
    <row r="28" spans="2:22" ht="20.149999999999999" customHeight="1" x14ac:dyDescent="0.45">
      <c r="B28" s="34"/>
      <c r="C28" s="22"/>
      <c r="G28" s="22"/>
      <c r="H28" s="68"/>
      <c r="I28" s="481"/>
      <c r="J28" s="481"/>
      <c r="K28" s="94"/>
      <c r="L28" s="77"/>
      <c r="M28" s="78"/>
    </row>
    <row r="29" spans="2:22" ht="20.149999999999999" customHeight="1" x14ac:dyDescent="0.45">
      <c r="B29" s="34"/>
      <c r="C29" s="22"/>
      <c r="D29" s="508"/>
      <c r="E29" s="508"/>
      <c r="F29" s="508"/>
      <c r="G29" s="22"/>
      <c r="H29" s="68"/>
      <c r="I29" s="481"/>
      <c r="J29" s="481"/>
      <c r="K29" s="94"/>
      <c r="L29" s="77"/>
      <c r="M29" s="78"/>
    </row>
    <row r="30" spans="2:22" ht="20.149999999999999" customHeight="1" x14ac:dyDescent="0.45">
      <c r="B30" s="34"/>
      <c r="C30" s="22"/>
      <c r="D30" s="508"/>
      <c r="E30" s="508"/>
      <c r="F30" s="508"/>
      <c r="G30" s="22"/>
      <c r="H30" s="68"/>
      <c r="I30" s="481"/>
      <c r="J30" s="481"/>
      <c r="K30" s="94"/>
      <c r="L30" s="77"/>
      <c r="M30" s="78"/>
    </row>
    <row r="31" spans="2:22" ht="20.149999999999999" customHeight="1" x14ac:dyDescent="0.45">
      <c r="B31" s="34"/>
      <c r="C31" s="22"/>
      <c r="D31" s="508"/>
      <c r="E31" s="508"/>
      <c r="F31" s="508"/>
      <c r="G31" s="22"/>
      <c r="H31" s="68"/>
      <c r="I31" s="481"/>
      <c r="J31" s="481"/>
      <c r="K31" s="94"/>
      <c r="L31" s="77"/>
      <c r="M31" s="78"/>
    </row>
    <row r="32" spans="2:22" ht="20.149999999999999" customHeight="1" x14ac:dyDescent="0.45">
      <c r="B32" s="34"/>
      <c r="C32" s="22"/>
      <c r="D32" s="508"/>
      <c r="E32" s="508"/>
      <c r="F32" s="508"/>
      <c r="G32" s="22"/>
      <c r="H32" s="68"/>
      <c r="I32" s="481"/>
      <c r="J32" s="481"/>
      <c r="K32" s="94"/>
      <c r="L32" s="77"/>
    </row>
    <row r="33" spans="2:13" ht="20.149999999999999" customHeight="1" thickBot="1" x14ac:dyDescent="0.5">
      <c r="B33" s="37"/>
      <c r="C33" s="38"/>
      <c r="D33" s="509"/>
      <c r="E33" s="509"/>
      <c r="F33" s="509"/>
      <c r="G33" s="38"/>
      <c r="H33" s="69"/>
      <c r="I33" s="451"/>
      <c r="J33" s="451"/>
      <c r="K33" s="39"/>
      <c r="L33" s="40"/>
    </row>
    <row r="34" spans="2:13" ht="20.149999999999999" customHeight="1" thickBot="1" x14ac:dyDescent="0.5">
      <c r="B34" s="41"/>
      <c r="L34" s="42"/>
    </row>
    <row r="35" spans="2:13" ht="20.149999999999999" customHeight="1" x14ac:dyDescent="0.45">
      <c r="B35" s="11" t="s">
        <v>18</v>
      </c>
      <c r="C35" s="7"/>
      <c r="D35" s="7"/>
      <c r="E35" s="7"/>
      <c r="F35" s="7"/>
      <c r="G35" s="7"/>
      <c r="H35" s="7"/>
      <c r="I35" s="7"/>
      <c r="J35" s="510" t="s">
        <v>15</v>
      </c>
      <c r="K35" s="511"/>
      <c r="L35" s="43" t="e">
        <f>SUM(L13:L33)</f>
        <v>#N/A</v>
      </c>
      <c r="M35" s="76">
        <f>166+26</f>
        <v>192</v>
      </c>
    </row>
    <row r="36" spans="2:13" ht="20.149999999999999" customHeight="1" x14ac:dyDescent="0.45">
      <c r="B36" s="11" t="s">
        <v>19</v>
      </c>
      <c r="C36" s="7"/>
      <c r="D36" s="7"/>
      <c r="E36" s="7"/>
      <c r="F36" s="7"/>
      <c r="G36" s="7"/>
      <c r="H36" s="7"/>
      <c r="I36" s="7"/>
      <c r="J36" s="44" t="s">
        <v>22</v>
      </c>
      <c r="K36" s="45"/>
      <c r="L36" s="46" t="e">
        <f>L35*K36</f>
        <v>#N/A</v>
      </c>
    </row>
    <row r="37" spans="2:13" ht="20.149999999999999" customHeight="1" x14ac:dyDescent="0.45">
      <c r="B37" s="11" t="s">
        <v>20</v>
      </c>
      <c r="C37" s="7"/>
      <c r="D37" s="7"/>
      <c r="E37" s="7"/>
      <c r="F37" s="7"/>
      <c r="G37" s="7"/>
      <c r="H37" s="7"/>
      <c r="I37" s="7"/>
      <c r="J37" s="486" t="s">
        <v>21</v>
      </c>
      <c r="K37" s="487"/>
      <c r="L37" s="46" t="e">
        <f>L35-L36</f>
        <v>#N/A</v>
      </c>
    </row>
    <row r="38" spans="2:13" ht="20.149999999999999" customHeight="1" x14ac:dyDescent="0.45">
      <c r="B38" s="11" t="s">
        <v>24</v>
      </c>
      <c r="C38" s="7"/>
      <c r="D38" s="7"/>
      <c r="E38" s="7"/>
      <c r="F38" s="7"/>
      <c r="G38" s="7"/>
      <c r="H38" s="7"/>
      <c r="I38" s="7"/>
      <c r="J38" s="150" t="s">
        <v>17</v>
      </c>
      <c r="K38" s="151">
        <v>7.0000000000000007E-2</v>
      </c>
      <c r="L38" s="47" t="e">
        <f>L37*K38</f>
        <v>#N/A</v>
      </c>
    </row>
    <row r="39" spans="2:13" ht="20.149999999999999" customHeight="1" thickBot="1" x14ac:dyDescent="0.5">
      <c r="B39" s="11" t="s">
        <v>25</v>
      </c>
      <c r="C39" s="7"/>
      <c r="D39" s="7"/>
      <c r="E39" s="7"/>
      <c r="F39" s="7"/>
      <c r="G39" s="7"/>
      <c r="H39" s="7"/>
      <c r="I39" s="7"/>
      <c r="J39" s="488" t="s">
        <v>23</v>
      </c>
      <c r="K39" s="489"/>
      <c r="L39" s="48" t="e">
        <f>L37+L38</f>
        <v>#N/A</v>
      </c>
    </row>
    <row r="40" spans="2:13" x14ac:dyDescent="0.45">
      <c r="B40" s="11" t="s">
        <v>26</v>
      </c>
      <c r="C40" s="7"/>
      <c r="D40" s="7"/>
      <c r="E40" s="7"/>
      <c r="F40" s="7"/>
      <c r="G40" s="7"/>
      <c r="H40" s="7"/>
      <c r="I40" s="7"/>
      <c r="L40" s="42"/>
    </row>
    <row r="41" spans="2:13" ht="20.149999999999999" customHeight="1" x14ac:dyDescent="0.45">
      <c r="B41" s="41"/>
      <c r="L41" s="42"/>
    </row>
    <row r="42" spans="2:13" ht="20.149999999999999" customHeight="1" x14ac:dyDescent="0.45">
      <c r="B42" s="41"/>
      <c r="L42" s="42"/>
    </row>
    <row r="43" spans="2:13" ht="20.149999999999999" customHeight="1" x14ac:dyDescent="0.45">
      <c r="B43" s="41"/>
      <c r="L43" s="42"/>
    </row>
    <row r="44" spans="2:13" ht="20.149999999999999" customHeight="1" x14ac:dyDescent="0.45">
      <c r="B44" s="41"/>
      <c r="L44" s="42"/>
    </row>
    <row r="45" spans="2:13" ht="20.149999999999999" customHeight="1" x14ac:dyDescent="0.45">
      <c r="B45" s="49"/>
      <c r="C45" s="50"/>
      <c r="D45" s="50"/>
      <c r="J45" s="50"/>
      <c r="K45" s="50"/>
      <c r="L45" s="51"/>
    </row>
    <row r="46" spans="2:13" ht="20.149999999999999" customHeight="1" x14ac:dyDescent="0.45">
      <c r="B46" s="41" t="s">
        <v>27</v>
      </c>
      <c r="J46" s="24" t="s">
        <v>28</v>
      </c>
      <c r="L46" s="42"/>
    </row>
    <row r="47" spans="2:13" ht="19" thickBot="1" x14ac:dyDescent="0.5">
      <c r="B47" s="52"/>
      <c r="C47" s="53"/>
      <c r="D47" s="53"/>
      <c r="E47" s="53"/>
      <c r="F47" s="53"/>
      <c r="G47" s="53"/>
      <c r="H47" s="53"/>
      <c r="I47" s="53"/>
      <c r="J47" s="53"/>
      <c r="K47" s="53"/>
      <c r="L47" s="54"/>
    </row>
  </sheetData>
  <mergeCells count="52">
    <mergeCell ref="I28:J28"/>
    <mergeCell ref="J39:K39"/>
    <mergeCell ref="D30:F30"/>
    <mergeCell ref="I30:J30"/>
    <mergeCell ref="D31:F31"/>
    <mergeCell ref="I31:J31"/>
    <mergeCell ref="D32:F32"/>
    <mergeCell ref="I32:J32"/>
    <mergeCell ref="D33:F33"/>
    <mergeCell ref="I33:J33"/>
    <mergeCell ref="J35:K35"/>
    <mergeCell ref="J37:K37"/>
    <mergeCell ref="D19:F19"/>
    <mergeCell ref="I19:J19"/>
    <mergeCell ref="D20:F20"/>
    <mergeCell ref="I20:J20"/>
    <mergeCell ref="D29:F29"/>
    <mergeCell ref="I29:J29"/>
    <mergeCell ref="D21:F21"/>
    <mergeCell ref="I21:J21"/>
    <mergeCell ref="D22:F22"/>
    <mergeCell ref="I22:J22"/>
    <mergeCell ref="D23:F23"/>
    <mergeCell ref="I23:J23"/>
    <mergeCell ref="I24:J24"/>
    <mergeCell ref="I25:J25"/>
    <mergeCell ref="I26:J26"/>
    <mergeCell ref="I27:J27"/>
    <mergeCell ref="D16:F16"/>
    <mergeCell ref="I16:J16"/>
    <mergeCell ref="D17:F17"/>
    <mergeCell ref="I17:J17"/>
    <mergeCell ref="D18:F18"/>
    <mergeCell ref="I18:J18"/>
    <mergeCell ref="D13:F13"/>
    <mergeCell ref="I13:J13"/>
    <mergeCell ref="D14:F14"/>
    <mergeCell ref="I14:J14"/>
    <mergeCell ref="D15:F15"/>
    <mergeCell ref="I15:J15"/>
    <mergeCell ref="K6:L6"/>
    <mergeCell ref="B7:D7"/>
    <mergeCell ref="F7:H11"/>
    <mergeCell ref="K7:L7"/>
    <mergeCell ref="B8:D8"/>
    <mergeCell ref="K8:L8"/>
    <mergeCell ref="B9:D9"/>
    <mergeCell ref="K9:L9"/>
    <mergeCell ref="B10:D10"/>
    <mergeCell ref="K10:L10"/>
    <mergeCell ref="B11:D11"/>
    <mergeCell ref="K11:L11"/>
  </mergeCells>
  <pageMargins left="0.70866141732283505" right="0.31496062992126" top="2.1653543307086598" bottom="0" header="0.31496062992126" footer="0.31496062992126"/>
  <pageSetup paperSize="9" scale="76" orientation="portrait" verticalDpi="300"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020D81-DB92-400A-AB8E-282E5DD717AA}">
  <sheetPr codeName="Sheet133">
    <tabColor rgb="FF996600"/>
    <pageSetUpPr fitToPage="1"/>
  </sheetPr>
  <dimension ref="B1:O51"/>
  <sheetViews>
    <sheetView topLeftCell="A4" workbookViewId="0">
      <selection activeCell="B1" sqref="B1:L8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4.54296875" style="24" customWidth="1"/>
    <col min="7" max="7" width="8.54296875" style="24" customWidth="1"/>
    <col min="8" max="8" width="14.54296875" style="24" customWidth="1"/>
    <col min="9" max="9" width="0.54296875" style="24" customWidth="1"/>
    <col min="10" max="10" width="15.54296875" style="24" customWidth="1"/>
    <col min="11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994</v>
      </c>
      <c r="J10" s="29" t="s">
        <v>29</v>
      </c>
      <c r="K10" s="452">
        <v>202109105</v>
      </c>
      <c r="L10" s="453"/>
    </row>
    <row r="11" spans="2:12" ht="20.149999999999999" customHeight="1" x14ac:dyDescent="0.45">
      <c r="B11" s="454"/>
      <c r="C11" s="455"/>
      <c r="D11" s="456"/>
      <c r="E11" s="30"/>
      <c r="F11" s="457" t="str">
        <f>VLOOKUP(H10,'Delivery Location'!A$4:N$416,2,0)</f>
        <v>STEAM (OFC) PTE LTD                           10, Collyer Quay #B1-10 Ocean Financial Centre Singapore 049315</v>
      </c>
      <c r="G11" s="458"/>
      <c r="H11" s="459"/>
      <c r="J11" s="31" t="s">
        <v>11</v>
      </c>
      <c r="K11" s="551">
        <v>44446</v>
      </c>
      <c r="L11" s="472"/>
    </row>
    <row r="12" spans="2:12" ht="20.149999999999999" customHeight="1" x14ac:dyDescent="0.45">
      <c r="B12" s="468"/>
      <c r="C12" s="469"/>
      <c r="D12" s="470"/>
      <c r="E12" s="30"/>
      <c r="F12" s="460"/>
      <c r="G12" s="461"/>
      <c r="H12" s="462"/>
      <c r="J12" s="31" t="s">
        <v>171</v>
      </c>
      <c r="K12" s="471" t="s">
        <v>36</v>
      </c>
      <c r="L12" s="472"/>
    </row>
    <row r="13" spans="2:12" ht="20.149999999999999" customHeight="1" x14ac:dyDescent="0.45">
      <c r="B13" s="468"/>
      <c r="C13" s="469"/>
      <c r="D13" s="470"/>
      <c r="E13" s="30"/>
      <c r="F13" s="460"/>
      <c r="G13" s="461"/>
      <c r="H13" s="462"/>
      <c r="J13" s="31" t="s">
        <v>12</v>
      </c>
      <c r="K13" s="471" t="s">
        <v>688</v>
      </c>
      <c r="L13" s="472"/>
    </row>
    <row r="14" spans="2:12" ht="20.149999999999999" customHeight="1" x14ac:dyDescent="0.45">
      <c r="B14" s="468"/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55"/>
      <c r="C15" s="56"/>
      <c r="D15" s="57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15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3"/>
      <c r="O17" s="33"/>
    </row>
    <row r="18" spans="2:15" ht="20.149999999999999" customHeight="1" x14ac:dyDescent="0.45">
      <c r="B18" s="34"/>
      <c r="C18" s="22" t="s">
        <v>1460</v>
      </c>
      <c r="D18" s="508" t="str">
        <f>VLOOKUP(C18,'Sales Master'!B$3:D$499,2,)</f>
        <v>Coconut Sugar Syrup 椰糖浆</v>
      </c>
      <c r="E18" s="508"/>
      <c r="F18" s="508"/>
      <c r="G18" s="22">
        <v>4</v>
      </c>
      <c r="H18" s="68" t="str">
        <f>VLOOKUP(C18,'Sales Master'!$B$3:$F$3247,5,0)</f>
        <v>4L/BTL</v>
      </c>
      <c r="I18" s="481" t="str">
        <f>VLOOKUP(C18,'Sales Master'!$B$3:$E$3247,4,0)</f>
        <v>DO!</v>
      </c>
      <c r="J18" s="481"/>
      <c r="K18" s="35">
        <f>VLOOKUP(C18,'Sales Master'!$B$3:$BN$583,65,0)</f>
        <v>13</v>
      </c>
      <c r="L18" s="36">
        <f>K18*G18</f>
        <v>52</v>
      </c>
    </row>
    <row r="19" spans="2:15" ht="20.149999999999999" customHeight="1" x14ac:dyDescent="0.45">
      <c r="B19" s="34"/>
      <c r="C19" s="22"/>
      <c r="D19" s="508"/>
      <c r="E19" s="508"/>
      <c r="F19" s="508"/>
      <c r="G19" s="22"/>
      <c r="H19" s="68"/>
      <c r="I19" s="481"/>
      <c r="J19" s="481"/>
      <c r="K19" s="35"/>
      <c r="L19" s="36"/>
    </row>
    <row r="20" spans="2:15" ht="20.149999999999999" customHeight="1" x14ac:dyDescent="0.45">
      <c r="B20" s="34"/>
      <c r="C20" s="22"/>
      <c r="D20" s="508"/>
      <c r="E20" s="508"/>
      <c r="F20" s="508"/>
      <c r="G20" s="22"/>
      <c r="H20" s="68"/>
      <c r="I20" s="481"/>
      <c r="J20" s="481"/>
      <c r="K20" s="35"/>
      <c r="L20" s="36"/>
    </row>
    <row r="21" spans="2:15" ht="20.149999999999999" customHeight="1" x14ac:dyDescent="0.45">
      <c r="B21" s="34"/>
      <c r="C21" s="22"/>
      <c r="D21" s="508"/>
      <c r="E21" s="508"/>
      <c r="F21" s="508"/>
      <c r="G21" s="22"/>
      <c r="H21" s="68"/>
      <c r="I21" s="450"/>
      <c r="J21" s="450"/>
      <c r="K21" s="35"/>
      <c r="L21" s="36"/>
    </row>
    <row r="22" spans="2:15" ht="20.149999999999999" customHeight="1" x14ac:dyDescent="0.45">
      <c r="B22" s="34"/>
      <c r="C22" s="22"/>
      <c r="D22" s="508"/>
      <c r="E22" s="508"/>
      <c r="F22" s="508"/>
      <c r="G22" s="22"/>
      <c r="H22" s="68"/>
      <c r="I22" s="450"/>
      <c r="J22" s="450"/>
      <c r="K22" s="35"/>
      <c r="L22" s="36"/>
    </row>
    <row r="23" spans="2:15" ht="20.149999999999999" customHeight="1" x14ac:dyDescent="0.45">
      <c r="B23" s="34"/>
      <c r="C23" s="22"/>
      <c r="D23" s="508"/>
      <c r="E23" s="508"/>
      <c r="F23" s="508"/>
      <c r="G23" s="22"/>
      <c r="H23" s="68"/>
      <c r="I23" s="450"/>
      <c r="J23" s="450"/>
      <c r="K23" s="35"/>
      <c r="L23" s="36"/>
    </row>
    <row r="24" spans="2:15" ht="20.149999999999999" customHeight="1" x14ac:dyDescent="0.45">
      <c r="B24" s="34"/>
      <c r="C24" s="22"/>
      <c r="D24" s="508"/>
      <c r="E24" s="508"/>
      <c r="F24" s="508"/>
      <c r="G24" s="22"/>
      <c r="H24" s="68"/>
      <c r="I24" s="450"/>
      <c r="J24" s="450"/>
      <c r="K24" s="35"/>
      <c r="L24" s="36"/>
    </row>
    <row r="25" spans="2:15" ht="20.149999999999999" customHeight="1" x14ac:dyDescent="0.45">
      <c r="B25" s="34"/>
      <c r="C25" s="22"/>
      <c r="D25" s="508"/>
      <c r="E25" s="508"/>
      <c r="F25" s="508"/>
      <c r="G25" s="22"/>
      <c r="H25" s="68"/>
      <c r="I25" s="450"/>
      <c r="J25" s="450"/>
      <c r="K25" s="35"/>
      <c r="L25" s="36"/>
    </row>
    <row r="26" spans="2:15" ht="20.149999999999999" customHeight="1" x14ac:dyDescent="0.45">
      <c r="B26" s="34"/>
      <c r="C26" s="22"/>
      <c r="G26" s="22"/>
      <c r="H26" s="68"/>
      <c r="I26" s="450"/>
      <c r="J26" s="450"/>
      <c r="K26" s="35"/>
      <c r="L26" s="36"/>
    </row>
    <row r="27" spans="2:15" ht="20.149999999999999" customHeight="1" x14ac:dyDescent="0.45">
      <c r="B27" s="34"/>
      <c r="C27" s="22"/>
      <c r="G27" s="22"/>
      <c r="H27" s="68"/>
      <c r="I27" s="450"/>
      <c r="J27" s="450"/>
      <c r="K27" s="35"/>
      <c r="L27" s="36"/>
    </row>
    <row r="28" spans="2:15" ht="20.149999999999999" customHeight="1" x14ac:dyDescent="0.45">
      <c r="B28" s="34"/>
      <c r="C28" s="22"/>
      <c r="G28" s="22"/>
      <c r="H28" s="68"/>
      <c r="I28" s="450"/>
      <c r="J28" s="450"/>
      <c r="K28" s="35"/>
      <c r="L28" s="36"/>
    </row>
    <row r="29" spans="2:15" ht="20.149999999999999" customHeight="1" x14ac:dyDescent="0.45">
      <c r="B29" s="34"/>
      <c r="C29" s="22"/>
      <c r="G29" s="22"/>
      <c r="H29" s="68"/>
      <c r="I29" s="450"/>
      <c r="J29" s="450"/>
      <c r="K29" s="35"/>
      <c r="L29" s="36"/>
    </row>
    <row r="30" spans="2:15" ht="20.149999999999999" customHeight="1" x14ac:dyDescent="0.45">
      <c r="B30" s="34"/>
      <c r="C30" s="22"/>
      <c r="G30" s="22"/>
      <c r="H30" s="68"/>
      <c r="I30" s="450"/>
      <c r="J30" s="450"/>
      <c r="K30" s="35"/>
      <c r="L30" s="36"/>
    </row>
    <row r="31" spans="2:15" ht="20.149999999999999" customHeight="1" x14ac:dyDescent="0.45">
      <c r="B31" s="34"/>
      <c r="C31" s="22"/>
      <c r="G31" s="22"/>
      <c r="H31" s="68"/>
      <c r="I31" s="22"/>
      <c r="J31" s="22"/>
      <c r="K31" s="35"/>
      <c r="L31" s="36"/>
    </row>
    <row r="32" spans="2:15" ht="20.149999999999999" customHeight="1" x14ac:dyDescent="0.45">
      <c r="B32" s="34"/>
      <c r="C32" s="22"/>
      <c r="G32" s="22"/>
      <c r="H32" s="68"/>
      <c r="I32" s="22"/>
      <c r="J32" s="22"/>
      <c r="K32" s="35"/>
      <c r="L32" s="36"/>
    </row>
    <row r="33" spans="2:12" ht="20.149999999999999" customHeight="1" x14ac:dyDescent="0.45">
      <c r="B33" s="34"/>
      <c r="C33" s="22"/>
      <c r="G33" s="22"/>
      <c r="H33" s="68"/>
      <c r="I33" s="22"/>
      <c r="J33" s="22"/>
      <c r="K33" s="35"/>
      <c r="L33" s="36"/>
    </row>
    <row r="34" spans="2:12" ht="20.149999999999999" customHeight="1" x14ac:dyDescent="0.45">
      <c r="B34" s="34"/>
      <c r="C34" s="22"/>
      <c r="D34" s="508"/>
      <c r="E34" s="508"/>
      <c r="F34" s="508"/>
      <c r="G34" s="22"/>
      <c r="H34" s="68"/>
      <c r="I34" s="68"/>
      <c r="J34" s="22"/>
      <c r="K34" s="35"/>
      <c r="L34" s="36"/>
    </row>
    <row r="35" spans="2:12" ht="20.149999999999999" customHeight="1" x14ac:dyDescent="0.45">
      <c r="B35" s="34"/>
      <c r="C35" s="22"/>
      <c r="D35" s="508"/>
      <c r="E35" s="508"/>
      <c r="F35" s="508"/>
      <c r="G35" s="22"/>
      <c r="H35" s="68"/>
      <c r="I35" s="68"/>
      <c r="J35" s="22"/>
      <c r="K35" s="35"/>
      <c r="L35" s="36"/>
    </row>
    <row r="36" spans="2:12" ht="20.149999999999999" customHeight="1" x14ac:dyDescent="0.45">
      <c r="B36" s="34"/>
      <c r="C36" s="22"/>
      <c r="D36" s="508"/>
      <c r="E36" s="508"/>
      <c r="F36" s="508"/>
      <c r="G36" s="22"/>
      <c r="H36" s="22"/>
      <c r="I36" s="22"/>
      <c r="J36" s="22"/>
      <c r="K36" s="35"/>
      <c r="L36" s="36"/>
    </row>
    <row r="37" spans="2:12" ht="20.149999999999999" customHeight="1" thickBot="1" x14ac:dyDescent="0.5">
      <c r="B37" s="37"/>
      <c r="C37" s="38"/>
      <c r="D37" s="509"/>
      <c r="E37" s="509"/>
      <c r="F37" s="509"/>
      <c r="G37" s="38"/>
      <c r="H37" s="38"/>
      <c r="I37" s="38"/>
      <c r="J37" s="38"/>
      <c r="K37" s="39"/>
      <c r="L37" s="40"/>
    </row>
    <row r="38" spans="2:12" ht="20.149999999999999" customHeight="1" thickBot="1" x14ac:dyDescent="0.5">
      <c r="B38" s="41"/>
      <c r="L38" s="42"/>
    </row>
    <row r="39" spans="2:12" ht="20.149999999999999" customHeight="1" x14ac:dyDescent="0.45">
      <c r="B39" s="11" t="s">
        <v>18</v>
      </c>
      <c r="C39" s="7"/>
      <c r="D39" s="7"/>
      <c r="E39" s="7"/>
      <c r="F39" s="7"/>
      <c r="G39" s="7"/>
      <c r="H39" s="7"/>
      <c r="I39" s="7"/>
      <c r="J39" s="510" t="s">
        <v>15</v>
      </c>
      <c r="K39" s="511"/>
      <c r="L39" s="43">
        <f>SUM(L17:L37)</f>
        <v>52</v>
      </c>
    </row>
    <row r="40" spans="2:12" ht="20.149999999999999" customHeight="1" x14ac:dyDescent="0.45">
      <c r="B40" s="11" t="s">
        <v>19</v>
      </c>
      <c r="C40" s="7"/>
      <c r="D40" s="7"/>
      <c r="E40" s="7"/>
      <c r="F40" s="7"/>
      <c r="G40" s="7"/>
      <c r="H40" s="7"/>
      <c r="I40" s="7"/>
      <c r="J40" s="44" t="s">
        <v>22</v>
      </c>
      <c r="K40" s="45"/>
      <c r="L40" s="46">
        <f>L39*K40</f>
        <v>0</v>
      </c>
    </row>
    <row r="41" spans="2:12" ht="20.149999999999999" customHeight="1" x14ac:dyDescent="0.45">
      <c r="B41" s="11" t="s">
        <v>20</v>
      </c>
      <c r="C41" s="7"/>
      <c r="D41" s="7"/>
      <c r="E41" s="7"/>
      <c r="F41" s="7"/>
      <c r="G41" s="7"/>
      <c r="H41" s="7"/>
      <c r="I41" s="7"/>
      <c r="J41" s="486" t="s">
        <v>21</v>
      </c>
      <c r="K41" s="487"/>
      <c r="L41" s="46">
        <f>L39-L40</f>
        <v>52</v>
      </c>
    </row>
    <row r="42" spans="2:12" ht="20.149999999999999" customHeight="1" x14ac:dyDescent="0.45">
      <c r="B42" s="11" t="s">
        <v>24</v>
      </c>
      <c r="C42" s="7"/>
      <c r="D42" s="7"/>
      <c r="E42" s="7"/>
      <c r="F42" s="7"/>
      <c r="G42" s="7"/>
      <c r="H42" s="7"/>
      <c r="I42" s="7"/>
      <c r="J42" s="150" t="s">
        <v>17</v>
      </c>
      <c r="K42" s="151">
        <v>7.0000000000000007E-2</v>
      </c>
      <c r="L42" s="47">
        <f>L41*K42</f>
        <v>3.6400000000000006</v>
      </c>
    </row>
    <row r="43" spans="2:12" ht="20.149999999999999" customHeight="1" thickBot="1" x14ac:dyDescent="0.5">
      <c r="B43" s="11" t="s">
        <v>25</v>
      </c>
      <c r="C43" s="7"/>
      <c r="D43" s="7"/>
      <c r="E43" s="7"/>
      <c r="F43" s="7"/>
      <c r="G43" s="7"/>
      <c r="H43" s="7"/>
      <c r="I43" s="7"/>
      <c r="J43" s="488" t="s">
        <v>23</v>
      </c>
      <c r="K43" s="489"/>
      <c r="L43" s="48">
        <f>L41+L42</f>
        <v>55.64</v>
      </c>
    </row>
    <row r="44" spans="2:12" ht="20.149999999999999" customHeight="1" x14ac:dyDescent="0.45">
      <c r="B44" s="11" t="s">
        <v>26</v>
      </c>
      <c r="C44" s="7"/>
      <c r="D44" s="7"/>
      <c r="E44" s="7"/>
      <c r="F44" s="7"/>
      <c r="G44" s="7"/>
      <c r="H44" s="7"/>
      <c r="I44" s="7"/>
      <c r="L44" s="42"/>
    </row>
    <row r="45" spans="2:12" ht="20.149999999999999" customHeight="1" x14ac:dyDescent="0.45">
      <c r="B45" s="41"/>
      <c r="L45" s="42"/>
    </row>
    <row r="46" spans="2:12" ht="20.149999999999999" customHeight="1" x14ac:dyDescent="0.45">
      <c r="B46" s="41"/>
      <c r="L46" s="42"/>
    </row>
    <row r="47" spans="2:12" ht="20.149999999999999" customHeight="1" x14ac:dyDescent="0.45">
      <c r="B47" s="41"/>
      <c r="L47" s="42"/>
    </row>
    <row r="48" spans="2:12" ht="20.149999999999999" customHeight="1" x14ac:dyDescent="0.45">
      <c r="B48" s="41"/>
      <c r="L48" s="42"/>
    </row>
    <row r="49" spans="2:12" ht="20.149999999999999" customHeight="1" x14ac:dyDescent="0.45">
      <c r="B49" s="49"/>
      <c r="C49" s="50"/>
      <c r="D49" s="50"/>
      <c r="J49" s="50"/>
      <c r="K49" s="50"/>
      <c r="L49" s="51"/>
    </row>
    <row r="50" spans="2:12" ht="20.149999999999999" customHeight="1" x14ac:dyDescent="0.45">
      <c r="B50" s="41" t="s">
        <v>27</v>
      </c>
      <c r="J50" s="24" t="s">
        <v>28</v>
      </c>
      <c r="L50" s="42"/>
    </row>
    <row r="51" spans="2:12" ht="19" thickBot="1" x14ac:dyDescent="0.5">
      <c r="B51" s="52"/>
      <c r="C51" s="53"/>
      <c r="D51" s="53"/>
      <c r="E51" s="53"/>
      <c r="F51" s="53"/>
      <c r="G51" s="53"/>
      <c r="H51" s="53"/>
      <c r="I51" s="53"/>
      <c r="J51" s="53"/>
      <c r="K51" s="53"/>
      <c r="L51" s="54"/>
    </row>
  </sheetData>
  <mergeCells count="42"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18:J18"/>
    <mergeCell ref="D20:F20"/>
    <mergeCell ref="I20:J20"/>
    <mergeCell ref="D21:F21"/>
    <mergeCell ref="I21:J21"/>
    <mergeCell ref="D19:F19"/>
    <mergeCell ref="I19:J19"/>
    <mergeCell ref="D22:F22"/>
    <mergeCell ref="I22:J22"/>
    <mergeCell ref="D34:F34"/>
    <mergeCell ref="D23:F23"/>
    <mergeCell ref="I23:J23"/>
    <mergeCell ref="D24:F24"/>
    <mergeCell ref="I24:J24"/>
    <mergeCell ref="D25:F25"/>
    <mergeCell ref="I25:J25"/>
    <mergeCell ref="J43:K43"/>
    <mergeCell ref="I26:J26"/>
    <mergeCell ref="I27:J27"/>
    <mergeCell ref="I28:J28"/>
    <mergeCell ref="I29:J29"/>
    <mergeCell ref="I30:J30"/>
    <mergeCell ref="D35:F35"/>
    <mergeCell ref="D36:F36"/>
    <mergeCell ref="D37:F37"/>
    <mergeCell ref="J39:K39"/>
    <mergeCell ref="J41:K41"/>
  </mergeCells>
  <pageMargins left="0.70866141732283472" right="0.31496062992125984" top="0.59055118110236227" bottom="0" header="0.31496062992125984" footer="0.31496062992125984"/>
  <pageSetup paperSize="9" scale="77" orientation="portrait" verticalDpi="300" r:id="rId1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ED2426-940B-4ECA-A097-E8D244BE861B}">
  <sheetPr codeName="Sheet134">
    <tabColor theme="0" tint="-0.499984740745262"/>
    <pageSetUpPr fitToPage="1"/>
  </sheetPr>
  <dimension ref="B1:O51"/>
  <sheetViews>
    <sheetView topLeftCell="A9" workbookViewId="0">
      <selection activeCell="F11" sqref="F11:H15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4.54296875" style="24" customWidth="1"/>
    <col min="7" max="7" width="8.54296875" style="24" customWidth="1"/>
    <col min="8" max="8" width="16.26953125" style="24" customWidth="1"/>
    <col min="9" max="9" width="2.1796875" style="24" customWidth="1"/>
    <col min="10" max="10" width="15.54296875" style="24" customWidth="1"/>
    <col min="11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141</v>
      </c>
      <c r="J10" s="29" t="s">
        <v>29</v>
      </c>
      <c r="K10" s="452">
        <v>201910069</v>
      </c>
      <c r="L10" s="453"/>
    </row>
    <row r="11" spans="2:12" ht="20.149999999999999" customHeight="1" x14ac:dyDescent="0.45">
      <c r="B11" s="454" t="s">
        <v>2037</v>
      </c>
      <c r="C11" s="455"/>
      <c r="D11" s="456"/>
      <c r="E11" s="30"/>
      <c r="F11" s="457" t="str">
        <f>VLOOKUP(H10,'Delivery Location'!A$4:N$416,2,0)</f>
        <v>Koufu Rasapura Masters                            2, Bayfront Avenue #B2-49A/50A Singapore 018972                              (Dim Dum)</v>
      </c>
      <c r="G11" s="458"/>
      <c r="H11" s="459"/>
      <c r="J11" s="31" t="s">
        <v>11</v>
      </c>
      <c r="K11" s="551">
        <v>43741</v>
      </c>
      <c r="L11" s="472"/>
    </row>
    <row r="12" spans="2:12" ht="20.149999999999999" customHeight="1" x14ac:dyDescent="0.45">
      <c r="B12" s="468" t="s">
        <v>2139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768</v>
      </c>
      <c r="L12" s="472"/>
    </row>
    <row r="13" spans="2:12" ht="20.149999999999999" customHeight="1" x14ac:dyDescent="0.45">
      <c r="B13" s="468" t="s">
        <v>2024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14</v>
      </c>
      <c r="L13" s="472"/>
    </row>
    <row r="14" spans="2:12" ht="20.149999999999999" customHeight="1" x14ac:dyDescent="0.45">
      <c r="B14" s="468" t="s">
        <v>2025</v>
      </c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463" t="s">
        <v>2026</v>
      </c>
      <c r="C15" s="464"/>
      <c r="D15" s="465"/>
      <c r="E15" s="26"/>
      <c r="F15" s="463"/>
      <c r="G15" s="464"/>
      <c r="H15" s="465"/>
      <c r="J15" s="32" t="s">
        <v>13</v>
      </c>
      <c r="K15" s="182" t="s">
        <v>997</v>
      </c>
      <c r="L15" s="181"/>
    </row>
    <row r="16" spans="2:12" ht="19" thickBot="1" x14ac:dyDescent="0.5">
      <c r="J16" s="22"/>
    </row>
    <row r="17" spans="2:15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3"/>
      <c r="O17" s="33"/>
    </row>
    <row r="18" spans="2:15" ht="20.149999999999999" customHeight="1" x14ac:dyDescent="0.45">
      <c r="B18" s="34"/>
      <c r="C18" s="22" t="s">
        <v>396</v>
      </c>
      <c r="D18" s="508" t="e">
        <f>VLOOKUP(C18,'Sales Master'!B$3:D$499,2,)</f>
        <v>#N/A</v>
      </c>
      <c r="E18" s="508"/>
      <c r="F18" s="508"/>
      <c r="G18" s="22">
        <v>6</v>
      </c>
      <c r="H18" s="68" t="e">
        <f>VLOOKUP(C18,'Sales Master'!$B$3:$F$3247,5,0)</f>
        <v>#N/A</v>
      </c>
      <c r="I18" s="481" t="e">
        <f>VLOOKUP(C18,'Sales Master'!$B$3:$E$3247,4,0)</f>
        <v>#N/A</v>
      </c>
      <c r="J18" s="481"/>
      <c r="K18" s="35" t="e">
        <f>VLOOKUP(C18,'Sales Master'!$B$3:$J$583,9,0)</f>
        <v>#N/A</v>
      </c>
      <c r="L18" s="36" t="e">
        <f>K18*G18</f>
        <v>#N/A</v>
      </c>
    </row>
    <row r="19" spans="2:15" ht="20.149999999999999" customHeight="1" x14ac:dyDescent="0.45">
      <c r="B19" s="34"/>
      <c r="C19" s="22"/>
      <c r="D19" s="508"/>
      <c r="E19" s="508"/>
      <c r="F19" s="508"/>
      <c r="G19" s="22"/>
      <c r="H19" s="68" t="e">
        <f>VLOOKUP(C19,'[2]Sales Master'!B$3:F$736,5,0)</f>
        <v>#N/A</v>
      </c>
      <c r="I19" s="481" t="e">
        <f>VLOOKUP(C19,'[2]Sales Master'!B$3:E$736,4,0)</f>
        <v>#N/A</v>
      </c>
      <c r="J19" s="481"/>
      <c r="K19" s="35"/>
      <c r="L19" s="36"/>
    </row>
    <row r="20" spans="2:15" ht="20.149999999999999" customHeight="1" x14ac:dyDescent="0.45">
      <c r="B20" s="34"/>
      <c r="C20" s="22"/>
      <c r="D20" s="508"/>
      <c r="E20" s="508"/>
      <c r="F20" s="508"/>
      <c r="G20" s="22"/>
      <c r="H20" s="68" t="e">
        <f>VLOOKUP(C20,'[2]Sales Master'!B$3:F$736,5,0)</f>
        <v>#N/A</v>
      </c>
      <c r="I20" s="481" t="e">
        <f>VLOOKUP(C20,'[2]Sales Master'!B$3:E$736,4,0)</f>
        <v>#N/A</v>
      </c>
      <c r="J20" s="481"/>
      <c r="K20" s="35"/>
      <c r="L20" s="36"/>
    </row>
    <row r="21" spans="2:15" ht="20.149999999999999" customHeight="1" x14ac:dyDescent="0.45">
      <c r="B21" s="34"/>
      <c r="C21" s="22"/>
      <c r="D21" s="508"/>
      <c r="E21" s="508"/>
      <c r="F21" s="508"/>
      <c r="G21" s="22"/>
      <c r="H21" s="68"/>
      <c r="I21" s="450"/>
      <c r="J21" s="450"/>
      <c r="K21" s="35"/>
      <c r="L21" s="36"/>
    </row>
    <row r="22" spans="2:15" ht="20.149999999999999" customHeight="1" x14ac:dyDescent="0.45">
      <c r="B22" s="34"/>
      <c r="C22" s="22"/>
      <c r="D22" s="508"/>
      <c r="E22" s="508"/>
      <c r="F22" s="508"/>
      <c r="G22" s="22"/>
      <c r="H22" s="68"/>
      <c r="I22" s="450"/>
      <c r="J22" s="450"/>
      <c r="K22" s="35"/>
      <c r="L22" s="36"/>
    </row>
    <row r="23" spans="2:15" ht="20.149999999999999" customHeight="1" x14ac:dyDescent="0.45">
      <c r="B23" s="34"/>
      <c r="C23" s="22"/>
      <c r="D23" s="508"/>
      <c r="E23" s="508"/>
      <c r="F23" s="508"/>
      <c r="G23" s="22"/>
      <c r="H23" s="68"/>
      <c r="I23" s="450"/>
      <c r="J23" s="450"/>
      <c r="K23" s="35"/>
      <c r="L23" s="36"/>
    </row>
    <row r="24" spans="2:15" ht="20.149999999999999" customHeight="1" x14ac:dyDescent="0.45">
      <c r="B24" s="34"/>
      <c r="C24" s="22"/>
      <c r="D24" s="508"/>
      <c r="E24" s="508"/>
      <c r="F24" s="508"/>
      <c r="G24" s="22"/>
      <c r="H24" s="68"/>
      <c r="I24" s="450"/>
      <c r="J24" s="450"/>
      <c r="K24" s="35"/>
      <c r="L24" s="36"/>
    </row>
    <row r="25" spans="2:15" ht="20.149999999999999" customHeight="1" x14ac:dyDescent="0.45">
      <c r="B25" s="34"/>
      <c r="C25" s="22"/>
      <c r="D25" s="508"/>
      <c r="E25" s="508"/>
      <c r="F25" s="508"/>
      <c r="G25" s="22"/>
      <c r="H25" s="68"/>
      <c r="I25" s="450"/>
      <c r="J25" s="450"/>
      <c r="K25" s="35"/>
      <c r="L25" s="36"/>
    </row>
    <row r="26" spans="2:15" ht="20.149999999999999" customHeight="1" x14ac:dyDescent="0.45">
      <c r="B26" s="34"/>
      <c r="C26" s="22"/>
      <c r="G26" s="22"/>
      <c r="H26" s="68"/>
      <c r="I26" s="450"/>
      <c r="J26" s="450"/>
      <c r="K26" s="35"/>
      <c r="L26" s="36"/>
    </row>
    <row r="27" spans="2:15" ht="20.149999999999999" customHeight="1" x14ac:dyDescent="0.45">
      <c r="B27" s="34"/>
      <c r="C27" s="22"/>
      <c r="G27" s="22"/>
      <c r="H27" s="68"/>
      <c r="I27" s="450"/>
      <c r="J27" s="450"/>
      <c r="K27" s="35"/>
      <c r="L27" s="36"/>
    </row>
    <row r="28" spans="2:15" ht="20.149999999999999" customHeight="1" x14ac:dyDescent="0.45">
      <c r="B28" s="34"/>
      <c r="C28" s="22"/>
      <c r="G28" s="22"/>
      <c r="H28" s="68"/>
      <c r="I28" s="450"/>
      <c r="J28" s="450"/>
      <c r="K28" s="35"/>
      <c r="L28" s="36"/>
    </row>
    <row r="29" spans="2:15" ht="20.149999999999999" customHeight="1" x14ac:dyDescent="0.45">
      <c r="B29" s="34"/>
      <c r="C29" s="22"/>
      <c r="G29" s="22"/>
      <c r="H29" s="68"/>
      <c r="I29" s="450"/>
      <c r="J29" s="450"/>
      <c r="K29" s="35"/>
      <c r="L29" s="36"/>
    </row>
    <row r="30" spans="2:15" ht="20.149999999999999" customHeight="1" x14ac:dyDescent="0.45">
      <c r="B30" s="34"/>
      <c r="C30" s="22"/>
      <c r="G30" s="22"/>
      <c r="H30" s="68"/>
      <c r="I30" s="450"/>
      <c r="J30" s="450"/>
      <c r="K30" s="35"/>
      <c r="L30" s="36"/>
    </row>
    <row r="31" spans="2:15" ht="20.149999999999999" customHeight="1" x14ac:dyDescent="0.45">
      <c r="B31" s="34"/>
      <c r="C31" s="22"/>
      <c r="G31" s="22"/>
      <c r="H31" s="68"/>
      <c r="I31" s="22"/>
      <c r="J31" s="22"/>
      <c r="K31" s="35"/>
      <c r="L31" s="36"/>
    </row>
    <row r="32" spans="2:15" ht="20.149999999999999" customHeight="1" x14ac:dyDescent="0.45">
      <c r="B32" s="34"/>
      <c r="C32" s="22"/>
      <c r="G32" s="22"/>
      <c r="H32" s="68"/>
      <c r="I32" s="22"/>
      <c r="J32" s="22"/>
      <c r="K32" s="35"/>
      <c r="L32" s="36"/>
    </row>
    <row r="33" spans="2:12" ht="20.149999999999999" customHeight="1" x14ac:dyDescent="0.45">
      <c r="B33" s="34"/>
      <c r="C33" s="22"/>
      <c r="G33" s="22"/>
      <c r="H33" s="68"/>
      <c r="I33" s="22"/>
      <c r="J33" s="22"/>
      <c r="K33" s="35"/>
      <c r="L33" s="36"/>
    </row>
    <row r="34" spans="2:12" ht="20.149999999999999" customHeight="1" x14ac:dyDescent="0.45">
      <c r="B34" s="34"/>
      <c r="C34" s="22"/>
      <c r="D34" s="508"/>
      <c r="E34" s="508"/>
      <c r="F34" s="508"/>
      <c r="G34" s="22"/>
      <c r="H34" s="68"/>
      <c r="I34" s="68"/>
      <c r="J34" s="22"/>
      <c r="K34" s="35"/>
      <c r="L34" s="36"/>
    </row>
    <row r="35" spans="2:12" ht="20.149999999999999" customHeight="1" x14ac:dyDescent="0.45">
      <c r="B35" s="34"/>
      <c r="C35" s="22"/>
      <c r="D35" s="508"/>
      <c r="E35" s="508"/>
      <c r="F35" s="508"/>
      <c r="G35" s="22"/>
      <c r="H35" s="68"/>
      <c r="I35" s="68"/>
      <c r="J35" s="22"/>
      <c r="K35" s="35"/>
      <c r="L35" s="36"/>
    </row>
    <row r="36" spans="2:12" ht="20.149999999999999" customHeight="1" x14ac:dyDescent="0.45">
      <c r="B36" s="34"/>
      <c r="C36" s="22"/>
      <c r="D36" s="508"/>
      <c r="E36" s="508"/>
      <c r="F36" s="508"/>
      <c r="G36" s="22"/>
      <c r="H36" s="22"/>
      <c r="I36" s="22"/>
      <c r="J36" s="22"/>
      <c r="K36" s="35"/>
      <c r="L36" s="36"/>
    </row>
    <row r="37" spans="2:12" ht="20.149999999999999" customHeight="1" thickBot="1" x14ac:dyDescent="0.5">
      <c r="B37" s="37"/>
      <c r="C37" s="38"/>
      <c r="D37" s="509"/>
      <c r="E37" s="509"/>
      <c r="F37" s="509"/>
      <c r="G37" s="38"/>
      <c r="H37" s="38"/>
      <c r="I37" s="38"/>
      <c r="J37" s="38"/>
      <c r="K37" s="39"/>
      <c r="L37" s="40"/>
    </row>
    <row r="38" spans="2:12" ht="20.149999999999999" customHeight="1" thickBot="1" x14ac:dyDescent="0.5">
      <c r="B38" s="41"/>
      <c r="L38" s="42"/>
    </row>
    <row r="39" spans="2:12" ht="20.149999999999999" customHeight="1" x14ac:dyDescent="0.45">
      <c r="B39" s="11" t="s">
        <v>18</v>
      </c>
      <c r="C39" s="7"/>
      <c r="D39" s="7"/>
      <c r="E39" s="7"/>
      <c r="F39" s="7"/>
      <c r="G39" s="7"/>
      <c r="H39" s="7"/>
      <c r="I39" s="7"/>
      <c r="J39" s="510" t="s">
        <v>15</v>
      </c>
      <c r="K39" s="511"/>
      <c r="L39" s="43" t="e">
        <f>SUM(L17:L37)</f>
        <v>#N/A</v>
      </c>
    </row>
    <row r="40" spans="2:12" ht="20.149999999999999" customHeight="1" x14ac:dyDescent="0.45">
      <c r="B40" s="11" t="s">
        <v>19</v>
      </c>
      <c r="C40" s="7"/>
      <c r="D40" s="7"/>
      <c r="E40" s="7"/>
      <c r="F40" s="7"/>
      <c r="G40" s="7"/>
      <c r="H40" s="7"/>
      <c r="I40" s="7"/>
      <c r="J40" s="44" t="s">
        <v>22</v>
      </c>
      <c r="K40" s="45"/>
      <c r="L40" s="46" t="e">
        <f>L39*K40</f>
        <v>#N/A</v>
      </c>
    </row>
    <row r="41" spans="2:12" ht="20.149999999999999" customHeight="1" x14ac:dyDescent="0.45">
      <c r="B41" s="11" t="s">
        <v>20</v>
      </c>
      <c r="C41" s="7"/>
      <c r="D41" s="7"/>
      <c r="E41" s="7"/>
      <c r="F41" s="7"/>
      <c r="G41" s="7"/>
      <c r="H41" s="7"/>
      <c r="I41" s="7"/>
      <c r="J41" s="486" t="s">
        <v>21</v>
      </c>
      <c r="K41" s="487"/>
      <c r="L41" s="46" t="e">
        <f>L39-L40</f>
        <v>#N/A</v>
      </c>
    </row>
    <row r="42" spans="2:12" ht="20.149999999999999" customHeight="1" x14ac:dyDescent="0.45">
      <c r="B42" s="11" t="s">
        <v>24</v>
      </c>
      <c r="C42" s="7"/>
      <c r="D42" s="7"/>
      <c r="E42" s="7"/>
      <c r="F42" s="7"/>
      <c r="G42" s="7"/>
      <c r="H42" s="7"/>
      <c r="I42" s="7"/>
      <c r="J42" s="150" t="s">
        <v>17</v>
      </c>
      <c r="K42" s="151">
        <v>7.0000000000000007E-2</v>
      </c>
      <c r="L42" s="47" t="e">
        <f>L41*K42</f>
        <v>#N/A</v>
      </c>
    </row>
    <row r="43" spans="2:12" ht="20.149999999999999" customHeight="1" thickBot="1" x14ac:dyDescent="0.5">
      <c r="B43" s="11" t="s">
        <v>25</v>
      </c>
      <c r="C43" s="7"/>
      <c r="D43" s="7"/>
      <c r="E43" s="7"/>
      <c r="F43" s="7"/>
      <c r="G43" s="7"/>
      <c r="H43" s="7"/>
      <c r="I43" s="7"/>
      <c r="J43" s="488" t="s">
        <v>23</v>
      </c>
      <c r="K43" s="489"/>
      <c r="L43" s="48" t="e">
        <f>L41+L42</f>
        <v>#N/A</v>
      </c>
    </row>
    <row r="44" spans="2:12" ht="20.149999999999999" customHeight="1" x14ac:dyDescent="0.45">
      <c r="B44" s="11" t="s">
        <v>26</v>
      </c>
      <c r="C44" s="7"/>
      <c r="D44" s="7"/>
      <c r="E44" s="7"/>
      <c r="F44" s="7"/>
      <c r="G44" s="7"/>
      <c r="H44" s="7"/>
      <c r="I44" s="7"/>
      <c r="L44" s="42"/>
    </row>
    <row r="45" spans="2:12" ht="20.149999999999999" customHeight="1" x14ac:dyDescent="0.45">
      <c r="B45" s="41"/>
      <c r="L45" s="42"/>
    </row>
    <row r="46" spans="2:12" ht="20.149999999999999" customHeight="1" x14ac:dyDescent="0.45">
      <c r="B46" s="41"/>
      <c r="L46" s="42"/>
    </row>
    <row r="47" spans="2:12" ht="20.149999999999999" customHeight="1" x14ac:dyDescent="0.45">
      <c r="B47" s="41"/>
      <c r="L47" s="42"/>
    </row>
    <row r="48" spans="2:12" ht="20.149999999999999" customHeight="1" x14ac:dyDescent="0.45">
      <c r="B48" s="41"/>
      <c r="L48" s="42"/>
    </row>
    <row r="49" spans="2:12" ht="20.149999999999999" customHeight="1" x14ac:dyDescent="0.45">
      <c r="B49" s="49"/>
      <c r="C49" s="50"/>
      <c r="D49" s="50"/>
      <c r="J49" s="50"/>
      <c r="K49" s="50"/>
      <c r="L49" s="51"/>
    </row>
    <row r="50" spans="2:12" ht="20.149999999999999" customHeight="1" x14ac:dyDescent="0.45">
      <c r="B50" s="41" t="s">
        <v>27</v>
      </c>
      <c r="J50" s="24" t="s">
        <v>28</v>
      </c>
      <c r="L50" s="42"/>
    </row>
    <row r="51" spans="2:12" ht="19" thickBot="1" x14ac:dyDescent="0.5">
      <c r="B51" s="52"/>
      <c r="C51" s="53"/>
      <c r="D51" s="53"/>
      <c r="E51" s="53"/>
      <c r="F51" s="53"/>
      <c r="G51" s="53"/>
      <c r="H51" s="53"/>
      <c r="I51" s="53"/>
      <c r="J51" s="53"/>
      <c r="K51" s="53"/>
      <c r="L51" s="54"/>
    </row>
  </sheetData>
  <mergeCells count="42">
    <mergeCell ref="J43:K43"/>
    <mergeCell ref="D35:F35"/>
    <mergeCell ref="D36:F36"/>
    <mergeCell ref="D37:F37"/>
    <mergeCell ref="J39:K39"/>
    <mergeCell ref="J41:K41"/>
    <mergeCell ref="D22:F22"/>
    <mergeCell ref="I22:J22"/>
    <mergeCell ref="D34:F34"/>
    <mergeCell ref="D23:F23"/>
    <mergeCell ref="I23:J23"/>
    <mergeCell ref="D24:F24"/>
    <mergeCell ref="I24:J24"/>
    <mergeCell ref="D25:F25"/>
    <mergeCell ref="I25:J25"/>
    <mergeCell ref="I26:J26"/>
    <mergeCell ref="I27:J27"/>
    <mergeCell ref="I28:J28"/>
    <mergeCell ref="I29:J29"/>
    <mergeCell ref="I30:J30"/>
    <mergeCell ref="D20:F20"/>
    <mergeCell ref="I20:J20"/>
    <mergeCell ref="D21:F21"/>
    <mergeCell ref="I21:J21"/>
    <mergeCell ref="D19:F19"/>
    <mergeCell ref="I19:J19"/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I18:J18"/>
    <mergeCell ref="B15:D15"/>
  </mergeCells>
  <pageMargins left="0.70866141732283472" right="0.31496062992125984" top="0.59055118110236227" bottom="0" header="0.31496062992125984" footer="0.31496062992125984"/>
  <pageSetup paperSize="9" scale="76" orientation="portrait" verticalDpi="3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746387-9644-4914-8553-51257D0DB8F0}">
  <sheetPr codeName="Sheet3">
    <pageSetUpPr fitToPage="1"/>
  </sheetPr>
  <dimension ref="B2:R34"/>
  <sheetViews>
    <sheetView workbookViewId="0">
      <selection activeCell="A8" sqref="A8"/>
    </sheetView>
  </sheetViews>
  <sheetFormatPr defaultRowHeight="14.5" x14ac:dyDescent="0.35"/>
  <cols>
    <col min="2" max="2" width="10.1796875" customWidth="1"/>
    <col min="3" max="3" width="23.54296875" customWidth="1"/>
    <col min="4" max="4" width="11.1796875" customWidth="1"/>
    <col min="5" max="5" width="19.453125" customWidth="1"/>
    <col min="6" max="6" width="13.453125" style="340" customWidth="1"/>
  </cols>
  <sheetData>
    <row r="2" spans="2:18" ht="23.5" x14ac:dyDescent="0.55000000000000004">
      <c r="B2" s="132" t="s">
        <v>1427</v>
      </c>
      <c r="C2" s="132"/>
    </row>
    <row r="3" spans="2:18" ht="20.149999999999999" customHeight="1" x14ac:dyDescent="0.35">
      <c r="B3" s="515" t="s">
        <v>806</v>
      </c>
      <c r="C3" s="517" t="s">
        <v>4</v>
      </c>
      <c r="D3" s="518" t="s">
        <v>1262</v>
      </c>
      <c r="E3" s="520" t="s">
        <v>1261</v>
      </c>
      <c r="F3" s="522" t="s">
        <v>6</v>
      </c>
      <c r="G3" s="516"/>
      <c r="H3" s="516"/>
      <c r="I3" s="516"/>
      <c r="J3" s="516"/>
      <c r="K3" s="516"/>
      <c r="L3" s="516"/>
      <c r="M3" s="516"/>
      <c r="N3" s="516"/>
      <c r="O3" s="516"/>
      <c r="P3" s="516"/>
      <c r="Q3" s="516"/>
      <c r="R3" s="516"/>
    </row>
    <row r="4" spans="2:18" ht="20.149999999999999" customHeight="1" x14ac:dyDescent="0.35">
      <c r="B4" s="515"/>
      <c r="C4" s="517"/>
      <c r="D4" s="519"/>
      <c r="E4" s="521"/>
      <c r="F4" s="523"/>
      <c r="G4" s="202" t="s">
        <v>1259</v>
      </c>
      <c r="H4" s="202" t="s">
        <v>1260</v>
      </c>
      <c r="I4" s="202" t="s">
        <v>1259</v>
      </c>
      <c r="J4" s="202" t="s">
        <v>1260</v>
      </c>
      <c r="K4" s="202" t="s">
        <v>1259</v>
      </c>
      <c r="L4" s="202" t="s">
        <v>1260</v>
      </c>
      <c r="M4" s="202" t="s">
        <v>1259</v>
      </c>
      <c r="N4" s="202" t="s">
        <v>1260</v>
      </c>
      <c r="O4" s="202" t="s">
        <v>1259</v>
      </c>
      <c r="P4" s="202" t="s">
        <v>1260</v>
      </c>
      <c r="Q4" s="202" t="s">
        <v>1259</v>
      </c>
      <c r="R4" s="202" t="s">
        <v>1260</v>
      </c>
    </row>
    <row r="5" spans="2:18" ht="25" customHeight="1" x14ac:dyDescent="0.35">
      <c r="B5" s="6" t="s">
        <v>1458</v>
      </c>
      <c r="C5" s="1" t="str">
        <f>VLOOKUP(B5,'Sales Master'!$B$3:$D$3255,2,0)</f>
        <v>Chendol浆咯</v>
      </c>
      <c r="D5" s="129" t="str">
        <f>VLOOKUP(B5,'Sales Master'!$B$3:$E$3255,4,0)</f>
        <v>DO!</v>
      </c>
      <c r="E5" s="1" t="str">
        <f>VLOOKUP(B5,'Sales Master'!$B$3:$F$3255,5,0)</f>
        <v>NW(2.2:0.8) 3 KG/BAG</v>
      </c>
      <c r="F5" s="152">
        <v>7</v>
      </c>
      <c r="G5" s="2"/>
      <c r="H5" s="1"/>
      <c r="I5" s="2"/>
      <c r="J5" s="1"/>
      <c r="K5" s="2"/>
      <c r="L5" s="1"/>
      <c r="M5" s="2"/>
      <c r="N5" s="1"/>
      <c r="O5" s="2"/>
      <c r="P5" s="1"/>
      <c r="Q5" s="2"/>
      <c r="R5" s="1"/>
    </row>
    <row r="6" spans="2:18" ht="25" customHeight="1" x14ac:dyDescent="0.35">
      <c r="B6" s="6" t="s">
        <v>1457</v>
      </c>
      <c r="C6" s="1" t="str">
        <f>VLOOKUP(B6,'Sales Master'!$B$3:$D$3255,2,0)</f>
        <v>Bobo ChaCha Cubes 摩摩喳喳</v>
      </c>
      <c r="D6" s="129" t="str">
        <f>VLOOKUP(B6,'Sales Master'!$B$3:$E$3255,4,0)</f>
        <v>DO!</v>
      </c>
      <c r="E6" s="1" t="str">
        <f>VLOOKUP(B6,'Sales Master'!$B$3:$F$3255,5,0)</f>
        <v>800 GM/BAG</v>
      </c>
      <c r="F6" s="152">
        <v>8</v>
      </c>
      <c r="G6" s="2"/>
      <c r="H6" s="1"/>
      <c r="I6" s="2"/>
      <c r="J6" s="1"/>
      <c r="K6" s="2"/>
      <c r="L6" s="1"/>
      <c r="M6" s="2"/>
      <c r="N6" s="1"/>
      <c r="O6" s="2"/>
      <c r="P6" s="1"/>
      <c r="Q6" s="2"/>
      <c r="R6" s="1"/>
    </row>
    <row r="7" spans="2:18" ht="25" customHeight="1" x14ac:dyDescent="0.35">
      <c r="B7" s="6" t="s">
        <v>1462</v>
      </c>
      <c r="C7" s="1" t="str">
        <f>VLOOKUP(B7,'Sales Master'!$B$3:$D$3255,2,0)</f>
        <v>Pong Thai Hai (Wet) 碰大海</v>
      </c>
      <c r="D7" s="129" t="str">
        <f>VLOOKUP(B7,'Sales Master'!$B$3:$E$3255,4,0)</f>
        <v>DO!</v>
      </c>
      <c r="E7" s="1" t="str">
        <f>VLOOKUP(B7,'Sales Master'!$B$3:$F$3255,5,0)</f>
        <v>1KG</v>
      </c>
      <c r="F7" s="152">
        <v>6</v>
      </c>
      <c r="G7" s="2"/>
      <c r="H7" s="1"/>
      <c r="I7" s="2"/>
      <c r="J7" s="1"/>
      <c r="K7" s="2"/>
      <c r="L7" s="1"/>
      <c r="M7" s="2"/>
      <c r="N7" s="1"/>
      <c r="O7" s="2"/>
      <c r="P7" s="1"/>
      <c r="Q7" s="2"/>
      <c r="R7" s="1"/>
    </row>
    <row r="8" spans="2:18" ht="25" customHeight="1" x14ac:dyDescent="0.35">
      <c r="B8" s="6" t="s">
        <v>1482</v>
      </c>
      <c r="C8" s="1" t="str">
        <f>VLOOKUP(B8,'Sales Master'!$B$3:$D$3255,2,0)</f>
        <v>Tadpole蝌蚪</v>
      </c>
      <c r="D8" s="129" t="s">
        <v>1101</v>
      </c>
      <c r="E8" s="1" t="str">
        <f>VLOOKUP(B8,'Sales Master'!$B$3:$F$3255,5,0)</f>
        <v>1 kg/Bag</v>
      </c>
      <c r="F8" s="152">
        <v>6.5</v>
      </c>
      <c r="G8" s="2"/>
      <c r="H8" s="1"/>
      <c r="I8" s="2"/>
      <c r="J8" s="1"/>
      <c r="K8" s="2"/>
      <c r="L8" s="1"/>
      <c r="M8" s="2"/>
      <c r="N8" s="1"/>
      <c r="O8" s="2"/>
      <c r="P8" s="1"/>
      <c r="Q8" s="2"/>
      <c r="R8" s="1"/>
    </row>
    <row r="9" spans="2:18" ht="25" customHeight="1" x14ac:dyDescent="0.35">
      <c r="B9" s="6" t="s">
        <v>1505</v>
      </c>
      <c r="C9" s="1" t="str">
        <f>VLOOKUP(B9,'Sales Master'!$B$3:$D$3255,2,0)</f>
        <v>Agar Powder菜燕粉</v>
      </c>
      <c r="D9" s="129" t="str">
        <f>VLOOKUP(B9,'Sales Master'!$B$3:$E$3255,4,0)</f>
        <v>Rose</v>
      </c>
      <c r="E9" s="1" t="str">
        <f>VLOOKUP(B9,'Sales Master'!$B$3:$F$3255,5,0)</f>
        <v>(12g x 12pkt)/盒</v>
      </c>
      <c r="F9" s="152">
        <v>11</v>
      </c>
      <c r="G9" s="2"/>
      <c r="H9" s="1"/>
      <c r="I9" s="2"/>
      <c r="J9" s="1"/>
      <c r="K9" s="2"/>
      <c r="L9" s="1"/>
      <c r="M9" s="2"/>
      <c r="N9" s="1"/>
      <c r="O9" s="2"/>
      <c r="P9" s="1"/>
      <c r="Q9" s="2"/>
      <c r="R9" s="1"/>
    </row>
    <row r="10" spans="2:18" ht="25" customHeight="1" x14ac:dyDescent="0.35">
      <c r="B10" s="6" t="s">
        <v>1566</v>
      </c>
      <c r="C10" s="1" t="str">
        <f>VLOOKUP(B10,'Sales Master'!$B$3:$D$3255,2,0)</f>
        <v>Chin Chow  仙草</v>
      </c>
      <c r="D10" s="129" t="str">
        <f>VLOOKUP(B10,'Sales Master'!$B$3:$E$3255,4,0)</f>
        <v>TSM</v>
      </c>
      <c r="E10" s="1" t="str">
        <f>VLOOKUP(B10,'Sales Master'!$B$3:$F$3255,5,0)</f>
        <v>5KGS/PKT</v>
      </c>
      <c r="F10" s="152">
        <v>5</v>
      </c>
      <c r="G10" s="2"/>
      <c r="H10" s="1"/>
      <c r="I10" s="2"/>
      <c r="J10" s="1"/>
      <c r="K10" s="2"/>
      <c r="L10" s="1"/>
      <c r="M10" s="2"/>
      <c r="N10" s="1"/>
      <c r="O10" s="2"/>
      <c r="P10" s="1"/>
      <c r="Q10" s="2"/>
      <c r="R10" s="1"/>
    </row>
    <row r="11" spans="2:18" ht="25" customHeight="1" x14ac:dyDescent="0.35">
      <c r="B11" s="6" t="s">
        <v>1615</v>
      </c>
      <c r="C11" s="1" t="str">
        <f>VLOOKUP(B11,'Sales Master'!$B$3:$D$3255,2,0)</f>
        <v>Small Sago 小丸</v>
      </c>
      <c r="D11" s="129" t="str">
        <f>VLOOKUP(B11,'Sales Master'!$B$3:$E$3255,4,0)</f>
        <v>-</v>
      </c>
      <c r="E11" s="1" t="str">
        <f>VLOOKUP(B11,'Sales Master'!$B$3:$F$3255,5,0)</f>
        <v>5 kgs</v>
      </c>
      <c r="F11" s="152">
        <v>10.5</v>
      </c>
      <c r="G11" s="2"/>
      <c r="H11" s="1"/>
      <c r="I11" s="2"/>
      <c r="J11" s="1"/>
      <c r="K11" s="2"/>
      <c r="L11" s="1"/>
      <c r="M11" s="2"/>
      <c r="N11" s="1"/>
      <c r="O11" s="2"/>
      <c r="P11" s="1"/>
      <c r="Q11" s="2"/>
      <c r="R11" s="1"/>
    </row>
    <row r="12" spans="2:18" ht="25" customHeight="1" x14ac:dyDescent="0.35">
      <c r="B12" s="6" t="s">
        <v>1611</v>
      </c>
      <c r="C12" s="1" t="str">
        <f>VLOOKUP(B12,'Sales Master'!$B$3:$D$3255,2,0)</f>
        <v>Big Sago 大丸</v>
      </c>
      <c r="D12" s="129" t="str">
        <f>VLOOKUP(B12,'Sales Master'!$B$3:$E$3255,4,0)</f>
        <v>-</v>
      </c>
      <c r="E12" s="1" t="str">
        <f>VLOOKUP(B12,'Sales Master'!$B$3:$F$3255,5,0)</f>
        <v>5 kgs</v>
      </c>
      <c r="F12" s="152">
        <v>11</v>
      </c>
      <c r="G12" s="2"/>
      <c r="H12" s="1"/>
      <c r="I12" s="2"/>
      <c r="J12" s="1"/>
      <c r="K12" s="2"/>
      <c r="L12" s="1"/>
      <c r="M12" s="2"/>
      <c r="N12" s="1"/>
      <c r="O12" s="2"/>
      <c r="P12" s="1"/>
      <c r="Q12" s="2"/>
      <c r="R12" s="1"/>
    </row>
    <row r="13" spans="2:18" ht="25" customHeight="1" x14ac:dyDescent="0.35">
      <c r="B13" s="6" t="s">
        <v>1612</v>
      </c>
      <c r="C13" s="1" t="str">
        <f>VLOOKUP(B13,'Sales Master'!$B$3:$D$3255,2,0)</f>
        <v>Big Sago 大丸</v>
      </c>
      <c r="D13" s="129" t="str">
        <f>VLOOKUP(B13,'Sales Master'!$B$3:$E$3255,4,0)</f>
        <v>-</v>
      </c>
      <c r="E13" s="1" t="str">
        <f>VLOOKUP(B13,'Sales Master'!$B$3:$F$3255,5,0)</f>
        <v>1 kg</v>
      </c>
      <c r="F13" s="152">
        <v>2.2999999999999998</v>
      </c>
      <c r="G13" s="2"/>
      <c r="H13" s="1"/>
      <c r="I13" s="2"/>
      <c r="J13" s="1"/>
      <c r="K13" s="2"/>
      <c r="L13" s="1"/>
      <c r="M13" s="2"/>
      <c r="N13" s="1"/>
      <c r="O13" s="2"/>
      <c r="P13" s="1"/>
      <c r="Q13" s="2"/>
      <c r="R13" s="1"/>
    </row>
    <row r="14" spans="2:18" ht="25" customHeight="1" x14ac:dyDescent="0.35">
      <c r="B14" s="6" t="s">
        <v>1618</v>
      </c>
      <c r="C14" s="1" t="str">
        <f>VLOOKUP(B14,'Sales Master'!$B$3:$D$3255,2,0)</f>
        <v>Dried Longan 龙眼干</v>
      </c>
      <c r="D14" s="129" t="s">
        <v>1232</v>
      </c>
      <c r="E14" s="1" t="str">
        <f>VLOOKUP(B14,'Sales Master'!$B$3:$F$3255,5,0)</f>
        <v>1 kg</v>
      </c>
      <c r="F14" s="152">
        <v>12</v>
      </c>
      <c r="G14" s="2"/>
      <c r="H14" s="1"/>
      <c r="I14" s="2"/>
      <c r="J14" s="1"/>
      <c r="K14" s="2"/>
      <c r="L14" s="1"/>
      <c r="M14" s="2"/>
      <c r="N14" s="1"/>
      <c r="O14" s="2"/>
      <c r="P14" s="1"/>
      <c r="Q14" s="2"/>
      <c r="R14" s="1"/>
    </row>
    <row r="15" spans="2:18" ht="25" customHeight="1" x14ac:dyDescent="0.35">
      <c r="B15" s="6" t="s">
        <v>1627</v>
      </c>
      <c r="C15" s="1" t="str">
        <f>VLOOKUP(B15,'Sales Master'!$B$3:$D$3255,2,0)</f>
        <v>Red Date 红枣 (Seedless)</v>
      </c>
      <c r="D15" s="129" t="str">
        <f>VLOOKUP(B15,'Sales Master'!$B$3:$E$3255,4,0)</f>
        <v>-</v>
      </c>
      <c r="E15" s="1" t="str">
        <f>VLOOKUP(B15,'Sales Master'!$B$3:$F$3255,5,0)</f>
        <v>1 kg</v>
      </c>
      <c r="F15" s="152">
        <v>5.5</v>
      </c>
      <c r="G15" s="2"/>
      <c r="H15" s="1"/>
      <c r="I15" s="2"/>
      <c r="J15" s="1"/>
      <c r="K15" s="2"/>
      <c r="L15" s="1"/>
      <c r="M15" s="2"/>
      <c r="N15" s="1"/>
      <c r="O15" s="2"/>
      <c r="P15" s="1"/>
      <c r="Q15" s="2"/>
      <c r="R15" s="1"/>
    </row>
    <row r="16" spans="2:18" ht="25" customHeight="1" x14ac:dyDescent="0.35">
      <c r="B16" s="6" t="s">
        <v>1741</v>
      </c>
      <c r="C16" s="1" t="str">
        <f>VLOOKUP(B16,'Sales Master'!$B$3:$D$3255,2,0)</f>
        <v>Coconut Milk 椰浆</v>
      </c>
      <c r="D16" s="129" t="str">
        <f>VLOOKUP(B16,'Sales Master'!$B$3:$E$3255,4,0)</f>
        <v>Sin-ind</v>
      </c>
      <c r="E16" s="1" t="str">
        <f>VLOOKUP(B16,'Sales Master'!$B$3:$F$3255,5,0)</f>
        <v>(1L x 12bag)/箱</v>
      </c>
      <c r="F16" s="152">
        <v>38</v>
      </c>
      <c r="G16" s="2"/>
      <c r="H16" s="1"/>
      <c r="I16" s="2"/>
      <c r="J16" s="1"/>
      <c r="K16" s="2"/>
      <c r="L16" s="1"/>
      <c r="M16" s="2"/>
      <c r="N16" s="1"/>
      <c r="O16" s="2"/>
      <c r="P16" s="1"/>
      <c r="Q16" s="2"/>
      <c r="R16" s="1"/>
    </row>
    <row r="17" spans="2:18" ht="25" customHeight="1" x14ac:dyDescent="0.35">
      <c r="B17" s="6" t="s">
        <v>1715</v>
      </c>
      <c r="C17" s="1" t="str">
        <f>VLOOKUP(B17,'Sales Master'!$B$3:$D$3255,2,0)</f>
        <v>Carnation Milk三花淡奶水</v>
      </c>
      <c r="D17" s="129" t="str">
        <f>VLOOKUP(B17,'Sales Master'!$B$3:$E$3255,4,0)</f>
        <v>Threeflower</v>
      </c>
      <c r="E17" s="1" t="str">
        <f>VLOOKUP(B17,'Sales Master'!$B$3:$F$3255,5,0)</f>
        <v>405 gm x48 can/Ctn</v>
      </c>
      <c r="F17" s="152">
        <v>55</v>
      </c>
      <c r="G17" s="2"/>
      <c r="H17" s="1"/>
      <c r="I17" s="2"/>
      <c r="J17" s="1"/>
      <c r="K17" s="2"/>
      <c r="L17" s="1"/>
      <c r="M17" s="2"/>
      <c r="N17" s="1"/>
      <c r="O17" s="2"/>
      <c r="P17" s="1"/>
      <c r="Q17" s="2"/>
      <c r="R17" s="1"/>
    </row>
    <row r="18" spans="2:18" ht="25" customHeight="1" x14ac:dyDescent="0.35">
      <c r="B18" s="6" t="s">
        <v>1696</v>
      </c>
      <c r="C18" s="1" t="str">
        <f>VLOOKUP(B18,'Sales Master'!$B$3:$D$3255,2,0)</f>
        <v>Longan in Syrup龙眼</v>
      </c>
      <c r="D18" s="129" t="str">
        <f>VLOOKUP(B18,'Sales Master'!$B$3:$E$3255,4,0)</f>
        <v>YiFong</v>
      </c>
      <c r="E18" s="1" t="str">
        <f>VLOOKUP(B18,'Sales Master'!$B$3:$F$3255,5,0)</f>
        <v>(565gm x 12)/箱</v>
      </c>
      <c r="F18" s="152">
        <v>23</v>
      </c>
      <c r="G18" s="2"/>
      <c r="H18" s="1"/>
      <c r="I18" s="2"/>
      <c r="J18" s="1"/>
      <c r="K18" s="2"/>
      <c r="L18" s="1"/>
      <c r="M18" s="2"/>
      <c r="N18" s="1"/>
      <c r="O18" s="2"/>
      <c r="P18" s="1"/>
      <c r="Q18" s="2"/>
      <c r="R18" s="1"/>
    </row>
    <row r="19" spans="2:18" ht="25" customHeight="1" x14ac:dyDescent="0.35">
      <c r="B19" s="6" t="s">
        <v>1702</v>
      </c>
      <c r="C19" s="1" t="str">
        <f>VLOOKUP(B19,'Sales Master'!$B$3:$D$3255,2,0)</f>
        <v>Lychee in Syrup荔枝</v>
      </c>
      <c r="D19" s="129" t="str">
        <f>VLOOKUP(B19,'Sales Master'!$B$3:$E$3255,4,0)</f>
        <v>MiLi</v>
      </c>
      <c r="E19" s="1" t="str">
        <f>VLOOKUP(B19,'Sales Master'!$B$3:$F$3255,5,0)</f>
        <v>12can/箱</v>
      </c>
      <c r="F19" s="152">
        <v>24</v>
      </c>
      <c r="G19" s="2"/>
      <c r="H19" s="1"/>
      <c r="I19" s="2"/>
      <c r="J19" s="1"/>
      <c r="K19" s="2"/>
      <c r="L19" s="1"/>
      <c r="M19" s="2"/>
      <c r="N19" s="1"/>
      <c r="O19" s="2"/>
      <c r="P19" s="1"/>
      <c r="Q19" s="2"/>
      <c r="R19" s="1"/>
    </row>
    <row r="20" spans="2:18" ht="25" customHeight="1" x14ac:dyDescent="0.35">
      <c r="B20" s="6" t="s">
        <v>1712</v>
      </c>
      <c r="C20" s="1" t="str">
        <f>VLOOKUP(B20,'Sales Master'!$B$3:$D$3255,2,0)</f>
        <v>Canned Red Bean 罐头 红豆</v>
      </c>
      <c r="D20" s="129" t="str">
        <f>VLOOKUP(B20,'Sales Master'!$B$3:$E$3255,4,0)</f>
        <v>Joy</v>
      </c>
      <c r="E20" s="1" t="str">
        <f>VLOOKUP(B20,'Sales Master'!$B$3:$F$3255,5,0)</f>
        <v xml:space="preserve">3.3KG/Can </v>
      </c>
      <c r="F20" s="152">
        <v>10.5</v>
      </c>
      <c r="G20" s="2"/>
      <c r="H20" s="1"/>
      <c r="I20" s="2"/>
      <c r="J20" s="1"/>
      <c r="K20" s="2"/>
      <c r="L20" s="1"/>
      <c r="M20" s="2"/>
      <c r="N20" s="1"/>
      <c r="O20" s="2"/>
      <c r="P20" s="1"/>
      <c r="Q20" s="2"/>
      <c r="R20" s="1"/>
    </row>
    <row r="21" spans="2:18" ht="25" customHeight="1" x14ac:dyDescent="0.35">
      <c r="B21" s="6" t="s">
        <v>1771</v>
      </c>
      <c r="C21" s="1" t="str">
        <f>VLOOKUP(B21,'Sales Master'!$B$3:$D$3255,2,0)</f>
        <v>Fine Sugar 白糖</v>
      </c>
      <c r="D21" s="129" t="str">
        <f>VLOOKUP(B21,'Sales Master'!$B$3:$E$3255,4,0)</f>
        <v>MITRPHOL</v>
      </c>
      <c r="E21" s="1" t="str">
        <f>VLOOKUP(B21,'Sales Master'!$B$3:$F$3255,5,0)</f>
        <v>25 KGS</v>
      </c>
      <c r="F21" s="152">
        <v>29</v>
      </c>
      <c r="G21" s="2"/>
      <c r="H21" s="1"/>
      <c r="I21" s="2"/>
      <c r="J21" s="1"/>
      <c r="K21" s="2"/>
      <c r="L21" s="1"/>
      <c r="M21" s="2"/>
      <c r="N21" s="1"/>
      <c r="O21" s="2"/>
      <c r="P21" s="1"/>
      <c r="Q21" s="2"/>
      <c r="R21" s="1"/>
    </row>
    <row r="22" spans="2:18" ht="25" customHeight="1" x14ac:dyDescent="0.35">
      <c r="B22" s="6" t="s">
        <v>1777</v>
      </c>
      <c r="C22" s="1" t="str">
        <f>VLOOKUP(B22,'Sales Master'!$B$3:$D$3255,2,0)</f>
        <v>Coconut Sugar椰糖</v>
      </c>
      <c r="D22" s="129" t="str">
        <f>VLOOKUP(B22,'Sales Master'!$B$3:$E$3255,4,0)</f>
        <v>2P</v>
      </c>
      <c r="E22" s="1" t="str">
        <f>VLOOKUP(B22,'Sales Master'!$B$3:$F$3255,5,0)</f>
        <v>500 GM</v>
      </c>
      <c r="F22" s="152">
        <v>2.2000000000000002</v>
      </c>
      <c r="G22" s="2"/>
      <c r="H22" s="1"/>
      <c r="I22" s="2"/>
      <c r="J22" s="1"/>
      <c r="K22" s="2"/>
      <c r="L22" s="1"/>
      <c r="M22" s="2"/>
      <c r="N22" s="1"/>
      <c r="O22" s="2"/>
      <c r="P22" s="1"/>
      <c r="Q22" s="2"/>
      <c r="R22" s="1"/>
    </row>
    <row r="23" spans="2:18" ht="25" customHeight="1" x14ac:dyDescent="0.35">
      <c r="B23" s="6" t="s">
        <v>1789</v>
      </c>
      <c r="C23" s="1" t="str">
        <f>VLOOKUP(B23,'Sales Master'!$B$3:$D$3255,2,0)</f>
        <v>Sweet Potato 番薯</v>
      </c>
      <c r="D23" s="129" t="str">
        <f>VLOOKUP(B23,'Sales Master'!$B$3:$E$3255,4,0)</f>
        <v>Malaysia</v>
      </c>
      <c r="E23" s="1" t="str">
        <f>VLOOKUP(B23,'Sales Master'!$B$3:$F$3255,5,0)</f>
        <v>1 KG</v>
      </c>
      <c r="F23" s="152">
        <v>2.5</v>
      </c>
      <c r="G23" s="2"/>
      <c r="H23" s="1"/>
      <c r="I23" s="2"/>
      <c r="J23" s="1"/>
      <c r="K23" s="2"/>
      <c r="L23" s="1"/>
      <c r="M23" s="2"/>
      <c r="N23" s="1"/>
      <c r="O23" s="2"/>
      <c r="P23" s="1"/>
      <c r="Q23" s="2"/>
      <c r="R23" s="1"/>
    </row>
    <row r="24" spans="2:18" ht="25" customHeight="1" x14ac:dyDescent="0.35">
      <c r="B24" s="6" t="s">
        <v>1791</v>
      </c>
      <c r="C24" s="1" t="str">
        <f>VLOOKUP(B24,'Sales Master'!$B$3:$D$3255,2,0)</f>
        <v>Yam 芋头</v>
      </c>
      <c r="D24" s="129" t="str">
        <f>VLOOKUP(B24,'Sales Master'!$B$3:$E$3255,4,0)</f>
        <v>Thailand</v>
      </c>
      <c r="E24" s="1" t="str">
        <f>VLOOKUP(B24,'Sales Master'!$B$3:$F$3255,5,0)</f>
        <v>1 KG</v>
      </c>
      <c r="F24" s="152">
        <v>4.8</v>
      </c>
      <c r="G24" s="2"/>
      <c r="H24" s="1"/>
      <c r="I24" s="2"/>
      <c r="J24" s="1"/>
      <c r="K24" s="2"/>
      <c r="L24" s="1"/>
      <c r="M24" s="2"/>
      <c r="N24" s="1"/>
      <c r="O24" s="2"/>
      <c r="P24" s="1"/>
      <c r="Q24" s="2"/>
      <c r="R24" s="1"/>
    </row>
    <row r="25" spans="2:18" ht="25" customHeight="1" x14ac:dyDescent="0.35">
      <c r="B25" s="6" t="s">
        <v>1794</v>
      </c>
      <c r="C25" s="1" t="str">
        <f>VLOOKUP(B25,'Sales Master'!$B$3:$D$3255,2,0)</f>
        <v>Pandan Leaf 班兰叶</v>
      </c>
      <c r="D25" s="129" t="str">
        <f>VLOOKUP(B25,'Sales Master'!$B$3:$E$3255,4,0)</f>
        <v>-</v>
      </c>
      <c r="E25" s="1" t="str">
        <f>VLOOKUP(B25,'Sales Master'!$B$3:$F$3255,5,0)</f>
        <v>1 kg</v>
      </c>
      <c r="F25" s="152">
        <v>1.8</v>
      </c>
      <c r="G25" s="2"/>
      <c r="H25" s="1"/>
      <c r="I25" s="2"/>
      <c r="J25" s="1"/>
      <c r="K25" s="2"/>
      <c r="L25" s="1"/>
      <c r="M25" s="2"/>
      <c r="N25" s="1"/>
      <c r="O25" s="2"/>
      <c r="P25" s="1"/>
      <c r="Q25" s="2"/>
      <c r="R25" s="1"/>
    </row>
    <row r="26" spans="2:18" ht="25" customHeight="1" x14ac:dyDescent="0.35">
      <c r="B26" s="6" t="s">
        <v>1805</v>
      </c>
      <c r="C26" s="1" t="str">
        <f>VLOOKUP(B26,'Sales Master'!$B$3:$D$3255,2,0)</f>
        <v>Food Coloring - Liquid)颜色-水</v>
      </c>
      <c r="D26" s="129" t="str">
        <f>VLOOKUP(B26,'Sales Master'!$B$3:$E$3255,4,0)</f>
        <v>Red/红</v>
      </c>
      <c r="E26" s="1" t="str">
        <f>VLOOKUP(B26,'Sales Master'!$B$3:$F$3255,5,0)</f>
        <v>500 ML/BTL</v>
      </c>
      <c r="F26" s="152">
        <v>2.5</v>
      </c>
      <c r="G26" s="2"/>
      <c r="H26" s="1"/>
      <c r="I26" s="2"/>
      <c r="J26" s="1"/>
      <c r="K26" s="2"/>
      <c r="L26" s="1"/>
      <c r="M26" s="2"/>
      <c r="N26" s="1"/>
      <c r="O26" s="2"/>
      <c r="P26" s="1"/>
      <c r="Q26" s="2"/>
      <c r="R26" s="1"/>
    </row>
    <row r="27" spans="2:18" ht="25" customHeight="1" x14ac:dyDescent="0.35">
      <c r="B27" s="6" t="s">
        <v>1808</v>
      </c>
      <c r="C27" s="1" t="str">
        <f>VLOOKUP(B27,'Sales Master'!$B$3:$D$3255,2,0)</f>
        <v>Food Coloring - Liquid)颜色-水</v>
      </c>
      <c r="D27" s="129" t="str">
        <f>VLOOKUP(B27,'Sales Master'!$B$3:$E$3255,4,0)</f>
        <v>Black/黑</v>
      </c>
      <c r="E27" s="1" t="str">
        <f>VLOOKUP(B27,'Sales Master'!$B$3:$F$3255,5,0)</f>
        <v>500 ML/BTL</v>
      </c>
      <c r="F27" s="152">
        <v>3.8</v>
      </c>
      <c r="G27" s="2"/>
      <c r="H27" s="1"/>
      <c r="I27" s="2"/>
      <c r="J27" s="1"/>
      <c r="K27" s="2"/>
      <c r="L27" s="1"/>
      <c r="M27" s="2"/>
      <c r="N27" s="1"/>
      <c r="O27" s="2"/>
      <c r="P27" s="1"/>
      <c r="Q27" s="2"/>
      <c r="R27" s="1"/>
    </row>
    <row r="28" spans="2:18" ht="25" customHeight="1" x14ac:dyDescent="0.35">
      <c r="B28" s="6"/>
      <c r="C28" s="1"/>
      <c r="D28" s="129"/>
      <c r="E28" s="1"/>
      <c r="F28" s="152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</row>
    <row r="29" spans="2:18" ht="25" customHeight="1" x14ac:dyDescent="0.35"/>
    <row r="30" spans="2:18" ht="25" customHeight="1" x14ac:dyDescent="0.35"/>
    <row r="31" spans="2:18" ht="25" customHeight="1" x14ac:dyDescent="0.35"/>
    <row r="32" spans="2:18" ht="25" customHeight="1" x14ac:dyDescent="0.35"/>
    <row r="33" ht="25" customHeight="1" x14ac:dyDescent="0.35"/>
    <row r="34" ht="25" customHeight="1" x14ac:dyDescent="0.35"/>
  </sheetData>
  <mergeCells count="11">
    <mergeCell ref="B3:B4"/>
    <mergeCell ref="K3:L3"/>
    <mergeCell ref="M3:N3"/>
    <mergeCell ref="O3:P3"/>
    <mergeCell ref="Q3:R3"/>
    <mergeCell ref="C3:C4"/>
    <mergeCell ref="D3:D4"/>
    <mergeCell ref="E3:E4"/>
    <mergeCell ref="G3:H3"/>
    <mergeCell ref="I3:J3"/>
    <mergeCell ref="F3:F4"/>
  </mergeCells>
  <pageMargins left="0.70866141732283472" right="0.70866141732283472" top="0.74803149606299213" bottom="0.74803149606299213" header="0.31496062992125984" footer="0.31496062992125984"/>
  <pageSetup scale="68" fitToHeight="0" orientation="landscape" horizontalDpi="300" verticalDpi="300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DDB788-8116-404D-9E10-072B3F5903CE}">
  <sheetPr codeName="Sheet135">
    <tabColor theme="0" tint="-0.499984740745262"/>
    <pageSetUpPr fitToPage="1"/>
  </sheetPr>
  <dimension ref="B1:O51"/>
  <sheetViews>
    <sheetView workbookViewId="0">
      <selection activeCell="L9" sqref="L9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6.54296875" style="24" customWidth="1"/>
    <col min="7" max="7" width="8.54296875" style="24" customWidth="1"/>
    <col min="8" max="8" width="15.26953125" style="24" customWidth="1"/>
    <col min="9" max="9" width="1.26953125" style="24" customWidth="1"/>
    <col min="10" max="10" width="15.54296875" style="24" customWidth="1"/>
    <col min="11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146</v>
      </c>
      <c r="J10" s="29" t="s">
        <v>29</v>
      </c>
      <c r="K10" s="452">
        <v>202004053</v>
      </c>
      <c r="L10" s="453"/>
    </row>
    <row r="11" spans="2:12" ht="20.149999999999999" customHeight="1" x14ac:dyDescent="0.45">
      <c r="B11" s="454" t="s">
        <v>132</v>
      </c>
      <c r="C11" s="455"/>
      <c r="D11" s="456"/>
      <c r="E11" s="30"/>
      <c r="F11" s="457" t="str">
        <f>VLOOKUP(H10,'Delivery Location'!A$4:N$416,2,0)</f>
        <v>Toast Junction                                       252 North Bridge Road.                                   #03-15/16/17 Raffles City Shopping Centre.                          Singapore 189768.</v>
      </c>
      <c r="G11" s="458"/>
      <c r="H11" s="459"/>
      <c r="J11" s="31" t="s">
        <v>11</v>
      </c>
      <c r="K11" s="551">
        <v>43865</v>
      </c>
      <c r="L11" s="472"/>
    </row>
    <row r="12" spans="2:12" ht="20.149999999999999" customHeight="1" x14ac:dyDescent="0.45">
      <c r="B12" s="468" t="s">
        <v>869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1016</v>
      </c>
      <c r="L12" s="472"/>
    </row>
    <row r="13" spans="2:12" ht="20.149999999999999" customHeight="1" x14ac:dyDescent="0.45">
      <c r="B13" s="468" t="s">
        <v>870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14</v>
      </c>
      <c r="L13" s="472"/>
    </row>
    <row r="14" spans="2:12" ht="20.149999999999999" customHeight="1" x14ac:dyDescent="0.45">
      <c r="B14" s="468" t="s">
        <v>871</v>
      </c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473" t="s">
        <v>872</v>
      </c>
      <c r="C15" s="474"/>
      <c r="D15" s="475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15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3"/>
      <c r="O17" s="33"/>
    </row>
    <row r="18" spans="2:15" ht="20.149999999999999" customHeight="1" x14ac:dyDescent="0.45">
      <c r="B18" s="70" t="s">
        <v>63</v>
      </c>
      <c r="C18" s="22" t="str">
        <f>VLOOKUP(B18,'Sales Master'!A$3:B$581,2,0)</f>
        <v>P3016A</v>
      </c>
      <c r="D18" s="508" t="str">
        <f>VLOOKUP(C18,'Sales Master'!B$3:D$499,2,)</f>
        <v>Pearl Barley 薏米</v>
      </c>
      <c r="E18" s="508"/>
      <c r="F18" s="508"/>
      <c r="G18" s="22">
        <v>4</v>
      </c>
      <c r="H18" s="68" t="str">
        <f>VLOOKUP(C18,'Sales Master'!$B$3:$F$3247,5,0)</f>
        <v>5 kgs</v>
      </c>
      <c r="I18" s="481" t="str">
        <f>VLOOKUP(C18,'Sales Master'!$B$3:$E$3247,4,0)</f>
        <v>-</v>
      </c>
      <c r="J18" s="481"/>
      <c r="K18" s="35">
        <f>VLOOKUP(C18,'Sales Master'!B$3:I$581,8,0)</f>
        <v>8.5</v>
      </c>
      <c r="L18" s="77">
        <f>K18*G18</f>
        <v>34</v>
      </c>
      <c r="M18" s="78"/>
    </row>
    <row r="19" spans="2:15" ht="20.149999999999999" customHeight="1" x14ac:dyDescent="0.45">
      <c r="B19" s="70" t="s">
        <v>65</v>
      </c>
      <c r="C19" s="22" t="str">
        <f>VLOOKUP(B19,'Sales Master'!A$3:B$581,2,0)</f>
        <v>P3032A</v>
      </c>
      <c r="D19" s="508" t="str">
        <f>VLOOKUP(C19,'Sales Master'!B$3:D$499,2,)</f>
        <v>Sweeten Melon Strip冬瓜条</v>
      </c>
      <c r="E19" s="508"/>
      <c r="F19" s="508"/>
      <c r="G19" s="22">
        <v>3</v>
      </c>
      <c r="H19" s="68" t="str">
        <f>VLOOKUP(C19,'Sales Master'!$B$3:$F$3247,5,0)</f>
        <v>3KGS/PKT</v>
      </c>
      <c r="I19" s="481" t="str">
        <f>VLOOKUP(C19,'Sales Master'!$B$3:$E$3247,4,0)</f>
        <v>Rabbit Brand</v>
      </c>
      <c r="J19" s="481"/>
      <c r="K19" s="35">
        <f>VLOOKUP(C19,'Sales Master'!B$3:I$581,8,0)</f>
        <v>18</v>
      </c>
      <c r="L19" s="77">
        <f>K19*G19</f>
        <v>54</v>
      </c>
      <c r="M19" s="78"/>
    </row>
    <row r="20" spans="2:15" ht="20.149999999999999" customHeight="1" x14ac:dyDescent="0.45">
      <c r="B20" s="70"/>
      <c r="C20" s="22"/>
      <c r="D20" s="508"/>
      <c r="E20" s="508"/>
      <c r="F20" s="508"/>
      <c r="G20" s="22"/>
      <c r="H20" s="68"/>
      <c r="I20" s="481"/>
      <c r="J20" s="481"/>
      <c r="K20" s="35"/>
      <c r="L20" s="77"/>
      <c r="M20" s="78"/>
    </row>
    <row r="21" spans="2:15" ht="20.149999999999999" customHeight="1" x14ac:dyDescent="0.45">
      <c r="B21" s="70"/>
      <c r="C21" s="22"/>
      <c r="D21" s="508"/>
      <c r="E21" s="508"/>
      <c r="F21" s="508"/>
      <c r="G21" s="22"/>
      <c r="H21" s="68"/>
      <c r="I21" s="481"/>
      <c r="J21" s="481"/>
      <c r="K21" s="35"/>
      <c r="L21" s="77"/>
      <c r="M21" s="78"/>
    </row>
    <row r="22" spans="2:15" ht="20.149999999999999" customHeight="1" x14ac:dyDescent="0.45">
      <c r="B22" s="70"/>
      <c r="C22" s="22"/>
      <c r="D22" s="508"/>
      <c r="E22" s="508"/>
      <c r="F22" s="508"/>
      <c r="G22" s="22"/>
      <c r="H22" s="68"/>
      <c r="I22" s="481"/>
      <c r="J22" s="481"/>
      <c r="K22" s="35"/>
      <c r="L22" s="77"/>
      <c r="M22" s="78"/>
    </row>
    <row r="23" spans="2:15" ht="20.149999999999999" customHeight="1" x14ac:dyDescent="0.45">
      <c r="B23" s="70"/>
      <c r="C23" s="22"/>
      <c r="D23" s="508"/>
      <c r="E23" s="508"/>
      <c r="F23" s="508"/>
      <c r="G23" s="22"/>
      <c r="H23" s="68"/>
      <c r="I23" s="481"/>
      <c r="J23" s="481"/>
      <c r="K23" s="35"/>
      <c r="L23" s="77"/>
      <c r="M23" s="78"/>
    </row>
    <row r="24" spans="2:15" ht="20.149999999999999" customHeight="1" x14ac:dyDescent="0.45">
      <c r="B24" s="70"/>
      <c r="C24" s="22"/>
      <c r="D24" s="508"/>
      <c r="E24" s="508"/>
      <c r="F24" s="508"/>
      <c r="G24" s="22"/>
      <c r="H24" s="68"/>
      <c r="I24" s="481"/>
      <c r="J24" s="481"/>
      <c r="K24" s="35"/>
      <c r="L24" s="77"/>
      <c r="M24" s="78"/>
    </row>
    <row r="25" spans="2:15" ht="20.149999999999999" customHeight="1" x14ac:dyDescent="0.45">
      <c r="B25" s="70"/>
      <c r="C25" s="22"/>
      <c r="D25" s="508"/>
      <c r="E25" s="508"/>
      <c r="F25" s="508"/>
      <c r="G25" s="22"/>
      <c r="H25" s="68"/>
      <c r="I25" s="481"/>
      <c r="J25" s="481"/>
      <c r="K25" s="35"/>
      <c r="L25" s="77"/>
      <c r="M25" s="78"/>
    </row>
    <row r="26" spans="2:15" ht="20.149999999999999" customHeight="1" x14ac:dyDescent="0.45">
      <c r="B26" s="70"/>
      <c r="C26" s="22"/>
      <c r="D26" s="508"/>
      <c r="E26" s="508"/>
      <c r="F26" s="508"/>
      <c r="G26" s="22"/>
      <c r="H26" s="68"/>
      <c r="I26" s="481"/>
      <c r="J26" s="481"/>
      <c r="K26" s="35"/>
      <c r="L26" s="77"/>
      <c r="M26" s="78"/>
    </row>
    <row r="27" spans="2:15" ht="20.149999999999999" customHeight="1" x14ac:dyDescent="0.45">
      <c r="B27" s="70"/>
      <c r="C27" s="22"/>
      <c r="D27" s="508"/>
      <c r="E27" s="508"/>
      <c r="F27" s="508"/>
      <c r="G27" s="22"/>
      <c r="H27" s="68"/>
      <c r="I27" s="481"/>
      <c r="J27" s="481"/>
      <c r="K27" s="35"/>
      <c r="L27" s="77"/>
      <c r="M27" s="78"/>
    </row>
    <row r="28" spans="2:15" ht="20.149999999999999" customHeight="1" x14ac:dyDescent="0.45">
      <c r="B28" s="70"/>
      <c r="C28" s="22"/>
      <c r="D28" s="508"/>
      <c r="E28" s="508"/>
      <c r="F28" s="508"/>
      <c r="G28" s="22"/>
      <c r="H28" s="68"/>
      <c r="I28" s="481"/>
      <c r="J28" s="481"/>
      <c r="K28" s="35"/>
      <c r="L28" s="77"/>
      <c r="M28" s="78"/>
    </row>
    <row r="29" spans="2:15" ht="19" customHeight="1" x14ac:dyDescent="0.45">
      <c r="B29" s="70"/>
      <c r="C29" s="22"/>
      <c r="D29" s="508"/>
      <c r="E29" s="508"/>
      <c r="F29" s="508"/>
      <c r="G29" s="22"/>
      <c r="H29" s="68"/>
      <c r="I29" s="481"/>
      <c r="J29" s="481"/>
      <c r="K29" s="35"/>
      <c r="L29" s="77"/>
      <c r="M29" s="78"/>
    </row>
    <row r="30" spans="2:15" ht="20.149999999999999" customHeight="1" x14ac:dyDescent="0.45">
      <c r="B30" s="70"/>
      <c r="C30" s="22"/>
      <c r="D30" s="508"/>
      <c r="E30" s="508"/>
      <c r="F30" s="508"/>
      <c r="G30" s="22"/>
      <c r="H30" s="68"/>
      <c r="I30" s="481"/>
      <c r="J30" s="481"/>
      <c r="K30" s="35"/>
      <c r="L30" s="77"/>
      <c r="M30" s="78"/>
    </row>
    <row r="31" spans="2:15" ht="20.149999999999999" customHeight="1" x14ac:dyDescent="0.45">
      <c r="B31" s="70"/>
      <c r="C31" s="22"/>
      <c r="D31" s="508"/>
      <c r="E31" s="508"/>
      <c r="F31" s="508"/>
      <c r="G31" s="22"/>
      <c r="H31" s="68"/>
      <c r="I31" s="481"/>
      <c r="J31" s="481"/>
      <c r="K31" s="35"/>
      <c r="L31" s="77"/>
      <c r="M31" s="78"/>
    </row>
    <row r="32" spans="2:15" ht="20.149999999999999" customHeight="1" x14ac:dyDescent="0.45">
      <c r="B32" s="70"/>
      <c r="C32" s="22"/>
      <c r="D32" s="508"/>
      <c r="E32" s="508"/>
      <c r="F32" s="508"/>
      <c r="G32" s="22"/>
      <c r="H32" s="68"/>
      <c r="I32" s="481"/>
      <c r="J32" s="481"/>
      <c r="K32" s="35"/>
      <c r="L32" s="77"/>
      <c r="M32" s="78"/>
    </row>
    <row r="33" spans="2:13" ht="20.149999999999999" customHeight="1" x14ac:dyDescent="0.45">
      <c r="B33" s="70"/>
      <c r="C33" s="22"/>
      <c r="D33" s="508"/>
      <c r="E33" s="508"/>
      <c r="F33" s="508"/>
      <c r="G33" s="22"/>
      <c r="H33" s="68"/>
      <c r="I33" s="481"/>
      <c r="J33" s="481"/>
      <c r="K33" s="35"/>
      <c r="L33" s="77"/>
      <c r="M33" s="78"/>
    </row>
    <row r="34" spans="2:13" ht="20.149999999999999" customHeight="1" x14ac:dyDescent="0.45">
      <c r="B34" s="70"/>
      <c r="C34" s="22"/>
      <c r="D34" s="508"/>
      <c r="E34" s="508"/>
      <c r="F34" s="508"/>
      <c r="G34" s="22"/>
      <c r="H34" s="68"/>
      <c r="I34" s="450"/>
      <c r="J34" s="450"/>
      <c r="K34" s="35"/>
      <c r="L34" s="77"/>
      <c r="M34" s="78"/>
    </row>
    <row r="35" spans="2:13" ht="20.149999999999999" customHeight="1" x14ac:dyDescent="0.45">
      <c r="B35" s="70"/>
      <c r="C35" s="22"/>
      <c r="G35" s="22"/>
      <c r="H35" s="68"/>
      <c r="I35" s="22"/>
      <c r="J35" s="22"/>
      <c r="K35" s="35"/>
      <c r="L35" s="77"/>
      <c r="M35" s="78"/>
    </row>
    <row r="36" spans="2:13" ht="20.149999999999999" customHeight="1" x14ac:dyDescent="0.45">
      <c r="B36" s="70"/>
      <c r="C36" s="22"/>
      <c r="D36" s="508"/>
      <c r="E36" s="508"/>
      <c r="F36" s="508"/>
      <c r="G36" s="22"/>
      <c r="H36" s="68"/>
      <c r="I36" s="450"/>
      <c r="J36" s="450"/>
      <c r="K36" s="35"/>
      <c r="L36" s="36"/>
    </row>
    <row r="37" spans="2:13" ht="20.149999999999999" customHeight="1" thickBot="1" x14ac:dyDescent="0.5">
      <c r="B37" s="37"/>
      <c r="C37" s="38"/>
      <c r="D37" s="509"/>
      <c r="E37" s="509"/>
      <c r="F37" s="509"/>
      <c r="G37" s="38"/>
      <c r="H37" s="69"/>
      <c r="I37" s="451"/>
      <c r="J37" s="451"/>
      <c r="K37" s="39"/>
      <c r="L37" s="40"/>
    </row>
    <row r="38" spans="2:13" ht="20.149999999999999" customHeight="1" thickBot="1" x14ac:dyDescent="0.5">
      <c r="B38" s="41"/>
      <c r="L38" s="42"/>
    </row>
    <row r="39" spans="2:13" ht="20.149999999999999" customHeight="1" x14ac:dyDescent="0.45">
      <c r="B39" s="11" t="s">
        <v>18</v>
      </c>
      <c r="C39" s="7"/>
      <c r="D39" s="7"/>
      <c r="E39" s="7"/>
      <c r="F39" s="7"/>
      <c r="G39" s="7"/>
      <c r="H39" s="7"/>
      <c r="I39" s="7"/>
      <c r="J39" s="510" t="s">
        <v>15</v>
      </c>
      <c r="K39" s="511"/>
      <c r="L39" s="43">
        <f>SUM(L17:L36)</f>
        <v>88</v>
      </c>
      <c r="M39" s="76">
        <f>L39-858</f>
        <v>-770</v>
      </c>
    </row>
    <row r="40" spans="2:13" ht="20.149999999999999" customHeight="1" x14ac:dyDescent="0.45">
      <c r="B40" s="11" t="s">
        <v>19</v>
      </c>
      <c r="C40" s="7"/>
      <c r="D40" s="7"/>
      <c r="E40" s="7"/>
      <c r="F40" s="7"/>
      <c r="G40" s="7"/>
      <c r="H40" s="7"/>
      <c r="I40" s="7"/>
      <c r="J40" s="44" t="s">
        <v>22</v>
      </c>
      <c r="K40" s="45"/>
      <c r="L40" s="46">
        <f>L39*K40</f>
        <v>0</v>
      </c>
    </row>
    <row r="41" spans="2:13" ht="20.149999999999999" customHeight="1" x14ac:dyDescent="0.45">
      <c r="B41" s="11" t="s">
        <v>20</v>
      </c>
      <c r="C41" s="7"/>
      <c r="D41" s="7"/>
      <c r="E41" s="7"/>
      <c r="F41" s="7"/>
      <c r="G41" s="7"/>
      <c r="H41" s="7"/>
      <c r="I41" s="7"/>
      <c r="J41" s="486" t="s">
        <v>21</v>
      </c>
      <c r="K41" s="487"/>
      <c r="L41" s="46">
        <f>L39-L40</f>
        <v>88</v>
      </c>
    </row>
    <row r="42" spans="2:13" ht="20.149999999999999" customHeight="1" x14ac:dyDescent="0.45">
      <c r="B42" s="11" t="s">
        <v>24</v>
      </c>
      <c r="C42" s="7"/>
      <c r="D42" s="7"/>
      <c r="E42" s="7"/>
      <c r="F42" s="7"/>
      <c r="G42" s="7"/>
      <c r="H42" s="7"/>
      <c r="I42" s="7"/>
      <c r="J42" s="150" t="s">
        <v>17</v>
      </c>
      <c r="K42" s="151">
        <v>7.0000000000000007E-2</v>
      </c>
      <c r="L42" s="47">
        <f>L41*K42</f>
        <v>6.16</v>
      </c>
    </row>
    <row r="43" spans="2:13" ht="20.149999999999999" customHeight="1" thickBot="1" x14ac:dyDescent="0.5">
      <c r="B43" s="11" t="s">
        <v>25</v>
      </c>
      <c r="C43" s="7"/>
      <c r="D43" s="7"/>
      <c r="E43" s="7"/>
      <c r="F43" s="7"/>
      <c r="G43" s="7"/>
      <c r="H43" s="7"/>
      <c r="I43" s="7"/>
      <c r="J43" s="488" t="s">
        <v>23</v>
      </c>
      <c r="K43" s="489"/>
      <c r="L43" s="48">
        <f>L41+L42</f>
        <v>94.16</v>
      </c>
    </row>
    <row r="44" spans="2:13" ht="20.149999999999999" customHeight="1" x14ac:dyDescent="0.45">
      <c r="B44" s="11" t="s">
        <v>26</v>
      </c>
      <c r="C44" s="7"/>
      <c r="D44" s="7"/>
      <c r="E44" s="7"/>
      <c r="F44" s="7"/>
      <c r="G44" s="7"/>
      <c r="H44" s="7"/>
      <c r="I44" s="7"/>
      <c r="L44" s="42"/>
    </row>
    <row r="45" spans="2:13" ht="20.149999999999999" customHeight="1" x14ac:dyDescent="0.45">
      <c r="B45" s="41"/>
      <c r="L45" s="42"/>
    </row>
    <row r="46" spans="2:13" ht="20.149999999999999" customHeight="1" x14ac:dyDescent="0.45">
      <c r="B46" s="41"/>
      <c r="L46" s="42"/>
    </row>
    <row r="47" spans="2:13" ht="20.149999999999999" customHeight="1" x14ac:dyDescent="0.45">
      <c r="B47" s="41"/>
      <c r="L47" s="42"/>
    </row>
    <row r="48" spans="2:13" ht="20.149999999999999" customHeight="1" x14ac:dyDescent="0.45">
      <c r="B48" s="41"/>
      <c r="L48" s="42"/>
    </row>
    <row r="49" spans="2:12" ht="20.149999999999999" customHeight="1" x14ac:dyDescent="0.45">
      <c r="B49" s="49"/>
      <c r="C49" s="50"/>
      <c r="D49" s="50"/>
      <c r="J49" s="50"/>
      <c r="K49" s="50"/>
      <c r="L49" s="51"/>
    </row>
    <row r="50" spans="2:12" ht="20.149999999999999" customHeight="1" x14ac:dyDescent="0.45">
      <c r="B50" s="41" t="s">
        <v>27</v>
      </c>
      <c r="J50" s="24" t="s">
        <v>28</v>
      </c>
      <c r="L50" s="42"/>
    </row>
    <row r="51" spans="2:12" ht="19" thickBot="1" x14ac:dyDescent="0.5">
      <c r="B51" s="52"/>
      <c r="C51" s="53"/>
      <c r="D51" s="53"/>
      <c r="E51" s="53"/>
      <c r="F51" s="53"/>
      <c r="G51" s="53"/>
      <c r="H51" s="53"/>
      <c r="I51" s="53"/>
      <c r="J51" s="53"/>
      <c r="K51" s="53"/>
      <c r="L51" s="54"/>
    </row>
  </sheetData>
  <mergeCells count="56">
    <mergeCell ref="B1:L8"/>
    <mergeCell ref="J41:K41"/>
    <mergeCell ref="J43:K43"/>
    <mergeCell ref="D34:F34"/>
    <mergeCell ref="I34:J34"/>
    <mergeCell ref="D36:F36"/>
    <mergeCell ref="I36:J36"/>
    <mergeCell ref="D37:F37"/>
    <mergeCell ref="I37:J37"/>
    <mergeCell ref="D32:F32"/>
    <mergeCell ref="I32:J32"/>
    <mergeCell ref="D33:F33"/>
    <mergeCell ref="I33:J33"/>
    <mergeCell ref="J39:K39"/>
    <mergeCell ref="D29:F29"/>
    <mergeCell ref="I29:J29"/>
    <mergeCell ref="D30:F30"/>
    <mergeCell ref="I30:J30"/>
    <mergeCell ref="D31:F31"/>
    <mergeCell ref="I31:J31"/>
    <mergeCell ref="D26:F26"/>
    <mergeCell ref="I26:J26"/>
    <mergeCell ref="D27:F27"/>
    <mergeCell ref="I27:J27"/>
    <mergeCell ref="D28:F28"/>
    <mergeCell ref="I28:J28"/>
    <mergeCell ref="D23:F23"/>
    <mergeCell ref="I23:J23"/>
    <mergeCell ref="D24:F24"/>
    <mergeCell ref="I24:J24"/>
    <mergeCell ref="D25:F25"/>
    <mergeCell ref="I25:J25"/>
    <mergeCell ref="D20:F20"/>
    <mergeCell ref="I20:J20"/>
    <mergeCell ref="D21:F21"/>
    <mergeCell ref="I21:J21"/>
    <mergeCell ref="D22:F22"/>
    <mergeCell ref="I22:J22"/>
    <mergeCell ref="D17:F17"/>
    <mergeCell ref="I17:J17"/>
    <mergeCell ref="D18:F18"/>
    <mergeCell ref="I18:J18"/>
    <mergeCell ref="D19:F19"/>
    <mergeCell ref="I19:J19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hyperlinks>
    <hyperlink ref="B15" r:id="rId1" xr:uid="{75B58555-8D4A-40FB-95B1-3689BF5E0FE7}"/>
  </hyperlinks>
  <pageMargins left="0.70866141732283472" right="0.31496062992125984" top="0.59055118110236227" bottom="0" header="0.31496062992125984" footer="0.31496062992125984"/>
  <pageSetup paperSize="9" scale="76" orientation="portrait" verticalDpi="300" r:id="rId2"/>
  <drawing r:id="rId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CE6B00-577B-4CCD-8C30-831D0B899DB6}">
  <sheetPr codeName="Sheet139">
    <tabColor theme="0" tint="-0.499984740745262"/>
    <pageSetUpPr fitToPage="1"/>
  </sheetPr>
  <dimension ref="B1:O51"/>
  <sheetViews>
    <sheetView workbookViewId="0">
      <selection activeCell="B1" sqref="B1:L51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7.7265625" style="24" customWidth="1"/>
    <col min="7" max="7" width="8.54296875" style="24" customWidth="1"/>
    <col min="8" max="8" width="17.54296875" style="24" customWidth="1"/>
    <col min="9" max="9" width="1.1796875" style="24" customWidth="1"/>
    <col min="10" max="10" width="15.54296875" style="24" customWidth="1"/>
    <col min="11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246</v>
      </c>
      <c r="J10" s="29" t="s">
        <v>29</v>
      </c>
      <c r="K10" s="452">
        <v>202105109</v>
      </c>
      <c r="L10" s="453"/>
    </row>
    <row r="11" spans="2:12" ht="20.149999999999999" customHeight="1" x14ac:dyDescent="0.45">
      <c r="B11" s="454" t="s">
        <v>2038</v>
      </c>
      <c r="C11" s="455"/>
      <c r="D11" s="456"/>
      <c r="E11" s="30"/>
      <c r="F11" s="457" t="str">
        <f>VLOOKUP(H10,'Delivery Location'!A$4:N$416,2,0)</f>
        <v xml:space="preserve">Koufu - Dim Sum                                   Sengkang General Community Hospital. 1 Anchorvale Street #01-21 S'pore 544835                                                           </v>
      </c>
      <c r="G11" s="458"/>
      <c r="H11" s="459"/>
      <c r="J11" s="31" t="s">
        <v>11</v>
      </c>
      <c r="K11" s="551">
        <v>44322</v>
      </c>
      <c r="L11" s="472"/>
    </row>
    <row r="12" spans="2:12" ht="20.149999999999999" customHeight="1" x14ac:dyDescent="0.45">
      <c r="B12" s="468" t="s">
        <v>2139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533</v>
      </c>
      <c r="L12" s="472"/>
    </row>
    <row r="13" spans="2:12" ht="20.149999999999999" customHeight="1" x14ac:dyDescent="0.45">
      <c r="B13" s="468" t="s">
        <v>2024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14</v>
      </c>
      <c r="L13" s="472"/>
    </row>
    <row r="14" spans="2:12" ht="20.149999999999999" customHeight="1" x14ac:dyDescent="0.45">
      <c r="B14" s="468" t="s">
        <v>2025</v>
      </c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463" t="s">
        <v>2026</v>
      </c>
      <c r="C15" s="464"/>
      <c r="D15" s="465"/>
      <c r="E15" s="26"/>
      <c r="F15" s="463"/>
      <c r="G15" s="464"/>
      <c r="H15" s="465"/>
      <c r="J15" s="32" t="s">
        <v>13</v>
      </c>
      <c r="K15" s="182" t="s">
        <v>997</v>
      </c>
      <c r="L15" s="181"/>
    </row>
    <row r="16" spans="2:12" ht="19" thickBot="1" x14ac:dyDescent="0.5">
      <c r="J16" s="22"/>
    </row>
    <row r="17" spans="2:15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8" t="s">
        <v>622</v>
      </c>
      <c r="I17" s="478" t="s">
        <v>621</v>
      </c>
      <c r="J17" s="479"/>
      <c r="K17" s="9" t="s">
        <v>6</v>
      </c>
      <c r="L17" s="10" t="s">
        <v>7</v>
      </c>
      <c r="M17" s="33"/>
      <c r="N17" s="33"/>
      <c r="O17" s="33"/>
    </row>
    <row r="18" spans="2:15" ht="20.149999999999999" customHeight="1" x14ac:dyDescent="0.45">
      <c r="B18" s="34"/>
      <c r="C18" s="22" t="s">
        <v>1603</v>
      </c>
      <c r="D18" s="508" t="str">
        <f>VLOOKUP(C18,'Sales Master'!B$3:D$499,2,)</f>
        <v>White Glutinous Rice白糯米</v>
      </c>
      <c r="E18" s="508"/>
      <c r="F18" s="508"/>
      <c r="G18" s="22">
        <v>3</v>
      </c>
      <c r="H18" s="68" t="str">
        <f>VLOOKUP(C18,'Sales Master'!$B$3:$F$3247,5,0)</f>
        <v>5 kgs</v>
      </c>
      <c r="I18" s="481" t="str">
        <f>VLOOKUP(C18,'Sales Master'!$B$3:$E$3247,4,0)</f>
        <v>-</v>
      </c>
      <c r="J18" s="481"/>
      <c r="K18" s="35">
        <f>VLOOKUP(C18,'Sales Master'!B$3:BA$499,52,0)</f>
        <v>10</v>
      </c>
      <c r="L18" s="77">
        <f>K18*G18</f>
        <v>30</v>
      </c>
      <c r="M18" s="78"/>
    </row>
    <row r="19" spans="2:15" ht="20.149999999999999" customHeight="1" x14ac:dyDescent="0.45">
      <c r="B19" s="34"/>
      <c r="C19" s="22"/>
      <c r="D19" s="508"/>
      <c r="E19" s="508"/>
      <c r="F19" s="508"/>
      <c r="G19" s="22"/>
      <c r="H19" s="68"/>
      <c r="I19" s="481"/>
      <c r="J19" s="481"/>
      <c r="K19" s="35"/>
      <c r="L19" s="77"/>
      <c r="M19" s="78"/>
    </row>
    <row r="20" spans="2:15" ht="20.149999999999999" customHeight="1" x14ac:dyDescent="0.45">
      <c r="B20" s="34"/>
      <c r="C20" s="22"/>
      <c r="D20" s="508"/>
      <c r="E20" s="508"/>
      <c r="F20" s="508"/>
      <c r="G20" s="22"/>
      <c r="H20" s="68"/>
      <c r="I20" s="481"/>
      <c r="J20" s="481"/>
      <c r="K20" s="35"/>
      <c r="L20" s="77"/>
      <c r="M20" s="78"/>
    </row>
    <row r="21" spans="2:15" ht="20.149999999999999" customHeight="1" x14ac:dyDescent="0.45">
      <c r="B21" s="34"/>
      <c r="C21" s="22"/>
      <c r="D21" s="508"/>
      <c r="E21" s="508"/>
      <c r="F21" s="508"/>
      <c r="G21" s="22"/>
      <c r="H21" s="68"/>
      <c r="I21" s="481"/>
      <c r="J21" s="481"/>
      <c r="K21" s="35"/>
      <c r="L21" s="77"/>
      <c r="M21" s="78"/>
    </row>
    <row r="22" spans="2:15" ht="20.149999999999999" customHeight="1" x14ac:dyDescent="0.45">
      <c r="B22" s="34"/>
      <c r="C22" s="22"/>
      <c r="D22" s="508"/>
      <c r="E22" s="508"/>
      <c r="F22" s="508"/>
      <c r="G22" s="22"/>
      <c r="H22" s="68"/>
      <c r="I22" s="481"/>
      <c r="J22" s="481"/>
      <c r="K22" s="35"/>
      <c r="L22" s="77"/>
      <c r="M22" s="78"/>
    </row>
    <row r="23" spans="2:15" ht="20.149999999999999" customHeight="1" x14ac:dyDescent="0.45">
      <c r="B23" s="34"/>
      <c r="C23" s="22"/>
      <c r="D23" s="508"/>
      <c r="E23" s="508"/>
      <c r="F23" s="508"/>
      <c r="G23" s="22"/>
      <c r="H23" s="68"/>
      <c r="I23" s="481"/>
      <c r="J23" s="481"/>
      <c r="K23" s="35"/>
      <c r="L23" s="77"/>
      <c r="M23" s="78"/>
    </row>
    <row r="24" spans="2:15" ht="20.149999999999999" customHeight="1" x14ac:dyDescent="0.45">
      <c r="B24" s="34"/>
      <c r="C24" s="22"/>
      <c r="D24" s="508"/>
      <c r="E24" s="508"/>
      <c r="F24" s="508"/>
      <c r="G24" s="22"/>
      <c r="H24" s="68"/>
      <c r="I24" s="481"/>
      <c r="J24" s="481"/>
      <c r="K24" s="35"/>
      <c r="L24" s="77"/>
      <c r="M24" s="78"/>
    </row>
    <row r="25" spans="2:15" ht="20.149999999999999" customHeight="1" x14ac:dyDescent="0.45">
      <c r="B25" s="34"/>
      <c r="C25" s="22"/>
      <c r="D25" s="508"/>
      <c r="E25" s="508"/>
      <c r="F25" s="508"/>
      <c r="G25" s="22"/>
      <c r="H25" s="68"/>
      <c r="I25" s="481"/>
      <c r="J25" s="481"/>
      <c r="K25" s="35"/>
      <c r="L25" s="77"/>
      <c r="M25" s="78"/>
    </row>
    <row r="26" spans="2:15" ht="20.149999999999999" customHeight="1" x14ac:dyDescent="0.45">
      <c r="B26" s="34"/>
      <c r="C26" s="22"/>
      <c r="D26" s="508"/>
      <c r="E26" s="508"/>
      <c r="F26" s="508"/>
      <c r="G26" s="22"/>
      <c r="H26" s="68"/>
      <c r="I26" s="450"/>
      <c r="J26" s="450"/>
      <c r="K26" s="35"/>
      <c r="L26" s="77"/>
      <c r="M26" s="78"/>
    </row>
    <row r="27" spans="2:15" ht="20.149999999999999" customHeight="1" x14ac:dyDescent="0.45">
      <c r="B27" s="34"/>
      <c r="C27" s="22"/>
      <c r="D27" s="508"/>
      <c r="E27" s="508"/>
      <c r="F27" s="508"/>
      <c r="G27" s="22"/>
      <c r="H27" s="68"/>
      <c r="I27" s="450"/>
      <c r="J27" s="450"/>
      <c r="K27" s="35"/>
      <c r="L27" s="77"/>
      <c r="M27" s="78"/>
    </row>
    <row r="28" spans="2:15" ht="20.149999999999999" customHeight="1" x14ac:dyDescent="0.45">
      <c r="B28" s="34"/>
      <c r="C28" s="22"/>
      <c r="D28" s="508"/>
      <c r="E28" s="508"/>
      <c r="F28" s="508"/>
      <c r="G28" s="22"/>
      <c r="H28" s="68"/>
      <c r="I28" s="450"/>
      <c r="J28" s="450"/>
      <c r="K28" s="35"/>
      <c r="L28" s="77"/>
      <c r="M28" s="78"/>
    </row>
    <row r="29" spans="2:15" ht="20.149999999999999" customHeight="1" x14ac:dyDescent="0.45">
      <c r="B29" s="34"/>
      <c r="C29" s="22"/>
      <c r="D29" s="508"/>
      <c r="E29" s="508"/>
      <c r="F29" s="508"/>
      <c r="G29" s="22"/>
      <c r="H29" s="68"/>
      <c r="I29" s="450"/>
      <c r="J29" s="450"/>
      <c r="K29" s="35"/>
      <c r="L29" s="77"/>
      <c r="M29" s="78"/>
    </row>
    <row r="30" spans="2:15" ht="20.149999999999999" customHeight="1" x14ac:dyDescent="0.45">
      <c r="B30" s="34"/>
      <c r="C30" s="22"/>
      <c r="D30" s="508"/>
      <c r="E30" s="508"/>
      <c r="F30" s="508"/>
      <c r="G30" s="22"/>
      <c r="H30" s="68"/>
      <c r="I30" s="450"/>
      <c r="J30" s="450"/>
      <c r="K30" s="35"/>
      <c r="L30" s="77"/>
      <c r="M30" s="78"/>
    </row>
    <row r="31" spans="2:15" ht="20.149999999999999" customHeight="1" x14ac:dyDescent="0.45">
      <c r="B31" s="34"/>
      <c r="C31" s="22"/>
      <c r="D31" s="508"/>
      <c r="E31" s="508"/>
      <c r="F31" s="508"/>
      <c r="G31" s="22"/>
      <c r="H31" s="68"/>
      <c r="I31" s="450"/>
      <c r="J31" s="450"/>
      <c r="K31" s="35"/>
      <c r="L31" s="77"/>
      <c r="M31" s="78"/>
    </row>
    <row r="32" spans="2:15" ht="20.149999999999999" customHeight="1" x14ac:dyDescent="0.45">
      <c r="B32" s="34"/>
      <c r="C32" s="22"/>
      <c r="D32" s="508"/>
      <c r="E32" s="508"/>
      <c r="F32" s="508"/>
      <c r="G32" s="22"/>
      <c r="H32" s="68"/>
      <c r="I32" s="450"/>
      <c r="J32" s="450"/>
      <c r="K32" s="35"/>
      <c r="L32" s="77"/>
      <c r="M32" s="78"/>
    </row>
    <row r="33" spans="2:13" ht="20.149999999999999" customHeight="1" x14ac:dyDescent="0.45">
      <c r="B33" s="34"/>
      <c r="C33" s="22"/>
      <c r="D33" s="508"/>
      <c r="E33" s="508"/>
      <c r="F33" s="508"/>
      <c r="G33" s="22"/>
      <c r="H33" s="68"/>
      <c r="I33" s="450"/>
      <c r="J33" s="450"/>
      <c r="K33" s="35"/>
      <c r="L33" s="77"/>
      <c r="M33" s="78"/>
    </row>
    <row r="34" spans="2:13" ht="20.149999999999999" customHeight="1" x14ac:dyDescent="0.45">
      <c r="B34" s="34"/>
      <c r="C34" s="22"/>
      <c r="D34" s="508"/>
      <c r="E34" s="508"/>
      <c r="F34" s="508"/>
      <c r="G34" s="22"/>
      <c r="H34" s="68"/>
      <c r="I34" s="450"/>
      <c r="J34" s="450"/>
      <c r="K34" s="35"/>
      <c r="L34" s="77"/>
      <c r="M34" s="78"/>
    </row>
    <row r="35" spans="2:13" ht="20.149999999999999" customHeight="1" x14ac:dyDescent="0.45">
      <c r="B35" s="34"/>
      <c r="C35" s="22"/>
      <c r="D35" s="508"/>
      <c r="E35" s="508"/>
      <c r="F35" s="508"/>
      <c r="G35" s="22"/>
      <c r="H35" s="68"/>
      <c r="I35" s="450"/>
      <c r="J35" s="450"/>
      <c r="K35" s="35"/>
      <c r="L35" s="77"/>
      <c r="M35" s="78"/>
    </row>
    <row r="36" spans="2:13" ht="20.149999999999999" customHeight="1" x14ac:dyDescent="0.45">
      <c r="B36" s="34"/>
      <c r="C36" s="22"/>
      <c r="D36" s="508"/>
      <c r="E36" s="508"/>
      <c r="F36" s="508"/>
      <c r="G36" s="22"/>
      <c r="H36" s="68"/>
      <c r="I36" s="450"/>
      <c r="J36" s="450"/>
      <c r="K36" s="35"/>
      <c r="L36" s="36"/>
    </row>
    <row r="37" spans="2:13" ht="20.149999999999999" customHeight="1" thickBot="1" x14ac:dyDescent="0.5">
      <c r="B37" s="37"/>
      <c r="C37" s="38"/>
      <c r="D37" s="509"/>
      <c r="E37" s="509"/>
      <c r="F37" s="509"/>
      <c r="G37" s="38"/>
      <c r="H37" s="69"/>
      <c r="I37" s="451"/>
      <c r="J37" s="451"/>
      <c r="K37" s="39"/>
      <c r="L37" s="40"/>
    </row>
    <row r="38" spans="2:13" ht="20.149999999999999" customHeight="1" thickBot="1" x14ac:dyDescent="0.5">
      <c r="B38" s="41"/>
      <c r="L38" s="42"/>
    </row>
    <row r="39" spans="2:13" ht="20.149999999999999" customHeight="1" x14ac:dyDescent="0.45">
      <c r="B39" s="11" t="s">
        <v>18</v>
      </c>
      <c r="C39" s="7"/>
      <c r="D39" s="7"/>
      <c r="E39" s="7"/>
      <c r="F39" s="7"/>
      <c r="G39" s="7"/>
      <c r="H39" s="7"/>
      <c r="I39" s="7"/>
      <c r="J39" s="510" t="s">
        <v>15</v>
      </c>
      <c r="K39" s="511"/>
      <c r="L39" s="43">
        <f>SUM(L17:L36)</f>
        <v>30</v>
      </c>
      <c r="M39" s="76">
        <f>166+26</f>
        <v>192</v>
      </c>
    </row>
    <row r="40" spans="2:13" ht="20.149999999999999" customHeight="1" x14ac:dyDescent="0.45">
      <c r="B40" s="11" t="s">
        <v>19</v>
      </c>
      <c r="C40" s="7"/>
      <c r="D40" s="7"/>
      <c r="E40" s="7"/>
      <c r="F40" s="7"/>
      <c r="G40" s="7"/>
      <c r="H40" s="7"/>
      <c r="I40" s="7"/>
      <c r="J40" s="44" t="s">
        <v>22</v>
      </c>
      <c r="K40" s="45"/>
      <c r="L40" s="46">
        <f>L39*K40</f>
        <v>0</v>
      </c>
    </row>
    <row r="41" spans="2:13" ht="20.149999999999999" customHeight="1" x14ac:dyDescent="0.45">
      <c r="B41" s="11" t="s">
        <v>20</v>
      </c>
      <c r="C41" s="7"/>
      <c r="D41" s="7"/>
      <c r="E41" s="7"/>
      <c r="F41" s="7"/>
      <c r="G41" s="7"/>
      <c r="H41" s="7"/>
      <c r="I41" s="7"/>
      <c r="J41" s="486" t="s">
        <v>21</v>
      </c>
      <c r="K41" s="487"/>
      <c r="L41" s="46">
        <f>L39-L40</f>
        <v>30</v>
      </c>
    </row>
    <row r="42" spans="2:13" ht="20.149999999999999" customHeight="1" x14ac:dyDescent="0.45">
      <c r="B42" s="11" t="s">
        <v>24</v>
      </c>
      <c r="C42" s="7"/>
      <c r="D42" s="7"/>
      <c r="E42" s="7"/>
      <c r="F42" s="7"/>
      <c r="G42" s="7"/>
      <c r="H42" s="7"/>
      <c r="I42" s="7"/>
      <c r="J42" s="150" t="s">
        <v>17</v>
      </c>
      <c r="K42" s="151">
        <v>7.0000000000000007E-2</v>
      </c>
      <c r="L42" s="47">
        <f>L41*K42</f>
        <v>2.1</v>
      </c>
    </row>
    <row r="43" spans="2:13" ht="20.149999999999999" customHeight="1" thickBot="1" x14ac:dyDescent="0.5">
      <c r="B43" s="11" t="s">
        <v>25</v>
      </c>
      <c r="C43" s="7"/>
      <c r="D43" s="7"/>
      <c r="E43" s="7"/>
      <c r="F43" s="7"/>
      <c r="G43" s="7"/>
      <c r="H43" s="7"/>
      <c r="I43" s="7"/>
      <c r="J43" s="488" t="s">
        <v>23</v>
      </c>
      <c r="K43" s="489"/>
      <c r="L43" s="48">
        <f>L41+L42</f>
        <v>32.1</v>
      </c>
    </row>
    <row r="44" spans="2:13" ht="20.149999999999999" customHeight="1" x14ac:dyDescent="0.45">
      <c r="B44" s="11" t="s">
        <v>26</v>
      </c>
      <c r="C44" s="7"/>
      <c r="D44" s="7"/>
      <c r="E44" s="7"/>
      <c r="F44" s="7"/>
      <c r="G44" s="7"/>
      <c r="H44" s="7"/>
      <c r="I44" s="7"/>
      <c r="L44" s="42"/>
    </row>
    <row r="45" spans="2:13" ht="20.149999999999999" customHeight="1" x14ac:dyDescent="0.45">
      <c r="B45" s="41"/>
      <c r="L45" s="42"/>
    </row>
    <row r="46" spans="2:13" ht="20.149999999999999" customHeight="1" x14ac:dyDescent="0.45">
      <c r="B46" s="41"/>
      <c r="L46" s="42"/>
    </row>
    <row r="47" spans="2:13" ht="20.149999999999999" customHeight="1" x14ac:dyDescent="0.45">
      <c r="B47" s="41"/>
      <c r="L47" s="42"/>
    </row>
    <row r="48" spans="2:13" ht="20.149999999999999" customHeight="1" x14ac:dyDescent="0.45">
      <c r="B48" s="41"/>
      <c r="L48" s="42"/>
    </row>
    <row r="49" spans="2:12" ht="20.149999999999999" customHeight="1" x14ac:dyDescent="0.45">
      <c r="B49" s="49"/>
      <c r="C49" s="50"/>
      <c r="D49" s="50"/>
      <c r="J49" s="50"/>
      <c r="K49" s="50"/>
      <c r="L49" s="51"/>
    </row>
    <row r="50" spans="2:12" ht="20.149999999999999" customHeight="1" x14ac:dyDescent="0.45">
      <c r="B50" s="41" t="s">
        <v>27</v>
      </c>
      <c r="J50" s="24" t="s">
        <v>28</v>
      </c>
      <c r="L50" s="42"/>
    </row>
    <row r="51" spans="2:12" ht="19" thickBot="1" x14ac:dyDescent="0.5">
      <c r="B51" s="52"/>
      <c r="C51" s="53"/>
      <c r="D51" s="53"/>
      <c r="E51" s="53"/>
      <c r="F51" s="53"/>
      <c r="G51" s="53"/>
      <c r="H51" s="53"/>
      <c r="I51" s="53"/>
      <c r="J51" s="53"/>
      <c r="K51" s="53"/>
      <c r="L51" s="54"/>
    </row>
  </sheetData>
  <mergeCells count="57">
    <mergeCell ref="J43:K43"/>
    <mergeCell ref="D35:F35"/>
    <mergeCell ref="I35:J35"/>
    <mergeCell ref="D36:F36"/>
    <mergeCell ref="I36:J36"/>
    <mergeCell ref="D37:F37"/>
    <mergeCell ref="I37:J37"/>
    <mergeCell ref="D34:F34"/>
    <mergeCell ref="I34:J34"/>
    <mergeCell ref="J39:K39"/>
    <mergeCell ref="J41:K41"/>
    <mergeCell ref="D31:F31"/>
    <mergeCell ref="I31:J31"/>
    <mergeCell ref="D32:F32"/>
    <mergeCell ref="I32:J32"/>
    <mergeCell ref="D33:F33"/>
    <mergeCell ref="I33:J33"/>
    <mergeCell ref="D28:F28"/>
    <mergeCell ref="I28:J28"/>
    <mergeCell ref="D29:F29"/>
    <mergeCell ref="I29:J29"/>
    <mergeCell ref="D30:F30"/>
    <mergeCell ref="I30:J30"/>
    <mergeCell ref="D25:F25"/>
    <mergeCell ref="I25:J25"/>
    <mergeCell ref="D26:F26"/>
    <mergeCell ref="I26:J26"/>
    <mergeCell ref="D27:F27"/>
    <mergeCell ref="I27:J27"/>
    <mergeCell ref="D22:F22"/>
    <mergeCell ref="I22:J22"/>
    <mergeCell ref="D23:F23"/>
    <mergeCell ref="I23:J23"/>
    <mergeCell ref="D24:F24"/>
    <mergeCell ref="I24:J24"/>
    <mergeCell ref="D20:F20"/>
    <mergeCell ref="I20:J20"/>
    <mergeCell ref="D21:F21"/>
    <mergeCell ref="I21:J21"/>
    <mergeCell ref="D19:F19"/>
    <mergeCell ref="I19:J19"/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I18:J18"/>
    <mergeCell ref="B15:D15"/>
  </mergeCells>
  <pageMargins left="0.70866141732283472" right="0.31496062992125984" top="0.59055118110236227" bottom="0" header="0.31496062992125984" footer="0.31496062992125984"/>
  <pageSetup paperSize="9" scale="73" orientation="portrait" verticalDpi="300" r:id="rId1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010D9A-4C4D-428A-8E4E-3159F50A885C}">
  <sheetPr codeName="Sheet140">
    <tabColor theme="0" tint="-0.499984740745262"/>
    <pageSetUpPr fitToPage="1"/>
  </sheetPr>
  <dimension ref="B1:O47"/>
  <sheetViews>
    <sheetView workbookViewId="0">
      <selection activeCell="B1" sqref="B1:L47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4.54296875" style="24" customWidth="1"/>
    <col min="7" max="7" width="8.54296875" style="24" customWidth="1"/>
    <col min="8" max="8" width="12.54296875" style="24" customWidth="1"/>
    <col min="9" max="9" width="4.54296875" style="24" customWidth="1"/>
    <col min="10" max="10" width="15.54296875" style="24" customWidth="1"/>
    <col min="11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x14ac:dyDescent="0.45">
      <c r="B9" s="23"/>
    </row>
    <row r="10" spans="2:12" ht="8.5" customHeight="1" thickBot="1" x14ac:dyDescent="0.5">
      <c r="B10" s="23"/>
    </row>
    <row r="11" spans="2:12" ht="18" customHeight="1" thickTop="1" thickBot="1" x14ac:dyDescent="0.5">
      <c r="B11" s="25" t="s">
        <v>9</v>
      </c>
      <c r="C11" s="25"/>
      <c r="D11" s="26"/>
      <c r="E11" s="26"/>
      <c r="F11" s="27" t="s">
        <v>10</v>
      </c>
      <c r="G11" s="28"/>
      <c r="H11" s="28" t="s">
        <v>250</v>
      </c>
      <c r="J11" s="29" t="s">
        <v>29</v>
      </c>
      <c r="K11" s="452">
        <v>202106411</v>
      </c>
      <c r="L11" s="453"/>
    </row>
    <row r="12" spans="2:12" ht="20.149999999999999" customHeight="1" x14ac:dyDescent="0.45">
      <c r="B12" s="454" t="s">
        <v>132</v>
      </c>
      <c r="C12" s="455"/>
      <c r="D12" s="456"/>
      <c r="E12" s="30"/>
      <c r="F12" s="457" t="str">
        <f>VLOOKUP(H11,'Delivery Location'!A$4:N$416,2,0)</f>
        <v>Toast Junction                                         NEX Stall #MR3, 23 Serangoon Central #04-16. Nex Shopping Mall. Singapore 556083</v>
      </c>
      <c r="G12" s="458"/>
      <c r="H12" s="459"/>
      <c r="J12" s="31" t="s">
        <v>11</v>
      </c>
      <c r="K12" s="551">
        <v>44223</v>
      </c>
      <c r="L12" s="472"/>
    </row>
    <row r="13" spans="2:12" ht="20.149999999999999" customHeight="1" x14ac:dyDescent="0.45">
      <c r="B13" s="468" t="s">
        <v>869</v>
      </c>
      <c r="C13" s="469"/>
      <c r="D13" s="470"/>
      <c r="E13" s="30"/>
      <c r="F13" s="460"/>
      <c r="G13" s="461"/>
      <c r="H13" s="462"/>
      <c r="J13" s="31" t="s">
        <v>171</v>
      </c>
      <c r="K13" s="471" t="s">
        <v>1165</v>
      </c>
      <c r="L13" s="472"/>
    </row>
    <row r="14" spans="2:12" ht="20.149999999999999" customHeight="1" x14ac:dyDescent="0.45">
      <c r="B14" s="468" t="s">
        <v>870</v>
      </c>
      <c r="C14" s="469"/>
      <c r="D14" s="470"/>
      <c r="E14" s="30"/>
      <c r="F14" s="460"/>
      <c r="G14" s="461"/>
      <c r="H14" s="462"/>
      <c r="J14" s="31" t="s">
        <v>12</v>
      </c>
      <c r="K14" s="471" t="s">
        <v>14</v>
      </c>
      <c r="L14" s="472"/>
    </row>
    <row r="15" spans="2:12" ht="20.149999999999999" customHeight="1" x14ac:dyDescent="0.45">
      <c r="B15" s="468" t="s">
        <v>871</v>
      </c>
      <c r="C15" s="469"/>
      <c r="D15" s="470"/>
      <c r="E15" s="30"/>
      <c r="F15" s="460"/>
      <c r="G15" s="461"/>
      <c r="H15" s="462"/>
      <c r="J15" s="31" t="s">
        <v>30</v>
      </c>
      <c r="K15" s="471" t="s">
        <v>16</v>
      </c>
      <c r="L15" s="472"/>
    </row>
    <row r="16" spans="2:12" ht="18" customHeight="1" thickBot="1" x14ac:dyDescent="0.5">
      <c r="B16" s="473" t="s">
        <v>872</v>
      </c>
      <c r="C16" s="474"/>
      <c r="D16" s="475"/>
      <c r="E16" s="26"/>
      <c r="F16" s="463"/>
      <c r="G16" s="464"/>
      <c r="H16" s="465"/>
      <c r="J16" s="32" t="s">
        <v>13</v>
      </c>
      <c r="K16" s="476"/>
      <c r="L16" s="477"/>
    </row>
    <row r="17" spans="2:15" ht="19" thickBot="1" x14ac:dyDescent="0.5">
      <c r="J17" s="22"/>
    </row>
    <row r="18" spans="2:15" ht="30" customHeight="1" thickBot="1" x14ac:dyDescent="0.5">
      <c r="B18" s="8" t="s">
        <v>2</v>
      </c>
      <c r="C18" s="9" t="s">
        <v>3</v>
      </c>
      <c r="D18" s="478" t="s">
        <v>4</v>
      </c>
      <c r="E18" s="483"/>
      <c r="F18" s="479"/>
      <c r="G18" s="19" t="s">
        <v>620</v>
      </c>
      <c r="H18" s="8" t="s">
        <v>622</v>
      </c>
      <c r="I18" s="478" t="s">
        <v>621</v>
      </c>
      <c r="J18" s="479"/>
      <c r="K18" s="9" t="s">
        <v>6</v>
      </c>
      <c r="L18" s="10" t="s">
        <v>7</v>
      </c>
      <c r="M18" s="33"/>
      <c r="N18" s="33"/>
      <c r="O18" s="33"/>
    </row>
    <row r="19" spans="2:15" ht="20.149999999999999" customHeight="1" x14ac:dyDescent="0.45">
      <c r="B19" s="70" t="s">
        <v>67</v>
      </c>
      <c r="C19" s="22" t="str">
        <f>VLOOKUP(B19,'Sales Master'!$A$3:$B$647,2,0)</f>
        <v>M1013</v>
      </c>
      <c r="D19" s="508" t="str">
        <f>VLOOKUP(C19,'Sales Master'!B$3:D$499,2,)</f>
        <v>Bobo ChaCha Cubes 摩摩喳喳</v>
      </c>
      <c r="E19" s="508"/>
      <c r="F19" s="508"/>
      <c r="G19" s="22">
        <v>1</v>
      </c>
      <c r="H19" s="68" t="str">
        <f>VLOOKUP(C19,'Sales Master'!$B$3:$F$3247,5,0)</f>
        <v>800 GM/BAG</v>
      </c>
      <c r="I19" s="481" t="str">
        <f>VLOOKUP(C19,'Sales Master'!$B$3:$E$3247,4,0)</f>
        <v>DO!</v>
      </c>
      <c r="J19" s="481"/>
      <c r="K19" s="35">
        <f>VLOOKUP(C19,'Sales Master'!$B$3:$I$583,8,0)</f>
        <v>6</v>
      </c>
      <c r="L19" s="36">
        <f t="shared" ref="L19:L30" si="0">K19*G19</f>
        <v>6</v>
      </c>
    </row>
    <row r="20" spans="2:15" ht="20.149999999999999" customHeight="1" x14ac:dyDescent="0.45">
      <c r="B20" s="70" t="s">
        <v>70</v>
      </c>
      <c r="C20" s="22" t="str">
        <f>VLOOKUP(B20,'Sales Master'!$A$3:$B$647,2,0)</f>
        <v>M1014</v>
      </c>
      <c r="D20" s="508" t="str">
        <f>VLOOKUP(C20,'Sales Master'!B$3:D$499,2,)</f>
        <v>Chendol浆咯</v>
      </c>
      <c r="E20" s="508"/>
      <c r="F20" s="508"/>
      <c r="G20" s="22">
        <v>1</v>
      </c>
      <c r="H20" s="68" t="str">
        <f>VLOOKUP(C20,'Sales Master'!$B$3:$E$590,4,0)</f>
        <v>DO!</v>
      </c>
      <c r="I20" s="481" t="str">
        <f>VLOOKUP(C20,'Sales Master'!$B$3:F$590,5,0)</f>
        <v>NW(2.2:0.8) 3 KG/BAG</v>
      </c>
      <c r="J20" s="481"/>
      <c r="K20" s="35">
        <f>VLOOKUP(C20,'Sales Master'!$B$3:$I$583,8,0)</f>
        <v>6.5</v>
      </c>
      <c r="L20" s="36">
        <f t="shared" si="0"/>
        <v>6.5</v>
      </c>
    </row>
    <row r="21" spans="2:15" ht="20.149999999999999" customHeight="1" x14ac:dyDescent="0.45">
      <c r="B21" s="70" t="s">
        <v>79</v>
      </c>
      <c r="C21" s="22" t="str">
        <f>VLOOKUP(B21,'Sales Master'!$A$3:$B$647,2,0)</f>
        <v>P3001B</v>
      </c>
      <c r="D21" s="508" t="str">
        <f>VLOOKUP(C21,'Sales Master'!B$3:D$499,2,)</f>
        <v>Atap Seeds in Syrup亚嗒子</v>
      </c>
      <c r="E21" s="508"/>
      <c r="F21" s="508"/>
      <c r="G21" s="22">
        <v>1</v>
      </c>
      <c r="H21" s="68" t="str">
        <f>VLOOKUP(C21,'Sales Master'!$B$3:$E$590,4,0)</f>
        <v>DO!</v>
      </c>
      <c r="I21" s="481" t="str">
        <f>VLOOKUP(C21,'Sales Master'!$B$3:F$590,5,0)</f>
        <v>NW (1.6:0.6) 2.2 kgs</v>
      </c>
      <c r="J21" s="481"/>
      <c r="K21" s="35">
        <f>VLOOKUP(C21,'Sales Master'!$B$3:$I$583,8,0)</f>
        <v>10</v>
      </c>
      <c r="L21" s="36">
        <f t="shared" si="0"/>
        <v>10</v>
      </c>
    </row>
    <row r="22" spans="2:15" ht="20.149999999999999" customHeight="1" x14ac:dyDescent="0.45">
      <c r="B22" s="70" t="s">
        <v>93</v>
      </c>
      <c r="C22" s="22" t="str">
        <f>VLOOKUP(B22,'Sales Master'!$A$3:$B$647,2,0)</f>
        <v>P3005A</v>
      </c>
      <c r="D22" s="508" t="str">
        <f>VLOOKUP(C22,'Sales Master'!B$3:D$499,2,)</f>
        <v>Red Bean红豆 (5.5 mm)</v>
      </c>
      <c r="E22" s="508"/>
      <c r="F22" s="508"/>
      <c r="G22" s="22">
        <v>1</v>
      </c>
      <c r="H22" s="68" t="str">
        <f>VLOOKUP(C22,'Sales Master'!$B$3:$E$590,4,0)</f>
        <v>-</v>
      </c>
      <c r="I22" s="481" t="str">
        <f>VLOOKUP(C22,'Sales Master'!$B$3:F$590,5,0)</f>
        <v>5 kgs</v>
      </c>
      <c r="J22" s="481"/>
      <c r="K22" s="35">
        <f>VLOOKUP(C22,'Sales Master'!$B$3:$I$583,8,0)</f>
        <v>20</v>
      </c>
      <c r="L22" s="36">
        <f t="shared" si="0"/>
        <v>20</v>
      </c>
    </row>
    <row r="23" spans="2:15" ht="20.149999999999999" customHeight="1" x14ac:dyDescent="0.45">
      <c r="B23" s="70" t="s">
        <v>83</v>
      </c>
      <c r="C23" s="22" t="str">
        <f>VLOOKUP(B23,'Sales Master'!$A$3:$B$647,2,0)</f>
        <v>P3009A</v>
      </c>
      <c r="D23" s="508" t="str">
        <f>VLOOKUP(C23,'Sales Master'!B$3:D$499,2,)</f>
        <v>Green Bean 绿豆</v>
      </c>
      <c r="E23" s="508"/>
      <c r="F23" s="508"/>
      <c r="G23" s="22">
        <v>1</v>
      </c>
      <c r="H23" s="68" t="str">
        <f>VLOOKUP(C23,'Sales Master'!$B$3:$E$590,4,0)</f>
        <v>-</v>
      </c>
      <c r="I23" s="481" t="str">
        <f>VLOOKUP(C23,'Sales Master'!$B$3:F$590,5,0)</f>
        <v>5 kgs</v>
      </c>
      <c r="J23" s="481"/>
      <c r="K23" s="35">
        <f>VLOOKUP(C23,'Sales Master'!$B$3:$I$583,8,0)</f>
        <v>14</v>
      </c>
      <c r="L23" s="36">
        <f t="shared" si="0"/>
        <v>14</v>
      </c>
    </row>
    <row r="24" spans="2:15" ht="20.149999999999999" customHeight="1" x14ac:dyDescent="0.45">
      <c r="B24" s="70" t="s">
        <v>92</v>
      </c>
      <c r="C24" s="22" t="str">
        <f>VLOOKUP(B24,'Sales Master'!$A$3:$B$647,2,0)</f>
        <v>P3013A</v>
      </c>
      <c r="D24" s="508" t="str">
        <f>VLOOKUP(C24,'Sales Master'!B$3:D$499,2,)</f>
        <v>Black Glutinous Rice 黑糯米</v>
      </c>
      <c r="E24" s="508"/>
      <c r="F24" s="508"/>
      <c r="G24" s="22">
        <v>1</v>
      </c>
      <c r="H24" s="68" t="str">
        <f>VLOOKUP(C24,'Sales Master'!$B$3:$E$590,4,0)</f>
        <v>-</v>
      </c>
      <c r="I24" s="481" t="str">
        <f>VLOOKUP(C24,'Sales Master'!$B$3:F$590,5,0)</f>
        <v>5 kgs</v>
      </c>
      <c r="J24" s="481"/>
      <c r="K24" s="35">
        <f>VLOOKUP(C24,'Sales Master'!$B$3:$I$583,8,0)</f>
        <v>18</v>
      </c>
      <c r="L24" s="36">
        <f t="shared" si="0"/>
        <v>18</v>
      </c>
    </row>
    <row r="25" spans="2:15" ht="20.149999999999999" customHeight="1" x14ac:dyDescent="0.45">
      <c r="B25" s="70" t="s">
        <v>82</v>
      </c>
      <c r="C25" s="22" t="str">
        <f>VLOOKUP(B25,'Sales Master'!$A$3:$B$647,2,0)</f>
        <v>P3019A</v>
      </c>
      <c r="D25" s="508" t="str">
        <f>VLOOKUP(C25,'Sales Master'!B$3:D$499,2,)</f>
        <v>Dried Longan 龙眼干</v>
      </c>
      <c r="E25" s="508"/>
      <c r="F25" s="508"/>
      <c r="G25" s="22">
        <v>1</v>
      </c>
      <c r="H25" s="68" t="str">
        <f>VLOOKUP(C25,'Sales Master'!$B$3:$E$590,4,0)</f>
        <v>TL</v>
      </c>
      <c r="I25" s="481" t="str">
        <f>VLOOKUP(C25,'Sales Master'!$B$3:F$590,5,0)</f>
        <v>1 kg</v>
      </c>
      <c r="J25" s="481"/>
      <c r="K25" s="35">
        <f>VLOOKUP(C25,'Sales Master'!$B$3:$I$583,8,0)</f>
        <v>12</v>
      </c>
      <c r="L25" s="36">
        <f t="shared" si="0"/>
        <v>12</v>
      </c>
    </row>
    <row r="26" spans="2:15" ht="20.149999999999999" customHeight="1" x14ac:dyDescent="0.45">
      <c r="B26" s="70" t="s">
        <v>116</v>
      </c>
      <c r="C26" s="22" t="str">
        <f>VLOOKUP(B26,'Sales Master'!$A$3:$B$647,2,0)</f>
        <v>P3004A</v>
      </c>
      <c r="D26" s="508" t="str">
        <f>VLOOKUP(C26,'Sales Master'!B$3:D$499,2,)</f>
        <v>GingKo Nut (Peel off)白果仁</v>
      </c>
      <c r="E26" s="508"/>
      <c r="F26" s="508"/>
      <c r="G26" s="22">
        <v>2</v>
      </c>
      <c r="H26" s="68" t="str">
        <f>VLOOKUP(C26,'Sales Master'!$B$3:$E$590,4,0)</f>
        <v>-</v>
      </c>
      <c r="I26" s="481" t="str">
        <f>VLOOKUP(C26,'Sales Master'!$B$3:F$590,5,0)</f>
        <v>1 kg (2 X 500GM)</v>
      </c>
      <c r="J26" s="481"/>
      <c r="K26" s="35">
        <f>VLOOKUP(C26,'Sales Master'!$B$3:$I$583,8,0)</f>
        <v>5</v>
      </c>
      <c r="L26" s="36">
        <f t="shared" si="0"/>
        <v>10</v>
      </c>
    </row>
    <row r="27" spans="2:15" ht="20.149999999999999" customHeight="1" x14ac:dyDescent="0.45">
      <c r="B27" s="70" t="s">
        <v>76</v>
      </c>
      <c r="C27" s="22" t="str">
        <f>VLOOKUP(B27,'Sales Master'!$A$3:$B$647,2,0)</f>
        <v>P6002</v>
      </c>
      <c r="D27" s="508" t="str">
        <f>VLOOKUP(C27,'Sales Master'!B$3:D$499,2,)</f>
        <v>Sweet Potato 番薯</v>
      </c>
      <c r="E27" s="508"/>
      <c r="F27" s="508"/>
      <c r="G27" s="22">
        <v>20</v>
      </c>
      <c r="H27" s="68" t="str">
        <f>VLOOKUP(C27,'Sales Master'!$B$3:$E$590,4,0)</f>
        <v>Malaysia</v>
      </c>
      <c r="I27" s="481" t="str">
        <f>VLOOKUP(C27,'Sales Master'!$B$3:F$590,5,0)</f>
        <v>1 KG</v>
      </c>
      <c r="J27" s="481"/>
      <c r="K27" s="35">
        <f>VLOOKUP(C27,'Sales Master'!$B$3:$I$583,8,0)</f>
        <v>2.2000000000000002</v>
      </c>
      <c r="L27" s="36">
        <f t="shared" si="0"/>
        <v>44</v>
      </c>
    </row>
    <row r="28" spans="2:15" ht="20.149999999999999" customHeight="1" x14ac:dyDescent="0.45">
      <c r="B28" s="70" t="s">
        <v>77</v>
      </c>
      <c r="C28" s="22" t="str">
        <f>VLOOKUP(B28,'Sales Master'!$A$3:$B$647,2,0)</f>
        <v>P6005</v>
      </c>
      <c r="D28" s="508" t="str">
        <f>VLOOKUP(C28,'Sales Master'!B$3:D$499,2,)</f>
        <v>Yam 芋头</v>
      </c>
      <c r="E28" s="508"/>
      <c r="F28" s="508"/>
      <c r="G28" s="22">
        <v>3</v>
      </c>
      <c r="H28" s="68" t="str">
        <f>VLOOKUP(C28,'Sales Master'!$B$3:$E$590,4,0)</f>
        <v>Malaysia</v>
      </c>
      <c r="I28" s="481" t="str">
        <f>VLOOKUP(C28,'Sales Master'!$B$3:F$590,5,0)</f>
        <v>1 KG</v>
      </c>
      <c r="J28" s="481"/>
      <c r="K28" s="35">
        <f>VLOOKUP(C28,'Sales Master'!$B$3:$I$583,8,0)</f>
        <v>4</v>
      </c>
      <c r="L28" s="36">
        <f t="shared" si="0"/>
        <v>12</v>
      </c>
    </row>
    <row r="29" spans="2:15" ht="20.149999999999999" customHeight="1" x14ac:dyDescent="0.45">
      <c r="B29" s="70" t="s">
        <v>74</v>
      </c>
      <c r="C29" s="22" t="str">
        <f>VLOOKUP(B29,'Sales Master'!$A$3:$B$647,2,0)</f>
        <v>P6007</v>
      </c>
      <c r="D29" s="508" t="str">
        <f>VLOOKUP(C29,'Sales Master'!B$3:D$499,2,)</f>
        <v>Pandan Leaf 班兰叶</v>
      </c>
      <c r="E29" s="508"/>
      <c r="F29" s="508"/>
      <c r="G29" s="22">
        <v>2</v>
      </c>
      <c r="H29" s="68" t="str">
        <f>VLOOKUP(C29,'Sales Master'!$B$3:$E$590,4,0)</f>
        <v>-</v>
      </c>
      <c r="I29" s="481" t="str">
        <f>VLOOKUP(C29,'Sales Master'!$B$3:F$590,5,0)</f>
        <v>1 kg</v>
      </c>
      <c r="J29" s="481"/>
      <c r="K29" s="35">
        <f>VLOOKUP(C29,'Sales Master'!$B$3:$I$583,8,0)</f>
        <v>1.8</v>
      </c>
      <c r="L29" s="36">
        <f t="shared" si="0"/>
        <v>3.6</v>
      </c>
    </row>
    <row r="30" spans="2:15" ht="20.149999999999999" customHeight="1" x14ac:dyDescent="0.45">
      <c r="B30" s="70" t="s">
        <v>72</v>
      </c>
      <c r="C30" s="22" t="str">
        <f>VLOOKUP(B30,'Sales Master'!$A$3:$B$647,2,0)</f>
        <v>P6011</v>
      </c>
      <c r="D30" s="508" t="str">
        <f>VLOOKUP(C30,'Sales Master'!B$3:D$499,2,)</f>
        <v>Ginger 老姜</v>
      </c>
      <c r="E30" s="508"/>
      <c r="F30" s="508"/>
      <c r="G30" s="22">
        <v>1</v>
      </c>
      <c r="H30" s="68" t="str">
        <f>VLOOKUP(C30,'Sales Master'!$B$3:$E$590,4,0)</f>
        <v>-</v>
      </c>
      <c r="I30" s="481" t="str">
        <f>VLOOKUP(C30,'Sales Master'!$B$3:F$590,5,0)</f>
        <v>1 kg</v>
      </c>
      <c r="J30" s="481"/>
      <c r="K30" s="35">
        <f>VLOOKUP(C30,'Sales Master'!$B$3:$I$583,8,0)</f>
        <v>4</v>
      </c>
      <c r="L30" s="36">
        <f t="shared" si="0"/>
        <v>4</v>
      </c>
    </row>
    <row r="31" spans="2:15" ht="20.149999999999999" customHeight="1" x14ac:dyDescent="0.45">
      <c r="B31" s="70"/>
      <c r="C31" s="22"/>
      <c r="D31" s="508"/>
      <c r="E31" s="508"/>
      <c r="F31" s="508"/>
      <c r="G31" s="22"/>
      <c r="H31" s="68"/>
      <c r="I31" s="481"/>
      <c r="J31" s="481"/>
      <c r="K31" s="35"/>
      <c r="L31" s="36"/>
    </row>
    <row r="32" spans="2:15" ht="20.149999999999999" customHeight="1" x14ac:dyDescent="0.45">
      <c r="B32" s="70"/>
      <c r="C32" s="22"/>
      <c r="D32" s="508"/>
      <c r="E32" s="508"/>
      <c r="F32" s="508"/>
      <c r="G32" s="22"/>
      <c r="H32" s="68"/>
      <c r="I32" s="481"/>
      <c r="J32" s="481"/>
      <c r="K32" s="35"/>
      <c r="L32" s="36"/>
    </row>
    <row r="33" spans="2:12" ht="20.149999999999999" customHeight="1" x14ac:dyDescent="0.45">
      <c r="B33" s="70"/>
      <c r="C33" s="22"/>
      <c r="D33" s="508"/>
      <c r="E33" s="508"/>
      <c r="F33" s="508"/>
      <c r="G33" s="22"/>
      <c r="H33" s="68"/>
      <c r="I33" s="481"/>
      <c r="J33" s="481"/>
      <c r="K33" s="35"/>
      <c r="L33" s="36"/>
    </row>
    <row r="34" spans="2:12" ht="20.149999999999999" customHeight="1" x14ac:dyDescent="0.45">
      <c r="B34" s="70"/>
      <c r="C34" s="22"/>
      <c r="D34" s="508"/>
      <c r="E34" s="508"/>
      <c r="F34" s="508"/>
      <c r="G34" s="22"/>
      <c r="H34" s="68"/>
      <c r="I34" s="481"/>
      <c r="J34" s="481"/>
      <c r="K34" s="35"/>
      <c r="L34" s="36"/>
    </row>
    <row r="35" spans="2:12" ht="20.149999999999999" customHeight="1" thickBot="1" x14ac:dyDescent="0.5">
      <c r="B35" s="37"/>
      <c r="C35" s="38"/>
      <c r="D35" s="509"/>
      <c r="E35" s="509"/>
      <c r="F35" s="509"/>
      <c r="G35" s="38"/>
      <c r="H35" s="38"/>
      <c r="I35" s="38"/>
      <c r="J35" s="38"/>
      <c r="K35" s="39"/>
      <c r="L35" s="40"/>
    </row>
    <row r="36" spans="2:12" ht="20.149999999999999" customHeight="1" thickBot="1" x14ac:dyDescent="0.5">
      <c r="B36" s="41"/>
      <c r="L36" s="42"/>
    </row>
    <row r="37" spans="2:12" ht="20.149999999999999" customHeight="1" x14ac:dyDescent="0.45">
      <c r="B37" s="11" t="s">
        <v>18</v>
      </c>
      <c r="C37" s="7"/>
      <c r="D37" s="7"/>
      <c r="E37" s="7"/>
      <c r="F37" s="7"/>
      <c r="G37" s="7"/>
      <c r="H37" s="7"/>
      <c r="I37" s="7"/>
      <c r="J37" s="510" t="s">
        <v>15</v>
      </c>
      <c r="K37" s="511"/>
      <c r="L37" s="43">
        <f>SUM(L18:L34)</f>
        <v>160.1</v>
      </c>
    </row>
    <row r="38" spans="2:12" ht="20.149999999999999" customHeight="1" x14ac:dyDescent="0.45">
      <c r="B38" s="11" t="s">
        <v>19</v>
      </c>
      <c r="C38" s="7"/>
      <c r="D38" s="7"/>
      <c r="E38" s="7"/>
      <c r="F38" s="7"/>
      <c r="G38" s="7"/>
      <c r="H38" s="7"/>
      <c r="I38" s="7"/>
      <c r="J38" s="44" t="s">
        <v>22</v>
      </c>
      <c r="K38" s="45"/>
      <c r="L38" s="46">
        <f>L37*K38</f>
        <v>0</v>
      </c>
    </row>
    <row r="39" spans="2:12" ht="20.149999999999999" customHeight="1" x14ac:dyDescent="0.45">
      <c r="B39" s="11" t="s">
        <v>20</v>
      </c>
      <c r="C39" s="7"/>
      <c r="D39" s="7"/>
      <c r="E39" s="7"/>
      <c r="F39" s="7"/>
      <c r="G39" s="7"/>
      <c r="H39" s="7"/>
      <c r="I39" s="7"/>
      <c r="J39" s="486" t="s">
        <v>21</v>
      </c>
      <c r="K39" s="487"/>
      <c r="L39" s="46">
        <f>L37-L38</f>
        <v>160.1</v>
      </c>
    </row>
    <row r="40" spans="2:12" ht="20.149999999999999" customHeight="1" x14ac:dyDescent="0.45">
      <c r="B40" s="11" t="s">
        <v>24</v>
      </c>
      <c r="C40" s="7"/>
      <c r="D40" s="7"/>
      <c r="E40" s="7"/>
      <c r="F40" s="7"/>
      <c r="G40" s="7"/>
      <c r="H40" s="7"/>
      <c r="I40" s="7"/>
      <c r="J40" s="150" t="s">
        <v>17</v>
      </c>
      <c r="K40" s="151">
        <v>7.0000000000000007E-2</v>
      </c>
      <c r="L40" s="47">
        <f>L39*K40</f>
        <v>11.207000000000001</v>
      </c>
    </row>
    <row r="41" spans="2:12" ht="20.149999999999999" customHeight="1" thickBot="1" x14ac:dyDescent="0.5">
      <c r="B41" s="11" t="s">
        <v>25</v>
      </c>
      <c r="C41" s="7"/>
      <c r="D41" s="7"/>
      <c r="E41" s="7"/>
      <c r="F41" s="7"/>
      <c r="G41" s="7"/>
      <c r="H41" s="7"/>
      <c r="I41" s="7"/>
      <c r="J41" s="488" t="s">
        <v>23</v>
      </c>
      <c r="K41" s="489"/>
      <c r="L41" s="48">
        <f>L39+L40</f>
        <v>171.30699999999999</v>
      </c>
    </row>
    <row r="42" spans="2:12" ht="20.149999999999999" customHeight="1" x14ac:dyDescent="0.45">
      <c r="B42" s="11" t="s">
        <v>26</v>
      </c>
      <c r="C42" s="7"/>
      <c r="D42" s="7"/>
      <c r="E42" s="7"/>
      <c r="F42" s="7"/>
      <c r="G42" s="7"/>
      <c r="H42" s="7"/>
      <c r="I42" s="7"/>
      <c r="L42" s="42"/>
    </row>
    <row r="43" spans="2:12" ht="20.149999999999999" customHeight="1" x14ac:dyDescent="0.45">
      <c r="B43" s="41"/>
      <c r="L43" s="42"/>
    </row>
    <row r="44" spans="2:12" ht="20.149999999999999" customHeight="1" x14ac:dyDescent="0.45">
      <c r="B44" s="41"/>
      <c r="L44" s="42"/>
    </row>
    <row r="45" spans="2:12" ht="20.149999999999999" customHeight="1" x14ac:dyDescent="0.45">
      <c r="B45" s="49"/>
      <c r="C45" s="50"/>
      <c r="D45" s="50"/>
      <c r="J45" s="50"/>
      <c r="K45" s="50"/>
      <c r="L45" s="51"/>
    </row>
    <row r="46" spans="2:12" ht="20.149999999999999" customHeight="1" x14ac:dyDescent="0.45">
      <c r="B46" s="41" t="s">
        <v>27</v>
      </c>
      <c r="J46" s="24" t="s">
        <v>28</v>
      </c>
      <c r="L46" s="42"/>
    </row>
    <row r="47" spans="2:12" ht="19" thickBot="1" x14ac:dyDescent="0.5">
      <c r="B47" s="52"/>
      <c r="C47" s="53"/>
      <c r="D47" s="53"/>
      <c r="E47" s="53"/>
      <c r="F47" s="53"/>
      <c r="G47" s="53"/>
      <c r="H47" s="53"/>
      <c r="I47" s="53"/>
      <c r="J47" s="53"/>
      <c r="K47" s="53"/>
      <c r="L47" s="54"/>
    </row>
  </sheetData>
  <mergeCells count="51">
    <mergeCell ref="B1:L8"/>
    <mergeCell ref="D18:F18"/>
    <mergeCell ref="I18:J18"/>
    <mergeCell ref="D19:F19"/>
    <mergeCell ref="I19:J19"/>
    <mergeCell ref="K11:L11"/>
    <mergeCell ref="B12:D12"/>
    <mergeCell ref="F12:H16"/>
    <mergeCell ref="K12:L12"/>
    <mergeCell ref="B13:D13"/>
    <mergeCell ref="K13:L13"/>
    <mergeCell ref="B14:D14"/>
    <mergeCell ref="K14:L14"/>
    <mergeCell ref="B15:D15"/>
    <mergeCell ref="K15:L15"/>
    <mergeCell ref="B16:D16"/>
    <mergeCell ref="K16:L16"/>
    <mergeCell ref="D20:F20"/>
    <mergeCell ref="I20:J20"/>
    <mergeCell ref="D21:F21"/>
    <mergeCell ref="I21:J21"/>
    <mergeCell ref="D22:F22"/>
    <mergeCell ref="I22:J22"/>
    <mergeCell ref="D23:F23"/>
    <mergeCell ref="I23:J23"/>
    <mergeCell ref="D24:F24"/>
    <mergeCell ref="I24:J24"/>
    <mergeCell ref="J41:K41"/>
    <mergeCell ref="I34:J34"/>
    <mergeCell ref="D29:F29"/>
    <mergeCell ref="D30:F30"/>
    <mergeCell ref="D31:F31"/>
    <mergeCell ref="D32:F32"/>
    <mergeCell ref="D34:F34"/>
    <mergeCell ref="D35:F35"/>
    <mergeCell ref="J37:K37"/>
    <mergeCell ref="J39:K39"/>
    <mergeCell ref="I32:J32"/>
    <mergeCell ref="I33:J33"/>
    <mergeCell ref="D33:F33"/>
    <mergeCell ref="D25:F25"/>
    <mergeCell ref="D26:F26"/>
    <mergeCell ref="D27:F27"/>
    <mergeCell ref="I30:J30"/>
    <mergeCell ref="I31:J31"/>
    <mergeCell ref="D28:F28"/>
    <mergeCell ref="I25:J25"/>
    <mergeCell ref="I26:J26"/>
    <mergeCell ref="I27:J27"/>
    <mergeCell ref="I28:J28"/>
    <mergeCell ref="I29:J29"/>
  </mergeCells>
  <hyperlinks>
    <hyperlink ref="B16" r:id="rId1" xr:uid="{CC39C01B-A460-4694-B489-C5CF448089C5}"/>
  </hyperlinks>
  <pageMargins left="0.70866141732283472" right="0.31496062992125984" top="0.59055118110236227" bottom="0" header="0.31496062992125984" footer="0.31496062992125984"/>
  <pageSetup paperSize="9" scale="76" orientation="portrait" verticalDpi="300" r:id="rId2"/>
  <drawing r:id="rId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A93F4-9ED0-4153-9AED-080C2F7D8FE7}">
  <sheetPr codeName="Sheet142">
    <tabColor theme="0" tint="-0.499984740745262"/>
    <pageSetUpPr fitToPage="1"/>
  </sheetPr>
  <dimension ref="B1:O51"/>
  <sheetViews>
    <sheetView workbookViewId="0">
      <selection activeCell="B10" sqref="B10"/>
    </sheetView>
  </sheetViews>
  <sheetFormatPr defaultColWidth="12.54296875" defaultRowHeight="18.5" x14ac:dyDescent="0.45"/>
  <cols>
    <col min="1" max="1" width="12.54296875" style="24"/>
    <col min="2" max="3" width="12.54296875" style="24" customWidth="1"/>
    <col min="4" max="4" width="13.81640625" style="24" customWidth="1"/>
    <col min="5" max="5" width="1.54296875" style="24" customWidth="1"/>
    <col min="6" max="6" width="16.54296875" style="24" customWidth="1"/>
    <col min="7" max="7" width="8.54296875" style="24" customWidth="1"/>
    <col min="8" max="8" width="18.1796875" style="24" customWidth="1"/>
    <col min="9" max="9" width="1.1796875" style="24" customWidth="1"/>
    <col min="10" max="10" width="15.54296875" style="24" customWidth="1"/>
    <col min="11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791</v>
      </c>
      <c r="J10" s="29" t="s">
        <v>29</v>
      </c>
      <c r="K10" s="452">
        <v>202109160</v>
      </c>
      <c r="L10" s="453"/>
    </row>
    <row r="11" spans="2:12" ht="20.149999999999999" customHeight="1" x14ac:dyDescent="0.45">
      <c r="B11" s="454" t="s">
        <v>1403</v>
      </c>
      <c r="C11" s="455"/>
      <c r="D11" s="456"/>
      <c r="E11" s="30"/>
      <c r="F11" s="457" t="str">
        <f>VLOOKUP(H10,'Delivery Location'!A$4:N$416,2,0)</f>
        <v>Combined Stall                                      Bugis Stall #16. 200 Victoria Street     #03-30. Bugis Junction. Singapore 188021</v>
      </c>
      <c r="G11" s="458"/>
      <c r="H11" s="459"/>
      <c r="J11" s="31" t="s">
        <v>11</v>
      </c>
      <c r="K11" s="551">
        <v>44449</v>
      </c>
      <c r="L11" s="472"/>
    </row>
    <row r="12" spans="2:12" ht="20.149999999999999" customHeight="1" x14ac:dyDescent="0.45">
      <c r="B12" s="468" t="s">
        <v>869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1975</v>
      </c>
      <c r="L12" s="472"/>
    </row>
    <row r="13" spans="2:12" ht="20.149999999999999" customHeight="1" x14ac:dyDescent="0.45">
      <c r="B13" s="468" t="s">
        <v>870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1166</v>
      </c>
      <c r="L13" s="472"/>
    </row>
    <row r="14" spans="2:12" ht="20.149999999999999" customHeight="1" x14ac:dyDescent="0.45">
      <c r="B14" s="468" t="s">
        <v>871</v>
      </c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473" t="s">
        <v>872</v>
      </c>
      <c r="C15" s="474"/>
      <c r="D15" s="475"/>
      <c r="E15" s="26"/>
      <c r="F15" s="463"/>
      <c r="G15" s="464"/>
      <c r="H15" s="465"/>
      <c r="J15" s="32" t="s">
        <v>13</v>
      </c>
      <c r="K15" s="182" t="s">
        <v>997</v>
      </c>
      <c r="L15" s="181"/>
    </row>
    <row r="16" spans="2:12" ht="19" thickBot="1" x14ac:dyDescent="0.5">
      <c r="J16" s="22"/>
    </row>
    <row r="17" spans="2:15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1261</v>
      </c>
      <c r="I17" s="478" t="s">
        <v>1262</v>
      </c>
      <c r="J17" s="479"/>
      <c r="K17" s="9" t="s">
        <v>6</v>
      </c>
      <c r="L17" s="10" t="s">
        <v>7</v>
      </c>
      <c r="M17" s="33"/>
      <c r="N17" s="33"/>
      <c r="O17" s="33"/>
    </row>
    <row r="18" spans="2:15" ht="20.149999999999999" customHeight="1" x14ac:dyDescent="0.45">
      <c r="B18" s="70" t="s">
        <v>69</v>
      </c>
      <c r="C18" s="22" t="str">
        <f>VLOOKUP(B18,'Sales Master'!A$3:B$581,2,0)</f>
        <v>P3002</v>
      </c>
      <c r="D18" s="508" t="str">
        <f>VLOOKUP(C18,'Sales Master'!B$3:D$499,2,)</f>
        <v>Chin Chow  仙草</v>
      </c>
      <c r="E18" s="508"/>
      <c r="F18" s="508"/>
      <c r="G18" s="22">
        <v>2</v>
      </c>
      <c r="H18" s="68" t="str">
        <f>VLOOKUP(C18,'Sales Master'!$B$3:$F$3247,5,0)</f>
        <v>5KGS/PKT</v>
      </c>
      <c r="I18" s="481" t="str">
        <f>VLOOKUP(C18,'Sales Master'!$B$3:$E$3247,4,0)</f>
        <v>TSM</v>
      </c>
      <c r="J18" s="481"/>
      <c r="K18" s="35">
        <f>VLOOKUP(C18,'Sales Master'!B$3:I$581,8,0)</f>
        <v>4.5</v>
      </c>
      <c r="L18" s="77">
        <f>K18*G18</f>
        <v>9</v>
      </c>
      <c r="M18" s="78"/>
    </row>
    <row r="19" spans="2:15" ht="20.149999999999999" customHeight="1" x14ac:dyDescent="0.45">
      <c r="B19" s="70" t="s">
        <v>83</v>
      </c>
      <c r="C19" s="22" t="str">
        <f>VLOOKUP(B19,'Sales Master'!A$3:B$581,2,0)</f>
        <v>P3009A</v>
      </c>
      <c r="D19" s="508" t="str">
        <f>VLOOKUP(C19,'Sales Master'!B$3:D$499,2,)</f>
        <v>Green Bean 绿豆</v>
      </c>
      <c r="E19" s="508"/>
      <c r="F19" s="508"/>
      <c r="G19" s="22">
        <v>1</v>
      </c>
      <c r="H19" s="68" t="str">
        <f>VLOOKUP(C19,'Sales Master'!$B$3:$F$3247,5,0)</f>
        <v>5 kgs</v>
      </c>
      <c r="I19" s="481" t="str">
        <f>VLOOKUP(C19,'Sales Master'!$B$3:$E$3247,4,0)</f>
        <v>-</v>
      </c>
      <c r="J19" s="481"/>
      <c r="K19" s="35">
        <f>VLOOKUP(C19,'Sales Master'!B$3:I$581,8,0)</f>
        <v>14</v>
      </c>
      <c r="L19" s="77">
        <f t="shared" ref="L19:L25" si="0">K19*G19</f>
        <v>14</v>
      </c>
      <c r="M19" s="78"/>
    </row>
    <row r="20" spans="2:15" ht="20.149999999999999" customHeight="1" x14ac:dyDescent="0.45">
      <c r="B20" s="70" t="s">
        <v>93</v>
      </c>
      <c r="C20" s="22" t="str">
        <f>VLOOKUP(B20,'Sales Master'!A$3:B$581,2,0)</f>
        <v>P3005A</v>
      </c>
      <c r="D20" s="508" t="str">
        <f>VLOOKUP(C20,'Sales Master'!B$3:D$499,2,)</f>
        <v>Red Bean红豆 (5.5 mm)</v>
      </c>
      <c r="E20" s="508"/>
      <c r="F20" s="508"/>
      <c r="G20" s="22">
        <v>1</v>
      </c>
      <c r="H20" s="68" t="str">
        <f>VLOOKUP(C20,'Sales Master'!$B$3:$F$3247,5,0)</f>
        <v>5 kgs</v>
      </c>
      <c r="I20" s="481" t="str">
        <f>VLOOKUP(C20,'Sales Master'!$B$3:$E$3247,4,0)</f>
        <v>-</v>
      </c>
      <c r="J20" s="481"/>
      <c r="K20" s="35">
        <f>VLOOKUP(C20,'Sales Master'!B$3:I$581,8,0)</f>
        <v>20</v>
      </c>
      <c r="L20" s="77">
        <f t="shared" si="0"/>
        <v>20</v>
      </c>
      <c r="M20" s="78"/>
    </row>
    <row r="21" spans="2:15" x14ac:dyDescent="0.45">
      <c r="B21" s="70" t="s">
        <v>94</v>
      </c>
      <c r="C21" s="22" t="str">
        <f>VLOOKUP(B21,'Sales Master'!A$3:B$581,2,0)</f>
        <v>P3012A</v>
      </c>
      <c r="D21" s="508" t="str">
        <f>VLOOKUP(C21,'Sales Master'!B$3:D$499,2,)</f>
        <v>Split Green Mung Bean豆畔</v>
      </c>
      <c r="E21" s="508"/>
      <c r="F21" s="508"/>
      <c r="G21" s="22">
        <v>1</v>
      </c>
      <c r="H21" s="68" t="str">
        <f>VLOOKUP(C21,'Sales Master'!$B$3:$F$3247,5,0)</f>
        <v>5 KG</v>
      </c>
      <c r="I21" s="481" t="str">
        <f>VLOOKUP(C21,'Sales Master'!$B$3:$E$3247,4,0)</f>
        <v>-</v>
      </c>
      <c r="J21" s="481"/>
      <c r="K21" s="35">
        <f>VLOOKUP(C21,'Sales Master'!B$3:I$581,8,0)</f>
        <v>17</v>
      </c>
      <c r="L21" s="77">
        <f t="shared" si="0"/>
        <v>17</v>
      </c>
      <c r="M21" s="78"/>
    </row>
    <row r="22" spans="2:15" ht="20.149999999999999" customHeight="1" x14ac:dyDescent="0.45">
      <c r="B22" s="70" t="s">
        <v>70</v>
      </c>
      <c r="C22" s="22" t="str">
        <f>VLOOKUP(B22,'Sales Master'!A$3:B$581,2,0)</f>
        <v>M1014</v>
      </c>
      <c r="D22" s="508" t="str">
        <f>VLOOKUP(C22,'Sales Master'!B$3:D$499,2,)</f>
        <v>Chendol浆咯</v>
      </c>
      <c r="E22" s="508"/>
      <c r="F22" s="508"/>
      <c r="G22" s="22">
        <v>2</v>
      </c>
      <c r="H22" s="68" t="str">
        <f>VLOOKUP(C22,'Sales Master'!$B$3:$F$3247,5,0)</f>
        <v>NW(2.2:0.8) 3 KG/BAG</v>
      </c>
      <c r="I22" s="481" t="str">
        <f>VLOOKUP(C22,'Sales Master'!$B$3:$E$3247,4,0)</f>
        <v>DO!</v>
      </c>
      <c r="J22" s="481"/>
      <c r="K22" s="35">
        <f>VLOOKUP(C22,'Sales Master'!B$3:I$581,8,0)</f>
        <v>6.5</v>
      </c>
      <c r="L22" s="77">
        <f t="shared" si="0"/>
        <v>13</v>
      </c>
      <c r="M22" s="78"/>
    </row>
    <row r="23" spans="2:15" ht="20.149999999999999" customHeight="1" x14ac:dyDescent="0.45">
      <c r="B23" s="70" t="s">
        <v>74</v>
      </c>
      <c r="C23" s="22" t="str">
        <f>VLOOKUP(B23,'Sales Master'!A$3:B$581,2,0)</f>
        <v>P6007</v>
      </c>
      <c r="D23" s="508" t="str">
        <f>VLOOKUP(C23,'Sales Master'!B$3:D$499,2,)</f>
        <v>Pandan Leaf 班兰叶</v>
      </c>
      <c r="E23" s="508"/>
      <c r="F23" s="508"/>
      <c r="G23" s="22">
        <v>1.5</v>
      </c>
      <c r="H23" s="68" t="str">
        <f>VLOOKUP(C23,'Sales Master'!$B$3:$F$3247,5,0)</f>
        <v>1 kg</v>
      </c>
      <c r="I23" s="481" t="str">
        <f>VLOOKUP(C23,'Sales Master'!$B$3:$E$3247,4,0)</f>
        <v>-</v>
      </c>
      <c r="J23" s="481"/>
      <c r="K23" s="35">
        <f>VLOOKUP(C23,'Sales Master'!B$3:I$581,8,0)</f>
        <v>1.8</v>
      </c>
      <c r="L23" s="77">
        <f t="shared" si="0"/>
        <v>2.7</v>
      </c>
      <c r="M23" s="78"/>
    </row>
    <row r="24" spans="2:15" ht="20.149999999999999" customHeight="1" x14ac:dyDescent="0.45">
      <c r="B24" s="70" t="s">
        <v>86</v>
      </c>
      <c r="C24" s="22" t="str">
        <f>VLOOKUP(B24,'Sales Master'!A$3:B$581,2,0)</f>
        <v>P6008</v>
      </c>
      <c r="D24" s="508" t="str">
        <f>VLOOKUP(C24,'Sales Master'!B$3:D$499,2,)</f>
        <v>Lime 酸甘</v>
      </c>
      <c r="E24" s="508"/>
      <c r="F24" s="508"/>
      <c r="G24" s="22">
        <v>1</v>
      </c>
      <c r="H24" s="68" t="str">
        <f>VLOOKUP(C24,'Sales Master'!$B$3:$F$3247,5,0)</f>
        <v>1 kg</v>
      </c>
      <c r="I24" s="481" t="str">
        <f>VLOOKUP(C24,'Sales Master'!$B$3:$E$3247,4,0)</f>
        <v>-</v>
      </c>
      <c r="J24" s="481"/>
      <c r="K24" s="35">
        <f>VLOOKUP(C24,'Sales Master'!B$3:I$581,8,0)</f>
        <v>2.8</v>
      </c>
      <c r="L24" s="77">
        <f t="shared" si="0"/>
        <v>2.8</v>
      </c>
      <c r="M24" s="78"/>
    </row>
    <row r="25" spans="2:15" ht="20.149999999999999" customHeight="1" x14ac:dyDescent="0.45">
      <c r="B25" s="70" t="s">
        <v>78</v>
      </c>
      <c r="C25" s="22" t="str">
        <f>VLOOKUP(B25,'Sales Master'!A$3:B$581,2,0)</f>
        <v>P6014</v>
      </c>
      <c r="D25" s="508" t="str">
        <f>VLOOKUP(C25,'Sales Master'!B$3:D$499,2,)</f>
        <v>Yu Tiao 油条</v>
      </c>
      <c r="E25" s="508"/>
      <c r="F25" s="508"/>
      <c r="G25" s="22">
        <v>10</v>
      </c>
      <c r="H25" s="68" t="str">
        <f>VLOOKUP(C25,'Sales Master'!$B$3:$F$3247,5,0)</f>
        <v>1 pc</v>
      </c>
      <c r="I25" s="481" t="str">
        <f>VLOOKUP(C25,'Sales Master'!$B$3:$E$3247,4,0)</f>
        <v>-</v>
      </c>
      <c r="J25" s="481"/>
      <c r="K25" s="35">
        <f>VLOOKUP(C25,'Sales Master'!B$3:I$581,8,0)</f>
        <v>0.5</v>
      </c>
      <c r="L25" s="77">
        <f t="shared" si="0"/>
        <v>5</v>
      </c>
      <c r="M25" s="78"/>
    </row>
    <row r="26" spans="2:15" ht="20.149999999999999" customHeight="1" x14ac:dyDescent="0.45">
      <c r="B26" s="70"/>
      <c r="C26" s="22"/>
      <c r="D26" s="508"/>
      <c r="E26" s="508"/>
      <c r="F26" s="508"/>
      <c r="G26" s="22"/>
      <c r="H26" s="68"/>
      <c r="I26" s="481"/>
      <c r="J26" s="481"/>
      <c r="K26" s="35"/>
      <c r="L26" s="77"/>
      <c r="M26" s="78"/>
    </row>
    <row r="27" spans="2:15" ht="20.149999999999999" customHeight="1" x14ac:dyDescent="0.45">
      <c r="B27" s="70"/>
      <c r="C27" s="22"/>
      <c r="D27" s="508"/>
      <c r="E27" s="508"/>
      <c r="F27" s="508"/>
      <c r="G27" s="22"/>
      <c r="H27" s="68"/>
      <c r="I27" s="481"/>
      <c r="J27" s="481"/>
      <c r="K27" s="35"/>
      <c r="L27" s="77"/>
      <c r="M27" s="78"/>
    </row>
    <row r="28" spans="2:15" ht="20.149999999999999" customHeight="1" x14ac:dyDescent="0.45">
      <c r="B28" s="70"/>
      <c r="C28" s="22"/>
      <c r="D28" s="508"/>
      <c r="E28" s="508"/>
      <c r="F28" s="508"/>
      <c r="G28" s="22"/>
      <c r="H28" s="68"/>
      <c r="I28" s="481"/>
      <c r="J28" s="481"/>
      <c r="K28" s="35"/>
      <c r="L28" s="77"/>
      <c r="M28" s="78"/>
    </row>
    <row r="29" spans="2:15" ht="20.149999999999999" customHeight="1" x14ac:dyDescent="0.45">
      <c r="B29" s="70"/>
      <c r="C29" s="22"/>
      <c r="D29" s="508"/>
      <c r="E29" s="508"/>
      <c r="F29" s="508"/>
      <c r="G29" s="22"/>
      <c r="H29" s="68"/>
      <c r="I29" s="481"/>
      <c r="J29" s="481"/>
      <c r="K29" s="35"/>
      <c r="L29" s="77"/>
      <c r="M29" s="78"/>
    </row>
    <row r="30" spans="2:15" ht="20.149999999999999" customHeight="1" x14ac:dyDescent="0.45">
      <c r="B30" s="70"/>
      <c r="C30" s="22"/>
      <c r="D30" s="508"/>
      <c r="E30" s="508"/>
      <c r="F30" s="508"/>
      <c r="G30" s="22"/>
      <c r="H30" s="68"/>
      <c r="I30" s="481"/>
      <c r="J30" s="481"/>
      <c r="K30" s="35"/>
      <c r="L30" s="77"/>
      <c r="M30" s="78"/>
    </row>
    <row r="31" spans="2:15" ht="20.149999999999999" customHeight="1" x14ac:dyDescent="0.45">
      <c r="B31" s="70"/>
      <c r="C31" s="22"/>
      <c r="D31" s="508"/>
      <c r="E31" s="508"/>
      <c r="F31" s="508"/>
      <c r="G31" s="22"/>
      <c r="H31" s="68"/>
      <c r="I31" s="481"/>
      <c r="J31" s="481"/>
      <c r="K31" s="35"/>
      <c r="L31" s="77"/>
      <c r="M31" s="78"/>
    </row>
    <row r="32" spans="2:15" ht="20.149999999999999" customHeight="1" x14ac:dyDescent="0.45">
      <c r="B32" s="70"/>
      <c r="C32" s="22"/>
      <c r="D32" s="508"/>
      <c r="E32" s="508"/>
      <c r="F32" s="508"/>
      <c r="G32" s="22"/>
      <c r="H32" s="68"/>
      <c r="I32" s="481"/>
      <c r="J32" s="481"/>
      <c r="K32" s="35"/>
      <c r="L32" s="77"/>
      <c r="M32" s="78"/>
    </row>
    <row r="33" spans="2:13" ht="20.149999999999999" customHeight="1" x14ac:dyDescent="0.45">
      <c r="B33" s="70"/>
      <c r="C33" s="22"/>
      <c r="D33" s="508"/>
      <c r="E33" s="508"/>
      <c r="F33" s="508"/>
      <c r="G33" s="22"/>
      <c r="H33" s="68"/>
      <c r="I33" s="450"/>
      <c r="J33" s="450"/>
      <c r="K33" s="35"/>
      <c r="L33" s="77"/>
      <c r="M33" s="78"/>
    </row>
    <row r="34" spans="2:13" ht="20.149999999999999" customHeight="1" x14ac:dyDescent="0.45">
      <c r="B34" s="70"/>
      <c r="C34" s="22"/>
      <c r="D34" s="508"/>
      <c r="E34" s="508"/>
      <c r="F34" s="508"/>
      <c r="G34" s="22"/>
      <c r="H34" s="68"/>
      <c r="I34" s="450"/>
      <c r="J34" s="450"/>
      <c r="K34" s="35"/>
      <c r="L34" s="77"/>
      <c r="M34" s="78"/>
    </row>
    <row r="35" spans="2:13" ht="20.149999999999999" customHeight="1" x14ac:dyDescent="0.45">
      <c r="B35" s="70"/>
      <c r="C35" s="22"/>
      <c r="D35" s="508"/>
      <c r="E35" s="508"/>
      <c r="F35" s="508"/>
      <c r="G35" s="22"/>
      <c r="H35" s="68"/>
      <c r="I35" s="450"/>
      <c r="J35" s="450"/>
      <c r="K35" s="35"/>
      <c r="L35" s="77"/>
      <c r="M35" s="78"/>
    </row>
    <row r="36" spans="2:13" ht="20.149999999999999" customHeight="1" x14ac:dyDescent="0.45">
      <c r="B36" s="70"/>
      <c r="C36" s="22"/>
      <c r="D36" s="508"/>
      <c r="E36" s="508"/>
      <c r="F36" s="508"/>
      <c r="G36" s="22"/>
      <c r="H36" s="68"/>
      <c r="I36" s="450"/>
      <c r="J36" s="450"/>
      <c r="K36" s="35"/>
      <c r="L36" s="36"/>
    </row>
    <row r="37" spans="2:13" ht="20.149999999999999" customHeight="1" thickBot="1" x14ac:dyDescent="0.5">
      <c r="B37" s="37"/>
      <c r="C37" s="38"/>
      <c r="D37" s="509"/>
      <c r="E37" s="509"/>
      <c r="F37" s="509"/>
      <c r="G37" s="38"/>
      <c r="H37" s="69"/>
      <c r="I37" s="451"/>
      <c r="J37" s="451"/>
      <c r="K37" s="39"/>
      <c r="L37" s="40"/>
    </row>
    <row r="38" spans="2:13" ht="20.149999999999999" customHeight="1" thickBot="1" x14ac:dyDescent="0.5">
      <c r="B38" s="41"/>
      <c r="L38" s="42"/>
    </row>
    <row r="39" spans="2:13" ht="20.149999999999999" customHeight="1" x14ac:dyDescent="0.45">
      <c r="B39" s="11" t="s">
        <v>18</v>
      </c>
      <c r="C39" s="7"/>
      <c r="D39" s="7"/>
      <c r="E39" s="7"/>
      <c r="F39" s="7"/>
      <c r="G39" s="7"/>
      <c r="H39" s="7"/>
      <c r="I39" s="7"/>
      <c r="J39" s="510" t="s">
        <v>15</v>
      </c>
      <c r="K39" s="511"/>
      <c r="L39" s="43">
        <f>SUM(L17:L37)</f>
        <v>83.5</v>
      </c>
      <c r="M39" s="76">
        <f>L39-858</f>
        <v>-774.5</v>
      </c>
    </row>
    <row r="40" spans="2:13" ht="20.149999999999999" customHeight="1" x14ac:dyDescent="0.45">
      <c r="B40" s="11" t="s">
        <v>19</v>
      </c>
      <c r="C40" s="7"/>
      <c r="D40" s="7"/>
      <c r="E40" s="7"/>
      <c r="F40" s="7"/>
      <c r="G40" s="7"/>
      <c r="H40" s="7"/>
      <c r="I40" s="7"/>
      <c r="J40" s="44" t="s">
        <v>22</v>
      </c>
      <c r="K40" s="45"/>
      <c r="L40" s="46">
        <f>L39*K40</f>
        <v>0</v>
      </c>
    </row>
    <row r="41" spans="2:13" ht="20.149999999999999" customHeight="1" x14ac:dyDescent="0.45">
      <c r="B41" s="11" t="s">
        <v>20</v>
      </c>
      <c r="C41" s="7"/>
      <c r="D41" s="7"/>
      <c r="E41" s="7"/>
      <c r="F41" s="7"/>
      <c r="G41" s="7"/>
      <c r="H41" s="7"/>
      <c r="I41" s="7"/>
      <c r="J41" s="486" t="s">
        <v>21</v>
      </c>
      <c r="K41" s="487"/>
      <c r="L41" s="46">
        <f>L39-L40</f>
        <v>83.5</v>
      </c>
    </row>
    <row r="42" spans="2:13" ht="20.149999999999999" customHeight="1" x14ac:dyDescent="0.45">
      <c r="B42" s="11" t="s">
        <v>24</v>
      </c>
      <c r="C42" s="7"/>
      <c r="D42" s="7"/>
      <c r="E42" s="7"/>
      <c r="F42" s="7"/>
      <c r="G42" s="7"/>
      <c r="H42" s="7"/>
      <c r="I42" s="7"/>
      <c r="J42" s="150" t="s">
        <v>17</v>
      </c>
      <c r="K42" s="151">
        <v>7.0000000000000007E-2</v>
      </c>
      <c r="L42" s="47">
        <f>L41*K42</f>
        <v>5.8450000000000006</v>
      </c>
    </row>
    <row r="43" spans="2:13" ht="20.149999999999999" customHeight="1" thickBot="1" x14ac:dyDescent="0.5">
      <c r="B43" s="11" t="s">
        <v>25</v>
      </c>
      <c r="C43" s="7"/>
      <c r="D43" s="7"/>
      <c r="E43" s="7"/>
      <c r="F43" s="7"/>
      <c r="G43" s="7"/>
      <c r="H43" s="7"/>
      <c r="I43" s="7"/>
      <c r="J43" s="488" t="s">
        <v>23</v>
      </c>
      <c r="K43" s="489"/>
      <c r="L43" s="48">
        <f>L41+L42</f>
        <v>89.344999999999999</v>
      </c>
    </row>
    <row r="44" spans="2:13" ht="20.149999999999999" customHeight="1" x14ac:dyDescent="0.45">
      <c r="B44" s="11" t="s">
        <v>26</v>
      </c>
      <c r="C44" s="7"/>
      <c r="D44" s="7"/>
      <c r="E44" s="7"/>
      <c r="F44" s="7"/>
      <c r="G44" s="7"/>
      <c r="H44" s="7"/>
      <c r="I44" s="7"/>
      <c r="L44" s="42"/>
    </row>
    <row r="45" spans="2:13" ht="20.149999999999999" customHeight="1" x14ac:dyDescent="0.45">
      <c r="B45" s="41"/>
      <c r="L45" s="42"/>
    </row>
    <row r="46" spans="2:13" ht="20.149999999999999" customHeight="1" x14ac:dyDescent="0.45">
      <c r="B46" s="41"/>
      <c r="L46" s="42"/>
    </row>
    <row r="47" spans="2:13" ht="20.149999999999999" customHeight="1" x14ac:dyDescent="0.45">
      <c r="B47" s="41"/>
      <c r="L47" s="42"/>
    </row>
    <row r="48" spans="2:13" ht="20.149999999999999" customHeight="1" x14ac:dyDescent="0.45">
      <c r="B48" s="41"/>
      <c r="L48" s="42"/>
    </row>
    <row r="49" spans="2:12" ht="20.149999999999999" customHeight="1" x14ac:dyDescent="0.45">
      <c r="B49" s="49"/>
      <c r="C49" s="50"/>
      <c r="D49" s="50"/>
      <c r="J49" s="50"/>
      <c r="K49" s="50"/>
      <c r="L49" s="51"/>
    </row>
    <row r="50" spans="2:12" ht="20.149999999999999" customHeight="1" x14ac:dyDescent="0.45">
      <c r="B50" s="41" t="s">
        <v>27</v>
      </c>
      <c r="J50" s="24" t="s">
        <v>28</v>
      </c>
      <c r="L50" s="42"/>
    </row>
    <row r="51" spans="2:12" ht="19" thickBot="1" x14ac:dyDescent="0.5">
      <c r="B51" s="52"/>
      <c r="C51" s="53"/>
      <c r="D51" s="53"/>
      <c r="E51" s="53"/>
      <c r="F51" s="53"/>
      <c r="G51" s="53"/>
      <c r="H51" s="53"/>
      <c r="I51" s="53"/>
      <c r="J51" s="53"/>
      <c r="K51" s="53"/>
      <c r="L51" s="54"/>
    </row>
  </sheetData>
  <mergeCells count="57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D17:F17"/>
    <mergeCell ref="I17:J17"/>
    <mergeCell ref="D18:F18"/>
    <mergeCell ref="I18:J18"/>
    <mergeCell ref="D19:F19"/>
    <mergeCell ref="I19:J19"/>
    <mergeCell ref="D20:F20"/>
    <mergeCell ref="I20:J20"/>
    <mergeCell ref="D21:F21"/>
    <mergeCell ref="I21:J21"/>
    <mergeCell ref="D22:F22"/>
    <mergeCell ref="I22:J22"/>
    <mergeCell ref="D27:F27"/>
    <mergeCell ref="I27:J27"/>
    <mergeCell ref="D23:F23"/>
    <mergeCell ref="I23:J23"/>
    <mergeCell ref="D28:F28"/>
    <mergeCell ref="I28:J28"/>
    <mergeCell ref="D24:F24"/>
    <mergeCell ref="I24:J24"/>
    <mergeCell ref="D25:F25"/>
    <mergeCell ref="I25:J25"/>
    <mergeCell ref="D26:F26"/>
    <mergeCell ref="I26:J26"/>
    <mergeCell ref="D29:F29"/>
    <mergeCell ref="I29:J29"/>
    <mergeCell ref="D30:F30"/>
    <mergeCell ref="I30:J30"/>
    <mergeCell ref="D31:F31"/>
    <mergeCell ref="I31:J31"/>
    <mergeCell ref="D32:F32"/>
    <mergeCell ref="I32:J32"/>
    <mergeCell ref="D33:F33"/>
    <mergeCell ref="I33:J33"/>
    <mergeCell ref="J43:K43"/>
    <mergeCell ref="D34:F34"/>
    <mergeCell ref="I34:J34"/>
    <mergeCell ref="D35:F35"/>
    <mergeCell ref="I35:J35"/>
    <mergeCell ref="D36:F36"/>
    <mergeCell ref="I36:J36"/>
    <mergeCell ref="D37:F37"/>
    <mergeCell ref="I37:J37"/>
    <mergeCell ref="J39:K39"/>
    <mergeCell ref="J41:K41"/>
  </mergeCells>
  <hyperlinks>
    <hyperlink ref="B15" r:id="rId1" xr:uid="{AB688B4C-BAA5-4B9C-99CE-5C6AF35C9065}"/>
  </hyperlinks>
  <pageMargins left="0.70866141732283472" right="0.31496062992125984" top="0.59055118110236227" bottom="0" header="0.31496062992125984" footer="0.31496062992125984"/>
  <pageSetup paperSize="9" scale="73" orientation="portrait" verticalDpi="300" r:id="rId2"/>
  <drawing r:id="rId3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204F1F-011A-4A5F-87A5-8D1A9A297E28}">
  <sheetPr codeName="Sheet143">
    <tabColor theme="0" tint="-0.499984740745262"/>
    <pageSetUpPr fitToPage="1"/>
  </sheetPr>
  <dimension ref="B1:O41"/>
  <sheetViews>
    <sheetView workbookViewId="0">
      <selection activeCell="B1" sqref="B1:L41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4.54296875" style="24" customWidth="1"/>
    <col min="7" max="7" width="8.54296875" style="24" customWidth="1"/>
    <col min="8" max="8" width="12.54296875" style="24" customWidth="1"/>
    <col min="9" max="9" width="4.54296875" style="24" customWidth="1"/>
    <col min="10" max="10" width="15.54296875" style="24" customWidth="1"/>
    <col min="11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974</v>
      </c>
      <c r="J10" s="29" t="s">
        <v>29</v>
      </c>
      <c r="K10" s="452">
        <v>202112469</v>
      </c>
      <c r="L10" s="453"/>
    </row>
    <row r="11" spans="2:12" ht="20.149999999999999" customHeight="1" x14ac:dyDescent="0.45">
      <c r="B11" s="454" t="s">
        <v>2022</v>
      </c>
      <c r="C11" s="455"/>
      <c r="D11" s="456"/>
      <c r="E11" s="30"/>
      <c r="F11" s="457" t="str">
        <f>VLOOKUP(H10,'Delivery Location'!A$4:N$416,2,0)</f>
        <v xml:space="preserve">Koufu - WoodGrove                                30, Woodlands Ave 1 #01-11 Singapore 739065     (DESSERT COUNTER)                               </v>
      </c>
      <c r="G11" s="458"/>
      <c r="H11" s="459"/>
      <c r="J11" s="31" t="s">
        <v>11</v>
      </c>
      <c r="K11" s="551" t="s">
        <v>2041</v>
      </c>
      <c r="L11" s="472"/>
    </row>
    <row r="12" spans="2:12" ht="20.149999999999999" customHeight="1" x14ac:dyDescent="0.45">
      <c r="B12" s="468" t="s">
        <v>2139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36</v>
      </c>
      <c r="L12" s="472"/>
    </row>
    <row r="13" spans="2:12" ht="20.149999999999999" customHeight="1" x14ac:dyDescent="0.45">
      <c r="B13" s="468" t="s">
        <v>2024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14</v>
      </c>
      <c r="L13" s="472"/>
    </row>
    <row r="14" spans="2:12" ht="20.149999999999999" customHeight="1" x14ac:dyDescent="0.45">
      <c r="B14" s="468" t="s">
        <v>2025</v>
      </c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463" t="s">
        <v>2026</v>
      </c>
      <c r="C15" s="464"/>
      <c r="D15" s="465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15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8" t="s">
        <v>622</v>
      </c>
      <c r="I17" s="478" t="s">
        <v>621</v>
      </c>
      <c r="J17" s="479"/>
      <c r="K17" s="9" t="s">
        <v>6</v>
      </c>
      <c r="L17" s="10" t="s">
        <v>7</v>
      </c>
      <c r="M17" s="33"/>
      <c r="N17" s="33"/>
      <c r="O17" s="33"/>
    </row>
    <row r="18" spans="2:15" ht="20.149999999999999" customHeight="1" x14ac:dyDescent="0.45">
      <c r="B18" s="34"/>
      <c r="C18" s="22" t="s">
        <v>1695</v>
      </c>
      <c r="D18" s="508" t="str">
        <f>VLOOKUP(C18,'Sales Master'!B$3:D$499,2,)</f>
        <v>Aloe Vera芦荟 10mm</v>
      </c>
      <c r="E18" s="508"/>
      <c r="F18" s="508"/>
      <c r="G18" s="22">
        <v>6</v>
      </c>
      <c r="H18" s="68" t="str">
        <f>VLOOKUP(C18,'Sales Master'!$B$3:$E$590,4,0)</f>
        <v>Chefs</v>
      </c>
      <c r="I18" s="450" t="str">
        <f>VLOOKUP(C18,'Sales Master'!$B$3:F$590,5,0)</f>
        <v>1 Can X A10</v>
      </c>
      <c r="J18" s="450"/>
      <c r="K18" s="35">
        <f>VLOOKUP(C18,'Sales Master'!B$3:J$499,9,0)</f>
        <v>10</v>
      </c>
      <c r="L18" s="77">
        <f>K18*G18</f>
        <v>60</v>
      </c>
      <c r="M18" s="78"/>
    </row>
    <row r="19" spans="2:15" ht="20.149999999999999" customHeight="1" x14ac:dyDescent="0.45">
      <c r="B19" s="34"/>
      <c r="C19" s="22" t="s">
        <v>1695</v>
      </c>
      <c r="D19" s="508" t="str">
        <f>VLOOKUP(C19,'Sales Master'!B$3:D$499,2,)</f>
        <v>Aloe Vera芦荟 10mm</v>
      </c>
      <c r="E19" s="508"/>
      <c r="F19" s="508"/>
      <c r="G19" s="22">
        <v>6</v>
      </c>
      <c r="H19" s="68" t="str">
        <f>VLOOKUP(C19,'Sales Master'!$B$3:$E$590,4,0)</f>
        <v>Chefs</v>
      </c>
      <c r="I19" s="450" t="str">
        <f>VLOOKUP(C19,'Sales Master'!$B$3:F$590,5,0)</f>
        <v>1 Can X A10</v>
      </c>
      <c r="J19" s="450"/>
      <c r="K19" s="35">
        <f>VLOOKUP(C19,'Sales Master'!B$3:J$499,9,0)</f>
        <v>10</v>
      </c>
      <c r="L19" s="77">
        <f>K19*G19</f>
        <v>60</v>
      </c>
      <c r="M19" s="78"/>
    </row>
    <row r="20" spans="2:15" ht="20.149999999999999" customHeight="1" x14ac:dyDescent="0.45">
      <c r="B20" s="34"/>
      <c r="C20" s="22"/>
      <c r="D20" s="508"/>
      <c r="E20" s="508"/>
      <c r="F20" s="508"/>
      <c r="G20" s="22"/>
      <c r="H20" s="68"/>
      <c r="I20" s="450"/>
      <c r="J20" s="450"/>
      <c r="K20" s="35"/>
      <c r="L20" s="77"/>
      <c r="M20" s="78"/>
    </row>
    <row r="21" spans="2:15" ht="20.149999999999999" customHeight="1" x14ac:dyDescent="0.45">
      <c r="B21" s="34"/>
      <c r="C21" s="22"/>
      <c r="D21" s="508"/>
      <c r="E21" s="508"/>
      <c r="F21" s="508"/>
      <c r="G21" s="22"/>
      <c r="H21" s="68"/>
      <c r="I21" s="450"/>
      <c r="J21" s="450"/>
      <c r="K21" s="35"/>
      <c r="L21" s="77"/>
      <c r="M21" s="78"/>
    </row>
    <row r="22" spans="2:15" ht="20.149999999999999" customHeight="1" x14ac:dyDescent="0.45">
      <c r="B22" s="34"/>
      <c r="C22" s="22"/>
      <c r="D22" s="508"/>
      <c r="E22" s="508"/>
      <c r="F22" s="508"/>
      <c r="G22" s="22"/>
      <c r="H22" s="68"/>
      <c r="I22" s="450"/>
      <c r="J22" s="450"/>
      <c r="K22" s="35"/>
      <c r="L22" s="77"/>
      <c r="M22" s="78"/>
    </row>
    <row r="23" spans="2:15" ht="20.149999999999999" customHeight="1" x14ac:dyDescent="0.45">
      <c r="B23" s="34"/>
      <c r="C23" s="22"/>
      <c r="D23" s="508"/>
      <c r="E23" s="508"/>
      <c r="F23" s="508"/>
      <c r="G23" s="22"/>
      <c r="H23" s="68"/>
      <c r="I23" s="450"/>
      <c r="J23" s="450"/>
      <c r="K23" s="35"/>
      <c r="L23" s="77"/>
      <c r="M23" s="78"/>
    </row>
    <row r="24" spans="2:15" ht="20.149999999999999" customHeight="1" x14ac:dyDescent="0.45">
      <c r="B24" s="34"/>
      <c r="C24" s="22"/>
      <c r="D24" s="508"/>
      <c r="E24" s="508"/>
      <c r="F24" s="508"/>
      <c r="G24" s="22"/>
      <c r="H24" s="68"/>
      <c r="I24" s="450"/>
      <c r="J24" s="450"/>
      <c r="K24" s="35"/>
      <c r="L24" s="77"/>
      <c r="M24" s="78"/>
    </row>
    <row r="25" spans="2:15" ht="20.149999999999999" customHeight="1" x14ac:dyDescent="0.45">
      <c r="B25" s="34"/>
      <c r="C25" s="22"/>
      <c r="D25" s="508"/>
      <c r="E25" s="508"/>
      <c r="F25" s="508"/>
      <c r="G25" s="22"/>
      <c r="H25" s="68"/>
      <c r="I25" s="450"/>
      <c r="J25" s="450"/>
      <c r="K25" s="35"/>
      <c r="L25" s="77"/>
      <c r="M25" s="78"/>
    </row>
    <row r="26" spans="2:15" ht="20.149999999999999" customHeight="1" x14ac:dyDescent="0.45">
      <c r="B26" s="34"/>
      <c r="C26" s="22"/>
      <c r="D26" s="508"/>
      <c r="E26" s="508"/>
      <c r="F26" s="508"/>
      <c r="G26" s="22"/>
      <c r="H26" s="68"/>
      <c r="I26" s="450"/>
      <c r="J26" s="450"/>
      <c r="K26" s="35"/>
      <c r="L26" s="36"/>
    </row>
    <row r="27" spans="2:15" ht="20.149999999999999" customHeight="1" thickBot="1" x14ac:dyDescent="0.5">
      <c r="B27" s="37"/>
      <c r="C27" s="38"/>
      <c r="D27" s="509"/>
      <c r="E27" s="509"/>
      <c r="F27" s="509"/>
      <c r="G27" s="38"/>
      <c r="H27" s="69"/>
      <c r="I27" s="451"/>
      <c r="J27" s="451"/>
      <c r="K27" s="39"/>
      <c r="L27" s="40"/>
    </row>
    <row r="28" spans="2:15" ht="20.149999999999999" customHeight="1" thickBot="1" x14ac:dyDescent="0.5">
      <c r="B28" s="41"/>
      <c r="L28" s="42"/>
    </row>
    <row r="29" spans="2:15" ht="20.149999999999999" customHeight="1" x14ac:dyDescent="0.45">
      <c r="B29" s="11" t="s">
        <v>18</v>
      </c>
      <c r="C29" s="7"/>
      <c r="D29" s="7"/>
      <c r="E29" s="7"/>
      <c r="F29" s="7"/>
      <c r="G29" s="7"/>
      <c r="H29" s="7"/>
      <c r="I29" s="7"/>
      <c r="J29" s="510" t="s">
        <v>15</v>
      </c>
      <c r="K29" s="511"/>
      <c r="L29" s="43">
        <f>SUM(L17:L27)</f>
        <v>120</v>
      </c>
      <c r="M29" s="76">
        <f>166+26</f>
        <v>192</v>
      </c>
    </row>
    <row r="30" spans="2:15" ht="20.149999999999999" customHeight="1" x14ac:dyDescent="0.45">
      <c r="B30" s="11" t="s">
        <v>19</v>
      </c>
      <c r="C30" s="7"/>
      <c r="D30" s="7"/>
      <c r="E30" s="7"/>
      <c r="F30" s="7"/>
      <c r="G30" s="7"/>
      <c r="H30" s="7"/>
      <c r="I30" s="7"/>
      <c r="J30" s="44" t="s">
        <v>22</v>
      </c>
      <c r="K30" s="45"/>
      <c r="L30" s="46">
        <f>L29*K30</f>
        <v>0</v>
      </c>
    </row>
    <row r="31" spans="2:15" ht="20.149999999999999" customHeight="1" x14ac:dyDescent="0.45">
      <c r="B31" s="11" t="s">
        <v>20</v>
      </c>
      <c r="C31" s="7"/>
      <c r="D31" s="7"/>
      <c r="E31" s="7"/>
      <c r="F31" s="7"/>
      <c r="G31" s="7"/>
      <c r="H31" s="7"/>
      <c r="I31" s="7"/>
      <c r="J31" s="486" t="s">
        <v>21</v>
      </c>
      <c r="K31" s="487"/>
      <c r="L31" s="46">
        <f>L29-L30</f>
        <v>120</v>
      </c>
    </row>
    <row r="32" spans="2:15" ht="20.149999999999999" customHeight="1" x14ac:dyDescent="0.45">
      <c r="B32" s="11" t="s">
        <v>24</v>
      </c>
      <c r="C32" s="7"/>
      <c r="D32" s="7"/>
      <c r="E32" s="7"/>
      <c r="F32" s="7"/>
      <c r="G32" s="7"/>
      <c r="H32" s="7"/>
      <c r="I32" s="7"/>
      <c r="J32" s="150" t="s">
        <v>17</v>
      </c>
      <c r="K32" s="151">
        <v>7.0000000000000007E-2</v>
      </c>
      <c r="L32" s="47">
        <f>L31*K32</f>
        <v>8.4</v>
      </c>
    </row>
    <row r="33" spans="2:12" ht="20.149999999999999" customHeight="1" thickBot="1" x14ac:dyDescent="0.5">
      <c r="B33" s="11" t="s">
        <v>25</v>
      </c>
      <c r="C33" s="7"/>
      <c r="D33" s="7"/>
      <c r="E33" s="7"/>
      <c r="F33" s="7"/>
      <c r="G33" s="7"/>
      <c r="H33" s="7"/>
      <c r="I33" s="7"/>
      <c r="J33" s="488" t="s">
        <v>23</v>
      </c>
      <c r="K33" s="489"/>
      <c r="L33" s="48">
        <f>L31+L32</f>
        <v>128.4</v>
      </c>
    </row>
    <row r="34" spans="2:12" ht="20.149999999999999" customHeight="1" x14ac:dyDescent="0.45">
      <c r="B34" s="11" t="s">
        <v>26</v>
      </c>
      <c r="C34" s="7"/>
      <c r="D34" s="7"/>
      <c r="E34" s="7"/>
      <c r="F34" s="7"/>
      <c r="G34" s="7"/>
      <c r="H34" s="7"/>
      <c r="I34" s="7"/>
      <c r="L34" s="42"/>
    </row>
    <row r="35" spans="2:12" ht="20.149999999999999" customHeight="1" x14ac:dyDescent="0.45">
      <c r="B35" s="41"/>
      <c r="L35" s="42"/>
    </row>
    <row r="36" spans="2:12" ht="20.149999999999999" customHeight="1" x14ac:dyDescent="0.45">
      <c r="B36" s="41"/>
      <c r="L36" s="42"/>
    </row>
    <row r="37" spans="2:12" ht="20.149999999999999" customHeight="1" x14ac:dyDescent="0.45">
      <c r="B37" s="41"/>
      <c r="L37" s="42"/>
    </row>
    <row r="38" spans="2:12" ht="20.149999999999999" customHeight="1" x14ac:dyDescent="0.45">
      <c r="B38" s="41"/>
      <c r="L38" s="42"/>
    </row>
    <row r="39" spans="2:12" ht="20.149999999999999" customHeight="1" x14ac:dyDescent="0.45">
      <c r="B39" s="49"/>
      <c r="C39" s="50"/>
      <c r="D39" s="50"/>
      <c r="J39" s="50"/>
      <c r="K39" s="50"/>
      <c r="L39" s="51"/>
    </row>
    <row r="40" spans="2:12" ht="20.149999999999999" customHeight="1" x14ac:dyDescent="0.45">
      <c r="B40" s="41" t="s">
        <v>27</v>
      </c>
      <c r="J40" s="24" t="s">
        <v>28</v>
      </c>
      <c r="L40" s="42"/>
    </row>
    <row r="41" spans="2:12" ht="19" thickBot="1" x14ac:dyDescent="0.5">
      <c r="B41" s="52"/>
      <c r="C41" s="53"/>
      <c r="D41" s="53"/>
      <c r="E41" s="53"/>
      <c r="F41" s="53"/>
      <c r="G41" s="53"/>
      <c r="H41" s="53"/>
      <c r="I41" s="53"/>
      <c r="J41" s="53"/>
      <c r="K41" s="53"/>
      <c r="L41" s="54"/>
    </row>
  </sheetData>
  <mergeCells count="38">
    <mergeCell ref="I18:J18"/>
    <mergeCell ref="D17:F17"/>
    <mergeCell ref="I17:J1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  <mergeCell ref="J33:K33"/>
    <mergeCell ref="D25:F25"/>
    <mergeCell ref="I25:J25"/>
    <mergeCell ref="D26:F26"/>
    <mergeCell ref="I26:J26"/>
    <mergeCell ref="D27:F27"/>
    <mergeCell ref="I27:J27"/>
    <mergeCell ref="B1:L8"/>
    <mergeCell ref="D24:F24"/>
    <mergeCell ref="I24:J24"/>
    <mergeCell ref="J29:K29"/>
    <mergeCell ref="J31:K31"/>
    <mergeCell ref="D21:F21"/>
    <mergeCell ref="I21:J21"/>
    <mergeCell ref="D22:F22"/>
    <mergeCell ref="I22:J22"/>
    <mergeCell ref="D23:F23"/>
    <mergeCell ref="I23:J23"/>
    <mergeCell ref="D19:F19"/>
    <mergeCell ref="I19:J19"/>
    <mergeCell ref="D20:F20"/>
    <mergeCell ref="I20:J20"/>
    <mergeCell ref="D18:F18"/>
  </mergeCells>
  <pageMargins left="0.70866141732283472" right="0.31496062992125984" top="0.59055118110236227" bottom="0" header="0.31496062992125984" footer="0.31496062992125984"/>
  <pageSetup paperSize="9" scale="76" orientation="portrait" verticalDpi="300" r:id="rId1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DF8275-A3D2-4B5A-8506-2B2733E4F7D5}">
  <sheetPr codeName="Sheet144">
    <tabColor theme="0" tint="-0.499984740745262"/>
    <pageSetUpPr fitToPage="1"/>
  </sheetPr>
  <dimension ref="B1:O51"/>
  <sheetViews>
    <sheetView topLeftCell="A4" workbookViewId="0">
      <selection activeCell="B12" sqref="B12:D12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4.54296875" style="24" customWidth="1"/>
    <col min="7" max="7" width="8.54296875" style="24" customWidth="1"/>
    <col min="8" max="8" width="12.54296875" style="24" customWidth="1"/>
    <col min="9" max="9" width="4.54296875" style="24" customWidth="1"/>
    <col min="10" max="10" width="15.54296875" style="24" customWidth="1"/>
    <col min="11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1012</v>
      </c>
      <c r="J10" s="29" t="s">
        <v>29</v>
      </c>
      <c r="K10" s="452">
        <v>202003211</v>
      </c>
      <c r="L10" s="453"/>
    </row>
    <row r="11" spans="2:12" ht="20.149999999999999" customHeight="1" x14ac:dyDescent="0.45">
      <c r="B11" s="454" t="s">
        <v>2022</v>
      </c>
      <c r="C11" s="455"/>
      <c r="D11" s="456"/>
      <c r="E11" s="30"/>
      <c r="F11" s="457" t="str">
        <f>VLOOKUP(H10,'Delivery Location'!A$4:N$416,2,0)</f>
        <v xml:space="preserve">FORK &amp; SPOON - Dessert                          470, Lorong 6 Toa Payoh #02-70 Singapore 310470.                                            </v>
      </c>
      <c r="G11" s="458"/>
      <c r="H11" s="459"/>
      <c r="J11" s="31" t="s">
        <v>11</v>
      </c>
      <c r="K11" s="551">
        <v>44168</v>
      </c>
      <c r="L11" s="472"/>
    </row>
    <row r="12" spans="2:12" ht="20.149999999999999" customHeight="1" x14ac:dyDescent="0.45">
      <c r="B12" s="468" t="s">
        <v>2139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993</v>
      </c>
      <c r="L12" s="472"/>
    </row>
    <row r="13" spans="2:12" ht="20.149999999999999" customHeight="1" x14ac:dyDescent="0.45">
      <c r="B13" s="468" t="s">
        <v>2024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14</v>
      </c>
      <c r="L13" s="472"/>
    </row>
    <row r="14" spans="2:12" ht="20.149999999999999" customHeight="1" x14ac:dyDescent="0.45">
      <c r="B14" s="468" t="s">
        <v>2025</v>
      </c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463" t="s">
        <v>2026</v>
      </c>
      <c r="C15" s="464"/>
      <c r="D15" s="465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15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3"/>
      <c r="O17" s="33"/>
    </row>
    <row r="18" spans="2:15" ht="20.149999999999999" customHeight="1" x14ac:dyDescent="0.45">
      <c r="B18" s="34"/>
      <c r="C18" s="22" t="s">
        <v>517</v>
      </c>
      <c r="D18" s="508" t="e">
        <f>VLOOKUP(C18,'Sales Master'!B$3:D$499,2,)</f>
        <v>#N/A</v>
      </c>
      <c r="E18" s="508"/>
      <c r="F18" s="508"/>
      <c r="G18" s="22">
        <v>40</v>
      </c>
      <c r="H18" s="68" t="e">
        <f>VLOOKUP(C18,'Sales Master'!$B$3:$F$3247,5,0)</f>
        <v>#N/A</v>
      </c>
      <c r="I18" s="481" t="e">
        <f>VLOOKUP(C18,'Sales Master'!$B$3:$E$3247,4,0)</f>
        <v>#N/A</v>
      </c>
      <c r="J18" s="481"/>
      <c r="K18" s="35" t="e">
        <f>VLOOKUP(C18,'Sales Master'!$B$3:$J$583,9,0)</f>
        <v>#N/A</v>
      </c>
      <c r="L18" s="36" t="e">
        <f>K18*G18</f>
        <v>#N/A</v>
      </c>
    </row>
    <row r="19" spans="2:15" ht="20.149999999999999" customHeight="1" x14ac:dyDescent="0.45">
      <c r="B19" s="34"/>
      <c r="C19" s="22" t="s">
        <v>520</v>
      </c>
      <c r="D19" s="508" t="e">
        <f>VLOOKUP(C19,'Sales Master'!B$3:D$499,2,)</f>
        <v>#N/A</v>
      </c>
      <c r="E19" s="508"/>
      <c r="F19" s="508"/>
      <c r="G19" s="22">
        <v>5</v>
      </c>
      <c r="H19" s="68" t="str">
        <f>VLOOKUP(C19,'[2]Sales Master'!B$3:F$736,5,0)</f>
        <v>1 kg</v>
      </c>
      <c r="I19" s="481" t="str">
        <f>VLOOKUP(C19,'[2]Sales Master'!B$3:E$736,4,0)</f>
        <v>-</v>
      </c>
      <c r="J19" s="481"/>
      <c r="K19" s="35" t="e">
        <f>VLOOKUP(C19,'Sales Master'!$B$3:$J$583,9,0)</f>
        <v>#N/A</v>
      </c>
      <c r="L19" s="36" t="e">
        <f>K19*G19</f>
        <v>#N/A</v>
      </c>
    </row>
    <row r="20" spans="2:15" ht="20.149999999999999" customHeight="1" x14ac:dyDescent="0.45">
      <c r="B20" s="34"/>
      <c r="C20" s="22"/>
      <c r="D20" s="508"/>
      <c r="E20" s="508"/>
      <c r="F20" s="508"/>
      <c r="G20" s="22"/>
      <c r="H20" s="68"/>
      <c r="I20" s="481"/>
      <c r="J20" s="481"/>
      <c r="K20" s="35"/>
      <c r="L20" s="36"/>
    </row>
    <row r="21" spans="2:15" ht="20.149999999999999" customHeight="1" x14ac:dyDescent="0.45">
      <c r="B21" s="34"/>
      <c r="C21" s="22"/>
      <c r="D21" s="508"/>
      <c r="E21" s="508"/>
      <c r="F21" s="508"/>
      <c r="G21" s="22"/>
      <c r="H21" s="68"/>
      <c r="I21" s="450"/>
      <c r="J21" s="450"/>
      <c r="K21" s="35"/>
      <c r="L21" s="36"/>
    </row>
    <row r="22" spans="2:15" ht="20.149999999999999" customHeight="1" x14ac:dyDescent="0.45">
      <c r="B22" s="34"/>
      <c r="C22" s="22"/>
      <c r="D22" s="508"/>
      <c r="E22" s="508"/>
      <c r="F22" s="508"/>
      <c r="G22" s="22"/>
      <c r="H22" s="68"/>
      <c r="I22" s="450"/>
      <c r="J22" s="450"/>
      <c r="K22" s="35"/>
      <c r="L22" s="36"/>
    </row>
    <row r="23" spans="2:15" ht="20.149999999999999" customHeight="1" x14ac:dyDescent="0.45">
      <c r="B23" s="34"/>
      <c r="C23" s="22"/>
      <c r="D23" s="508"/>
      <c r="E23" s="508"/>
      <c r="F23" s="508"/>
      <c r="G23" s="22"/>
      <c r="H23" s="68"/>
      <c r="I23" s="450"/>
      <c r="J23" s="450"/>
      <c r="K23" s="35"/>
      <c r="L23" s="36"/>
    </row>
    <row r="24" spans="2:15" ht="20.149999999999999" customHeight="1" x14ac:dyDescent="0.45">
      <c r="B24" s="34"/>
      <c r="C24" s="22"/>
      <c r="D24" s="508"/>
      <c r="E24" s="508"/>
      <c r="F24" s="508"/>
      <c r="G24" s="22"/>
      <c r="H24" s="68"/>
      <c r="I24" s="450"/>
      <c r="J24" s="450"/>
      <c r="K24" s="35"/>
      <c r="L24" s="36"/>
    </row>
    <row r="25" spans="2:15" ht="20.149999999999999" customHeight="1" x14ac:dyDescent="0.45">
      <c r="B25" s="34"/>
      <c r="C25" s="22"/>
      <c r="D25" s="508"/>
      <c r="E25" s="508"/>
      <c r="F25" s="508"/>
      <c r="G25" s="22"/>
      <c r="H25" s="68"/>
      <c r="I25" s="450"/>
      <c r="J25" s="450"/>
      <c r="K25" s="35"/>
      <c r="L25" s="36"/>
    </row>
    <row r="26" spans="2:15" ht="20.149999999999999" customHeight="1" x14ac:dyDescent="0.45">
      <c r="B26" s="34"/>
      <c r="C26" s="22"/>
      <c r="G26" s="22"/>
      <c r="H26" s="68"/>
      <c r="I26" s="450"/>
      <c r="J26" s="450"/>
      <c r="K26" s="35"/>
      <c r="L26" s="36"/>
    </row>
    <row r="27" spans="2:15" ht="20.149999999999999" customHeight="1" x14ac:dyDescent="0.45">
      <c r="B27" s="34"/>
      <c r="C27" s="22"/>
      <c r="G27" s="22"/>
      <c r="H27" s="68"/>
      <c r="I27" s="450"/>
      <c r="J27" s="450"/>
      <c r="K27" s="35"/>
      <c r="L27" s="36"/>
    </row>
    <row r="28" spans="2:15" ht="20.149999999999999" customHeight="1" x14ac:dyDescent="0.45">
      <c r="B28" s="34"/>
      <c r="C28" s="22"/>
      <c r="G28" s="22"/>
      <c r="H28" s="68"/>
      <c r="I28" s="450"/>
      <c r="J28" s="450"/>
      <c r="K28" s="35"/>
      <c r="L28" s="36"/>
    </row>
    <row r="29" spans="2:15" ht="20.149999999999999" customHeight="1" x14ac:dyDescent="0.45">
      <c r="B29" s="34"/>
      <c r="C29" s="22"/>
      <c r="G29" s="22"/>
      <c r="H29" s="68"/>
      <c r="I29" s="450"/>
      <c r="J29" s="450"/>
      <c r="K29" s="35"/>
      <c r="L29" s="36"/>
    </row>
    <row r="30" spans="2:15" ht="20.149999999999999" customHeight="1" x14ac:dyDescent="0.45">
      <c r="B30" s="34"/>
      <c r="C30" s="22"/>
      <c r="G30" s="22"/>
      <c r="H30" s="68"/>
      <c r="I30" s="450"/>
      <c r="J30" s="450"/>
      <c r="K30" s="35"/>
      <c r="L30" s="36"/>
    </row>
    <row r="31" spans="2:15" ht="20.149999999999999" customHeight="1" x14ac:dyDescent="0.45">
      <c r="B31" s="34"/>
      <c r="C31" s="22"/>
      <c r="G31" s="22"/>
      <c r="H31" s="68"/>
      <c r="I31" s="22"/>
      <c r="J31" s="22"/>
      <c r="K31" s="35"/>
      <c r="L31" s="36"/>
    </row>
    <row r="32" spans="2:15" ht="20.149999999999999" customHeight="1" x14ac:dyDescent="0.45">
      <c r="B32" s="34"/>
      <c r="C32" s="22"/>
      <c r="G32" s="22"/>
      <c r="H32" s="68"/>
      <c r="I32" s="22"/>
      <c r="J32" s="22"/>
      <c r="K32" s="35"/>
      <c r="L32" s="36"/>
    </row>
    <row r="33" spans="2:12" ht="20.149999999999999" customHeight="1" x14ac:dyDescent="0.45">
      <c r="B33" s="34"/>
      <c r="C33" s="22"/>
      <c r="G33" s="22"/>
      <c r="H33" s="68"/>
      <c r="I33" s="22"/>
      <c r="J33" s="22"/>
      <c r="K33" s="35"/>
      <c r="L33" s="36"/>
    </row>
    <row r="34" spans="2:12" ht="20.149999999999999" customHeight="1" x14ac:dyDescent="0.45">
      <c r="B34" s="34"/>
      <c r="C34" s="22"/>
      <c r="D34" s="508"/>
      <c r="E34" s="508"/>
      <c r="F34" s="508"/>
      <c r="G34" s="22"/>
      <c r="H34" s="68"/>
      <c r="I34" s="68"/>
      <c r="J34" s="22"/>
      <c r="K34" s="35"/>
      <c r="L34" s="36"/>
    </row>
    <row r="35" spans="2:12" ht="20.149999999999999" customHeight="1" x14ac:dyDescent="0.45">
      <c r="B35" s="34"/>
      <c r="C35" s="22"/>
      <c r="D35" s="508"/>
      <c r="E35" s="508"/>
      <c r="F35" s="508"/>
      <c r="G35" s="22"/>
      <c r="H35" s="68"/>
      <c r="I35" s="68"/>
      <c r="J35" s="22"/>
      <c r="K35" s="35"/>
      <c r="L35" s="36"/>
    </row>
    <row r="36" spans="2:12" ht="20.149999999999999" customHeight="1" x14ac:dyDescent="0.45">
      <c r="B36" s="34"/>
      <c r="C36" s="22"/>
      <c r="D36" s="508"/>
      <c r="E36" s="508"/>
      <c r="F36" s="508"/>
      <c r="G36" s="22"/>
      <c r="H36" s="22"/>
      <c r="I36" s="22"/>
      <c r="J36" s="22"/>
      <c r="K36" s="35"/>
      <c r="L36" s="36"/>
    </row>
    <row r="37" spans="2:12" ht="20.149999999999999" customHeight="1" thickBot="1" x14ac:dyDescent="0.5">
      <c r="B37" s="37"/>
      <c r="C37" s="38"/>
      <c r="D37" s="509"/>
      <c r="E37" s="509"/>
      <c r="F37" s="509"/>
      <c r="G37" s="38"/>
      <c r="H37" s="38"/>
      <c r="I37" s="38"/>
      <c r="J37" s="38"/>
      <c r="K37" s="39"/>
      <c r="L37" s="40"/>
    </row>
    <row r="38" spans="2:12" ht="20.149999999999999" customHeight="1" thickBot="1" x14ac:dyDescent="0.5">
      <c r="B38" s="41"/>
      <c r="L38" s="42"/>
    </row>
    <row r="39" spans="2:12" ht="20.149999999999999" customHeight="1" x14ac:dyDescent="0.45">
      <c r="B39" s="11" t="s">
        <v>18</v>
      </c>
      <c r="C39" s="7"/>
      <c r="D39" s="7"/>
      <c r="E39" s="7"/>
      <c r="F39" s="7"/>
      <c r="G39" s="7"/>
      <c r="H39" s="7"/>
      <c r="I39" s="7"/>
      <c r="J39" s="510" t="s">
        <v>15</v>
      </c>
      <c r="K39" s="511"/>
      <c r="L39" s="43" t="e">
        <f>SUM(L17:L37)</f>
        <v>#N/A</v>
      </c>
    </row>
    <row r="40" spans="2:12" ht="20.149999999999999" customHeight="1" x14ac:dyDescent="0.45">
      <c r="B40" s="11" t="s">
        <v>19</v>
      </c>
      <c r="C40" s="7"/>
      <c r="D40" s="7"/>
      <c r="E40" s="7"/>
      <c r="F40" s="7"/>
      <c r="G40" s="7"/>
      <c r="H40" s="7"/>
      <c r="I40" s="7"/>
      <c r="J40" s="44" t="s">
        <v>22</v>
      </c>
      <c r="K40" s="45"/>
      <c r="L40" s="46" t="e">
        <f>L39*K40</f>
        <v>#N/A</v>
      </c>
    </row>
    <row r="41" spans="2:12" ht="20.149999999999999" customHeight="1" x14ac:dyDescent="0.45">
      <c r="B41" s="11" t="s">
        <v>20</v>
      </c>
      <c r="C41" s="7"/>
      <c r="D41" s="7"/>
      <c r="E41" s="7"/>
      <c r="F41" s="7"/>
      <c r="G41" s="7"/>
      <c r="H41" s="7"/>
      <c r="I41" s="7"/>
      <c r="J41" s="486" t="s">
        <v>21</v>
      </c>
      <c r="K41" s="487"/>
      <c r="L41" s="46" t="e">
        <f>L39-L40</f>
        <v>#N/A</v>
      </c>
    </row>
    <row r="42" spans="2:12" ht="20.149999999999999" customHeight="1" x14ac:dyDescent="0.45">
      <c r="B42" s="11" t="s">
        <v>24</v>
      </c>
      <c r="C42" s="7"/>
      <c r="D42" s="7"/>
      <c r="E42" s="7"/>
      <c r="F42" s="7"/>
      <c r="G42" s="7"/>
      <c r="H42" s="7"/>
      <c r="I42" s="7"/>
      <c r="J42" s="150" t="s">
        <v>17</v>
      </c>
      <c r="K42" s="151">
        <v>7.0000000000000007E-2</v>
      </c>
      <c r="L42" s="47" t="e">
        <f>L41*K42</f>
        <v>#N/A</v>
      </c>
    </row>
    <row r="43" spans="2:12" ht="20.149999999999999" customHeight="1" thickBot="1" x14ac:dyDescent="0.5">
      <c r="B43" s="11" t="s">
        <v>25</v>
      </c>
      <c r="C43" s="7"/>
      <c r="D43" s="7"/>
      <c r="E43" s="7"/>
      <c r="F43" s="7"/>
      <c r="G43" s="7"/>
      <c r="H43" s="7"/>
      <c r="I43" s="7"/>
      <c r="J43" s="488" t="s">
        <v>23</v>
      </c>
      <c r="K43" s="489"/>
      <c r="L43" s="48" t="e">
        <f>L41+L42</f>
        <v>#N/A</v>
      </c>
    </row>
    <row r="44" spans="2:12" ht="20.149999999999999" customHeight="1" x14ac:dyDescent="0.45">
      <c r="B44" s="11" t="s">
        <v>26</v>
      </c>
      <c r="C44" s="7"/>
      <c r="D44" s="7"/>
      <c r="E44" s="7"/>
      <c r="F44" s="7"/>
      <c r="G44" s="7"/>
      <c r="H44" s="7"/>
      <c r="I44" s="7"/>
      <c r="L44" s="42"/>
    </row>
    <row r="45" spans="2:12" ht="20.149999999999999" customHeight="1" x14ac:dyDescent="0.45">
      <c r="B45" s="41"/>
      <c r="L45" s="42"/>
    </row>
    <row r="46" spans="2:12" ht="20.149999999999999" customHeight="1" x14ac:dyDescent="0.45">
      <c r="B46" s="41"/>
      <c r="L46" s="42"/>
    </row>
    <row r="47" spans="2:12" ht="20.149999999999999" customHeight="1" x14ac:dyDescent="0.45">
      <c r="B47" s="41"/>
      <c r="L47" s="42"/>
    </row>
    <row r="48" spans="2:12" ht="20.149999999999999" customHeight="1" x14ac:dyDescent="0.45">
      <c r="B48" s="41"/>
      <c r="L48" s="42"/>
    </row>
    <row r="49" spans="2:12" ht="20.149999999999999" customHeight="1" x14ac:dyDescent="0.45">
      <c r="B49" s="49"/>
      <c r="C49" s="50"/>
      <c r="D49" s="50"/>
      <c r="J49" s="50"/>
      <c r="K49" s="50"/>
      <c r="L49" s="51"/>
    </row>
    <row r="50" spans="2:12" ht="20.149999999999999" customHeight="1" x14ac:dyDescent="0.45">
      <c r="B50" s="41" t="s">
        <v>27</v>
      </c>
      <c r="J50" s="24" t="s">
        <v>28</v>
      </c>
      <c r="L50" s="42"/>
    </row>
    <row r="51" spans="2:12" ht="19" thickBot="1" x14ac:dyDescent="0.5">
      <c r="B51" s="52"/>
      <c r="C51" s="53"/>
      <c r="D51" s="53"/>
      <c r="E51" s="53"/>
      <c r="F51" s="53"/>
      <c r="G51" s="53"/>
      <c r="H51" s="53"/>
      <c r="I51" s="53"/>
      <c r="J51" s="53"/>
      <c r="K51" s="53"/>
      <c r="L51" s="54"/>
    </row>
  </sheetData>
  <mergeCells count="43">
    <mergeCell ref="B1:L8"/>
    <mergeCell ref="D35:F35"/>
    <mergeCell ref="D36:F36"/>
    <mergeCell ref="D37:F37"/>
    <mergeCell ref="J39:K39"/>
    <mergeCell ref="D22:F22"/>
    <mergeCell ref="I22:J22"/>
    <mergeCell ref="D34:F34"/>
    <mergeCell ref="D23:F23"/>
    <mergeCell ref="I23:J23"/>
    <mergeCell ref="D24:F24"/>
    <mergeCell ref="I24:J24"/>
    <mergeCell ref="D25:F25"/>
    <mergeCell ref="I25:J25"/>
    <mergeCell ref="D20:F20"/>
    <mergeCell ref="I20:J20"/>
    <mergeCell ref="J41:K41"/>
    <mergeCell ref="J43:K43"/>
    <mergeCell ref="I26:J26"/>
    <mergeCell ref="I27:J27"/>
    <mergeCell ref="I28:J28"/>
    <mergeCell ref="I29:J29"/>
    <mergeCell ref="I30:J30"/>
    <mergeCell ref="D21:F21"/>
    <mergeCell ref="I21:J21"/>
    <mergeCell ref="D19:F19"/>
    <mergeCell ref="I19:J19"/>
    <mergeCell ref="D17:F17"/>
    <mergeCell ref="I17:J17"/>
    <mergeCell ref="D18:F18"/>
    <mergeCell ref="I18:J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</mergeCells>
  <pageMargins left="0.70866141732283472" right="0.31496062992125984" top="0.59055118110236227" bottom="0" header="0.31496062992125984" footer="0.31496062992125984"/>
  <pageSetup paperSize="9" scale="76" orientation="portrait" verticalDpi="300" r:id="rId1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F9814-FCD2-40E6-A0B1-E4D43B30FDE1}">
  <sheetPr codeName="Sheet145">
    <tabColor rgb="FF0070C0"/>
    <pageSetUpPr fitToPage="1"/>
  </sheetPr>
  <dimension ref="B1:P47"/>
  <sheetViews>
    <sheetView topLeftCell="A7" workbookViewId="0">
      <selection activeCell="D24" sqref="D24:F24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4.54296875" style="24" customWidth="1"/>
    <col min="7" max="7" width="8.54296875" style="24" customWidth="1"/>
    <col min="8" max="8" width="12.54296875" style="24" customWidth="1"/>
    <col min="9" max="9" width="4.54296875" style="24" customWidth="1"/>
    <col min="10" max="10" width="15.54296875" style="24" customWidth="1"/>
    <col min="11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98</v>
      </c>
      <c r="J10" s="29" t="s">
        <v>29</v>
      </c>
      <c r="K10" s="452">
        <v>202209377</v>
      </c>
      <c r="L10" s="453"/>
    </row>
    <row r="11" spans="2:12" ht="20.149999999999999" customHeight="1" x14ac:dyDescent="0.45">
      <c r="B11" s="454" t="s">
        <v>2037</v>
      </c>
      <c r="C11" s="455"/>
      <c r="D11" s="456"/>
      <c r="E11" s="30"/>
      <c r="F11" s="457" t="str">
        <f>VLOOKUP(H10,'Delivery Location'!A$4:N$416,2,0)</f>
        <v>IR, Singapore Pool stall                            2 Bayfront Avenue. #01-01  Singapore 018972</v>
      </c>
      <c r="G11" s="458"/>
      <c r="H11" s="459"/>
      <c r="J11" s="31" t="s">
        <v>11</v>
      </c>
      <c r="K11" s="466">
        <v>44827</v>
      </c>
      <c r="L11" s="467"/>
    </row>
    <row r="12" spans="2:12" ht="20.149999999999999" customHeight="1" x14ac:dyDescent="0.45">
      <c r="B12" s="468" t="s">
        <v>2139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36</v>
      </c>
      <c r="L12" s="472"/>
    </row>
    <row r="13" spans="2:12" ht="20.149999999999999" customHeight="1" x14ac:dyDescent="0.45">
      <c r="B13" s="468" t="s">
        <v>2024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14</v>
      </c>
      <c r="L13" s="472"/>
    </row>
    <row r="14" spans="2:12" ht="20.149999999999999" customHeight="1" x14ac:dyDescent="0.45">
      <c r="B14" s="468" t="s">
        <v>2025</v>
      </c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463" t="s">
        <v>2026</v>
      </c>
      <c r="C15" s="464"/>
      <c r="D15" s="465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16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16" ht="20.149999999999999" customHeight="1" x14ac:dyDescent="0.45">
      <c r="B18" s="34"/>
      <c r="C18" s="22" t="s">
        <v>1608</v>
      </c>
      <c r="D18" s="508" t="str">
        <f>VLOOKUP(C18,'Sales Master'!B$3:D$499,2,)</f>
        <v>Pearl Barley 薏米</v>
      </c>
      <c r="E18" s="508"/>
      <c r="F18" s="508"/>
      <c r="G18" s="22">
        <v>2</v>
      </c>
      <c r="H18" s="389" t="str">
        <f>VLOOKUP(C18,'Sales Master'!$B$3:$F$3247,5,0)</f>
        <v>5 kgs</v>
      </c>
      <c r="I18" s="482" t="str">
        <f>VLOOKUP(C18,'Sales Master'!$B$3:$E$3247,4,0)</f>
        <v>-</v>
      </c>
      <c r="J18" s="482"/>
      <c r="K18" s="35">
        <f>VLOOKUP(C18,'Sales Master'!$B$3:$AW$583,48,0)</f>
        <v>10</v>
      </c>
      <c r="L18" s="36">
        <f>K18*G18</f>
        <v>20</v>
      </c>
      <c r="N18" s="225">
        <f>VLOOKUP(C18,'Sales Master'!$B$3:$DA$3038,104,0)</f>
        <v>6.8000000000000007</v>
      </c>
      <c r="O18" s="225">
        <f>K18-N18</f>
        <v>3.1999999999999993</v>
      </c>
      <c r="P18" s="225">
        <f>O18*G18</f>
        <v>6.3999999999999986</v>
      </c>
    </row>
    <row r="19" spans="2:16" ht="20.149999999999999" customHeight="1" x14ac:dyDescent="0.45">
      <c r="B19" s="34"/>
      <c r="C19" s="22" t="s">
        <v>1736</v>
      </c>
      <c r="D19" s="508" t="str">
        <f>VLOOKUP(C19,'Sales Master'!B$3:D$499,2,)</f>
        <v>Coconut Milk 椰浆</v>
      </c>
      <c r="E19" s="508"/>
      <c r="F19" s="508"/>
      <c r="G19" s="22">
        <v>1</v>
      </c>
      <c r="H19" s="429" t="str">
        <f>VLOOKUP(C19,'Sales Master'!$B$3:$F$3247,5,0)</f>
        <v>(1L x 12bag)/箱</v>
      </c>
      <c r="I19" s="482" t="str">
        <f>VLOOKUP(C19,'Sales Master'!$B$3:$E$3247,4,0)</f>
        <v>Kara UHT</v>
      </c>
      <c r="J19" s="482"/>
      <c r="K19" s="35">
        <f>VLOOKUP(C19,'Sales Master'!$B$3:$AW$583,48,0)</f>
        <v>42</v>
      </c>
      <c r="L19" s="36">
        <f>K19*G19</f>
        <v>42</v>
      </c>
      <c r="N19" s="225">
        <f>VLOOKUP(C19,'Sales Master'!$B$3:$DA$3038,104,0)</f>
        <v>35.5</v>
      </c>
      <c r="O19" s="225">
        <f>K19-N19</f>
        <v>6.5</v>
      </c>
      <c r="P19" s="225">
        <f>O19*G19</f>
        <v>6.5</v>
      </c>
    </row>
    <row r="20" spans="2:16" ht="20.149999999999999" customHeight="1" x14ac:dyDescent="0.45">
      <c r="B20" s="34"/>
      <c r="C20" s="22"/>
      <c r="D20" s="508"/>
      <c r="E20" s="508"/>
      <c r="F20" s="508"/>
      <c r="G20" s="22"/>
      <c r="H20" s="68"/>
      <c r="I20" s="450"/>
      <c r="J20" s="450"/>
      <c r="K20" s="35"/>
      <c r="L20" s="36"/>
    </row>
    <row r="21" spans="2:16" ht="20.149999999999999" customHeight="1" x14ac:dyDescent="0.45">
      <c r="B21" s="34"/>
      <c r="C21" s="22"/>
      <c r="D21" s="508"/>
      <c r="E21" s="508"/>
      <c r="F21" s="508"/>
      <c r="G21" s="22"/>
      <c r="H21" s="68"/>
      <c r="I21" s="450"/>
      <c r="J21" s="450"/>
      <c r="K21" s="35"/>
      <c r="L21" s="36"/>
    </row>
    <row r="22" spans="2:16" ht="20.149999999999999" customHeight="1" x14ac:dyDescent="0.45">
      <c r="B22" s="34"/>
      <c r="C22" s="22"/>
      <c r="D22" s="508"/>
      <c r="E22" s="508"/>
      <c r="F22" s="508"/>
      <c r="G22" s="22"/>
      <c r="H22" s="68"/>
      <c r="I22" s="450"/>
      <c r="J22" s="450"/>
      <c r="K22" s="35"/>
      <c r="L22" s="36"/>
    </row>
    <row r="23" spans="2:16" ht="20.149999999999999" customHeight="1" x14ac:dyDescent="0.45">
      <c r="B23" s="34"/>
      <c r="C23" s="22"/>
      <c r="D23" s="508"/>
      <c r="E23" s="508"/>
      <c r="F23" s="508"/>
      <c r="G23" s="22"/>
      <c r="H23" s="68"/>
      <c r="I23" s="450"/>
      <c r="J23" s="450"/>
      <c r="K23" s="35"/>
      <c r="L23" s="36"/>
    </row>
    <row r="24" spans="2:16" ht="20.149999999999999" customHeight="1" x14ac:dyDescent="0.45">
      <c r="B24" s="34"/>
      <c r="C24" s="22"/>
      <c r="D24" s="508"/>
      <c r="E24" s="508"/>
      <c r="F24" s="508"/>
      <c r="G24" s="22"/>
      <c r="H24" s="68"/>
      <c r="I24" s="450"/>
      <c r="J24" s="450"/>
      <c r="K24" s="35"/>
      <c r="L24" s="36"/>
    </row>
    <row r="25" spans="2:16" ht="20.149999999999999" customHeight="1" x14ac:dyDescent="0.45">
      <c r="B25" s="34"/>
      <c r="C25" s="22"/>
      <c r="G25" s="22"/>
      <c r="H25" s="68"/>
      <c r="I25" s="450"/>
      <c r="J25" s="450"/>
      <c r="K25" s="35"/>
      <c r="L25" s="36"/>
    </row>
    <row r="26" spans="2:16" ht="20.149999999999999" customHeight="1" x14ac:dyDescent="0.45">
      <c r="B26" s="34"/>
      <c r="C26" s="22"/>
      <c r="G26" s="22"/>
      <c r="H26" s="68"/>
      <c r="I26" s="450"/>
      <c r="J26" s="450"/>
      <c r="K26" s="35"/>
      <c r="L26" s="36"/>
    </row>
    <row r="27" spans="2:16" ht="20.149999999999999" customHeight="1" x14ac:dyDescent="0.45">
      <c r="B27" s="34"/>
      <c r="C27" s="22"/>
      <c r="G27" s="22"/>
      <c r="H27" s="68"/>
      <c r="I27" s="450"/>
      <c r="J27" s="450"/>
      <c r="K27" s="35"/>
      <c r="L27" s="36"/>
    </row>
    <row r="28" spans="2:16" ht="20.149999999999999" customHeight="1" x14ac:dyDescent="0.45">
      <c r="B28" s="34"/>
      <c r="C28" s="22"/>
      <c r="G28" s="22"/>
      <c r="H28" s="68"/>
      <c r="I28" s="22"/>
      <c r="J28" s="22"/>
      <c r="K28" s="35"/>
      <c r="L28" s="36"/>
    </row>
    <row r="29" spans="2:16" ht="20.149999999999999" customHeight="1" x14ac:dyDescent="0.45">
      <c r="B29" s="34"/>
      <c r="C29" s="22"/>
      <c r="G29" s="22"/>
      <c r="H29" s="68"/>
      <c r="I29" s="22"/>
      <c r="J29" s="22"/>
      <c r="K29" s="35"/>
      <c r="L29" s="36"/>
    </row>
    <row r="30" spans="2:16" ht="20.149999999999999" customHeight="1" x14ac:dyDescent="0.45">
      <c r="B30" s="34"/>
      <c r="C30" s="22"/>
      <c r="D30" s="508"/>
      <c r="E30" s="508"/>
      <c r="F30" s="508"/>
      <c r="G30" s="22"/>
      <c r="H30" s="68"/>
      <c r="I30" s="68"/>
      <c r="J30" s="22"/>
      <c r="K30" s="35"/>
      <c r="L30" s="36"/>
    </row>
    <row r="31" spans="2:16" ht="20.149999999999999" customHeight="1" x14ac:dyDescent="0.45">
      <c r="B31" s="34"/>
      <c r="C31" s="22"/>
      <c r="D31" s="508"/>
      <c r="E31" s="508"/>
      <c r="F31" s="508"/>
      <c r="G31" s="22"/>
      <c r="H31" s="68"/>
      <c r="I31" s="68"/>
      <c r="J31" s="22"/>
      <c r="K31" s="35"/>
      <c r="L31" s="36"/>
    </row>
    <row r="32" spans="2:16" ht="20.149999999999999" customHeight="1" x14ac:dyDescent="0.45">
      <c r="B32" s="34"/>
      <c r="C32" s="22"/>
      <c r="D32" s="508"/>
      <c r="E32" s="508"/>
      <c r="F32" s="508"/>
      <c r="G32" s="22"/>
      <c r="H32" s="22"/>
      <c r="I32" s="22"/>
      <c r="J32" s="22"/>
      <c r="K32" s="35"/>
      <c r="L32" s="36"/>
    </row>
    <row r="33" spans="2:14" ht="20.149999999999999" customHeight="1" thickBot="1" x14ac:dyDescent="0.5">
      <c r="B33" s="37"/>
      <c r="C33" s="38"/>
      <c r="D33" s="509"/>
      <c r="E33" s="509"/>
      <c r="F33" s="509"/>
      <c r="G33" s="38"/>
      <c r="H33" s="38"/>
      <c r="I33" s="38"/>
      <c r="J33" s="38"/>
      <c r="K33" s="39"/>
      <c r="L33" s="40"/>
    </row>
    <row r="34" spans="2:14" ht="20.149999999999999" customHeight="1" thickBot="1" x14ac:dyDescent="0.5">
      <c r="B34" s="41"/>
      <c r="L34" s="42"/>
    </row>
    <row r="35" spans="2:14" ht="20.149999999999999" customHeight="1" x14ac:dyDescent="0.45">
      <c r="B35" s="11" t="s">
        <v>18</v>
      </c>
      <c r="C35" s="7"/>
      <c r="D35" s="7"/>
      <c r="E35" s="7"/>
      <c r="F35" s="7"/>
      <c r="G35" s="7"/>
      <c r="H35" s="7"/>
      <c r="I35" s="7"/>
      <c r="J35" s="510" t="s">
        <v>15</v>
      </c>
      <c r="K35" s="511"/>
      <c r="L35" s="43">
        <f>SUM(L17:L33)</f>
        <v>62</v>
      </c>
      <c r="M35" s="76">
        <f>SUM(P18:P33)</f>
        <v>12.899999999999999</v>
      </c>
      <c r="N35" s="201">
        <f>M35/L35</f>
        <v>0.20806451612903223</v>
      </c>
    </row>
    <row r="36" spans="2:14" ht="20.149999999999999" customHeight="1" x14ac:dyDescent="0.45">
      <c r="B36" s="11" t="s">
        <v>19</v>
      </c>
      <c r="C36" s="7"/>
      <c r="D36" s="7"/>
      <c r="E36" s="7"/>
      <c r="F36" s="7"/>
      <c r="G36" s="7"/>
      <c r="H36" s="7"/>
      <c r="I36" s="7"/>
      <c r="J36" s="44" t="s">
        <v>22</v>
      </c>
      <c r="K36" s="45"/>
      <c r="L36" s="46">
        <f>L35*K36</f>
        <v>0</v>
      </c>
    </row>
    <row r="37" spans="2:14" ht="20.149999999999999" customHeight="1" x14ac:dyDescent="0.45">
      <c r="B37" s="11" t="s">
        <v>20</v>
      </c>
      <c r="C37" s="7"/>
      <c r="D37" s="7"/>
      <c r="E37" s="7"/>
      <c r="F37" s="7"/>
      <c r="G37" s="7"/>
      <c r="H37" s="7"/>
      <c r="I37" s="7"/>
      <c r="J37" s="486" t="s">
        <v>21</v>
      </c>
      <c r="K37" s="487"/>
      <c r="L37" s="46">
        <f>L35-L36</f>
        <v>62</v>
      </c>
    </row>
    <row r="38" spans="2:14" ht="20.149999999999999" customHeight="1" x14ac:dyDescent="0.45">
      <c r="B38" s="11" t="s">
        <v>24</v>
      </c>
      <c r="C38" s="7"/>
      <c r="D38" s="7"/>
      <c r="E38" s="7"/>
      <c r="F38" s="7"/>
      <c r="G38" s="7"/>
      <c r="H38" s="7"/>
      <c r="I38" s="7"/>
      <c r="J38" s="150" t="s">
        <v>17</v>
      </c>
      <c r="K38" s="151">
        <v>7.0000000000000007E-2</v>
      </c>
      <c r="L38" s="47">
        <f>L37*K38</f>
        <v>4.3400000000000007</v>
      </c>
    </row>
    <row r="39" spans="2:14" ht="20.149999999999999" customHeight="1" thickBot="1" x14ac:dyDescent="0.5">
      <c r="B39" s="11" t="s">
        <v>25</v>
      </c>
      <c r="C39" s="7"/>
      <c r="D39" s="7"/>
      <c r="E39" s="7"/>
      <c r="F39" s="7"/>
      <c r="G39" s="7"/>
      <c r="H39" s="7"/>
      <c r="I39" s="7"/>
      <c r="J39" s="488" t="s">
        <v>23</v>
      </c>
      <c r="K39" s="489"/>
      <c r="L39" s="48">
        <f>L37+L38</f>
        <v>66.34</v>
      </c>
    </row>
    <row r="40" spans="2:14" ht="20.149999999999999" customHeight="1" x14ac:dyDescent="0.45">
      <c r="B40" s="11" t="s">
        <v>26</v>
      </c>
      <c r="C40" s="7"/>
      <c r="D40" s="7"/>
      <c r="E40" s="7"/>
      <c r="F40" s="7"/>
      <c r="G40" s="7"/>
      <c r="H40" s="7"/>
      <c r="I40" s="7"/>
      <c r="L40" s="42"/>
    </row>
    <row r="41" spans="2:14" ht="20.149999999999999" customHeight="1" x14ac:dyDescent="0.45">
      <c r="B41" s="41"/>
      <c r="L41" s="42"/>
    </row>
    <row r="42" spans="2:14" ht="20.149999999999999" customHeight="1" x14ac:dyDescent="0.45">
      <c r="B42" s="41"/>
      <c r="L42" s="42"/>
    </row>
    <row r="43" spans="2:14" ht="20.149999999999999" customHeight="1" x14ac:dyDescent="0.45">
      <c r="B43" s="41"/>
      <c r="L43" s="42"/>
    </row>
    <row r="44" spans="2:14" ht="20.149999999999999" customHeight="1" x14ac:dyDescent="0.45">
      <c r="B44" s="41"/>
      <c r="L44" s="42"/>
    </row>
    <row r="45" spans="2:14" ht="20.149999999999999" customHeight="1" x14ac:dyDescent="0.45">
      <c r="B45" s="49"/>
      <c r="C45" s="50"/>
      <c r="D45" s="50"/>
      <c r="J45" s="50"/>
      <c r="K45" s="50"/>
      <c r="L45" s="51"/>
    </row>
    <row r="46" spans="2:14" ht="20.149999999999999" customHeight="1" x14ac:dyDescent="0.45">
      <c r="B46" s="41" t="s">
        <v>27</v>
      </c>
      <c r="J46" s="24" t="s">
        <v>28</v>
      </c>
      <c r="L46" s="42"/>
    </row>
    <row r="47" spans="2:14" ht="19" thickBot="1" x14ac:dyDescent="0.5">
      <c r="B47" s="52"/>
      <c r="C47" s="53"/>
      <c r="D47" s="53"/>
      <c r="E47" s="53"/>
      <c r="F47" s="53"/>
      <c r="G47" s="53"/>
      <c r="H47" s="53"/>
      <c r="I47" s="53"/>
      <c r="J47" s="53"/>
      <c r="K47" s="53"/>
      <c r="L47" s="54"/>
    </row>
  </sheetData>
  <mergeCells count="39">
    <mergeCell ref="J39:K39"/>
    <mergeCell ref="D31:F31"/>
    <mergeCell ref="D32:F32"/>
    <mergeCell ref="D33:F33"/>
    <mergeCell ref="J35:K35"/>
    <mergeCell ref="J37:K37"/>
    <mergeCell ref="D21:F21"/>
    <mergeCell ref="I21:J21"/>
    <mergeCell ref="D30:F30"/>
    <mergeCell ref="D22:F22"/>
    <mergeCell ref="I22:J22"/>
    <mergeCell ref="D23:F23"/>
    <mergeCell ref="I23:J23"/>
    <mergeCell ref="D24:F24"/>
    <mergeCell ref="I24:J24"/>
    <mergeCell ref="I25:J25"/>
    <mergeCell ref="I26:J26"/>
    <mergeCell ref="I27:J27"/>
    <mergeCell ref="D19:F19"/>
    <mergeCell ref="I19:J19"/>
    <mergeCell ref="D20:F20"/>
    <mergeCell ref="I20:J20"/>
    <mergeCell ref="D17:F17"/>
    <mergeCell ref="I17:J17"/>
    <mergeCell ref="D18:F18"/>
    <mergeCell ref="I18:J18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</mergeCells>
  <pageMargins left="0.70866141732283472" right="0.31496062992125984" top="0.59055118110236227" bottom="0" header="0.31496062992125984" footer="0.31496062992125984"/>
  <pageSetup paperSize="9" scale="78" orientation="portrait" horizontalDpi="300" verticalDpi="300" r:id="rId1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7B9EE-A5C1-48C7-8552-3000B11EFE6B}">
  <sheetPr codeName="Sheet148">
    <tabColor rgb="FF0070C0"/>
    <pageSetUpPr fitToPage="1"/>
  </sheetPr>
  <dimension ref="B1:V50"/>
  <sheetViews>
    <sheetView workbookViewId="0">
      <selection activeCell="B1" sqref="B1:L50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6.54296875" style="24" customWidth="1"/>
    <col min="7" max="7" width="8.54296875" style="24" customWidth="1"/>
    <col min="8" max="8" width="18.81640625" style="24" customWidth="1"/>
    <col min="9" max="9" width="0.7265625" style="24" customWidth="1"/>
    <col min="10" max="10" width="15.54296875" style="24" customWidth="1"/>
    <col min="11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1436</v>
      </c>
      <c r="J10" s="29" t="s">
        <v>29</v>
      </c>
      <c r="K10" s="452">
        <v>202103222</v>
      </c>
      <c r="L10" s="453"/>
    </row>
    <row r="11" spans="2:12" ht="20.149999999999999" customHeight="1" x14ac:dyDescent="0.45">
      <c r="B11" s="454" t="s">
        <v>583</v>
      </c>
      <c r="C11" s="455"/>
      <c r="D11" s="456"/>
      <c r="E11" s="30"/>
      <c r="F11" s="616"/>
      <c r="G11" s="617"/>
      <c r="H11" s="618"/>
      <c r="J11" s="31" t="s">
        <v>11</v>
      </c>
      <c r="K11" s="551">
        <v>44266</v>
      </c>
      <c r="L11" s="472"/>
    </row>
    <row r="12" spans="2:12" ht="20.149999999999999" customHeight="1" x14ac:dyDescent="0.45">
      <c r="B12" s="468" t="s">
        <v>584</v>
      </c>
      <c r="C12" s="469"/>
      <c r="D12" s="470"/>
      <c r="E12" s="30"/>
      <c r="F12" s="619"/>
      <c r="G12" s="620"/>
      <c r="H12" s="621"/>
      <c r="J12" s="31" t="s">
        <v>171</v>
      </c>
      <c r="K12" s="471" t="s">
        <v>533</v>
      </c>
      <c r="L12" s="472"/>
    </row>
    <row r="13" spans="2:12" ht="20.149999999999999" customHeight="1" x14ac:dyDescent="0.45">
      <c r="B13" s="468" t="s">
        <v>890</v>
      </c>
      <c r="C13" s="469"/>
      <c r="D13" s="470"/>
      <c r="E13" s="30"/>
      <c r="F13" s="619"/>
      <c r="G13" s="620"/>
      <c r="H13" s="621"/>
      <c r="J13" s="31" t="s">
        <v>12</v>
      </c>
      <c r="K13" s="471" t="s">
        <v>14</v>
      </c>
      <c r="L13" s="472"/>
    </row>
    <row r="14" spans="2:12" ht="20.149999999999999" customHeight="1" x14ac:dyDescent="0.45">
      <c r="B14" s="468" t="s">
        <v>891</v>
      </c>
      <c r="C14" s="469"/>
      <c r="D14" s="470"/>
      <c r="E14" s="30"/>
      <c r="F14" s="619"/>
      <c r="G14" s="620"/>
      <c r="H14" s="621"/>
      <c r="J14" s="31" t="s">
        <v>30</v>
      </c>
      <c r="K14" s="471" t="s">
        <v>16</v>
      </c>
      <c r="L14" s="472"/>
    </row>
    <row r="15" spans="2:12" ht="18" customHeight="1" thickBot="1" x14ac:dyDescent="0.5">
      <c r="B15" s="552" t="s">
        <v>585</v>
      </c>
      <c r="C15" s="474"/>
      <c r="D15" s="475"/>
      <c r="E15" s="26"/>
      <c r="F15" s="622"/>
      <c r="G15" s="623"/>
      <c r="H15" s="624"/>
      <c r="J15" s="32" t="s">
        <v>13</v>
      </c>
      <c r="K15" s="476"/>
      <c r="L15" s="477"/>
    </row>
    <row r="16" spans="2:12" ht="19" thickBot="1" x14ac:dyDescent="0.5">
      <c r="J16" s="22"/>
    </row>
    <row r="17" spans="2:22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8" t="s">
        <v>1261</v>
      </c>
      <c r="I17" s="478" t="s">
        <v>1262</v>
      </c>
      <c r="J17" s="479"/>
      <c r="K17" s="9" t="s">
        <v>6</v>
      </c>
      <c r="L17" s="10" t="s">
        <v>7</v>
      </c>
      <c r="M17" s="33"/>
      <c r="N17" s="33"/>
      <c r="O17" s="33"/>
    </row>
    <row r="18" spans="2:22" ht="20.149999999999999" customHeight="1" x14ac:dyDescent="0.45">
      <c r="B18" s="34"/>
      <c r="C18" s="22" t="s">
        <v>627</v>
      </c>
      <c r="D18" s="508" t="e">
        <f>VLOOKUP(C18,'Sales Master'!B$3:D$499,2,)</f>
        <v>#N/A</v>
      </c>
      <c r="E18" s="508"/>
      <c r="F18" s="508"/>
      <c r="G18" s="90">
        <v>1</v>
      </c>
      <c r="H18" s="68" t="e">
        <f>VLOOKUP(C18,'Sales Master'!$B$3:$F$3247,5,0)</f>
        <v>#N/A</v>
      </c>
      <c r="I18" s="481" t="e">
        <f>VLOOKUP(C18,'Sales Master'!$B$3:$E$3247,4,0)</f>
        <v>#N/A</v>
      </c>
      <c r="J18" s="481"/>
      <c r="K18" s="94" t="e">
        <f>VLOOKUP(C18,'Sales Master'!B$3:S$499,18,0)</f>
        <v>#N/A</v>
      </c>
      <c r="L18" s="77" t="e">
        <f>K18*G18</f>
        <v>#N/A</v>
      </c>
      <c r="M18" s="78"/>
      <c r="N18" s="125" t="s">
        <v>381</v>
      </c>
      <c r="O18" s="24" t="s">
        <v>284</v>
      </c>
      <c r="R18" s="24">
        <v>1</v>
      </c>
      <c r="S18" s="24" t="s">
        <v>36</v>
      </c>
      <c r="T18" s="24" t="s">
        <v>740</v>
      </c>
      <c r="V18" s="24">
        <v>30</v>
      </c>
    </row>
    <row r="19" spans="2:22" ht="20.149999999999999" customHeight="1" x14ac:dyDescent="0.45">
      <c r="B19" s="34"/>
      <c r="C19" s="22"/>
      <c r="D19" s="508"/>
      <c r="E19" s="508"/>
      <c r="F19" s="508"/>
      <c r="G19" s="90"/>
      <c r="H19" s="68"/>
      <c r="I19" s="481"/>
      <c r="J19" s="481"/>
      <c r="K19" s="94"/>
      <c r="L19" s="77"/>
      <c r="M19" s="78"/>
      <c r="N19" s="125" t="s">
        <v>413</v>
      </c>
      <c r="O19" s="24" t="s">
        <v>312</v>
      </c>
      <c r="R19" s="24">
        <v>2</v>
      </c>
      <c r="S19" s="24" t="s">
        <v>256</v>
      </c>
      <c r="T19" s="24" t="s">
        <v>34</v>
      </c>
      <c r="V19" s="24">
        <v>13</v>
      </c>
    </row>
    <row r="20" spans="2:22" ht="20.149999999999999" customHeight="1" x14ac:dyDescent="0.45">
      <c r="B20" s="34"/>
      <c r="C20" s="22"/>
      <c r="D20" s="508"/>
      <c r="E20" s="508"/>
      <c r="F20" s="508"/>
      <c r="G20" s="90"/>
      <c r="H20" s="68"/>
      <c r="I20" s="481"/>
      <c r="J20" s="481"/>
      <c r="K20" s="94"/>
      <c r="L20" s="77"/>
      <c r="M20" s="78"/>
      <c r="N20" s="125" t="s">
        <v>422</v>
      </c>
      <c r="O20" s="24" t="s">
        <v>315</v>
      </c>
      <c r="R20" s="24">
        <v>1</v>
      </c>
      <c r="S20" s="24" t="s">
        <v>57</v>
      </c>
      <c r="T20" s="24" t="s">
        <v>34</v>
      </c>
      <c r="V20" s="24">
        <v>8.5</v>
      </c>
    </row>
    <row r="21" spans="2:22" ht="20.149999999999999" customHeight="1" x14ac:dyDescent="0.45">
      <c r="B21" s="34"/>
      <c r="C21" s="22"/>
      <c r="D21" s="508"/>
      <c r="E21" s="508"/>
      <c r="F21" s="508"/>
      <c r="G21" s="90"/>
      <c r="H21" s="68"/>
      <c r="I21" s="481"/>
      <c r="J21" s="481"/>
      <c r="K21" s="94"/>
      <c r="L21" s="77"/>
      <c r="M21" s="78"/>
      <c r="N21" s="125" t="s">
        <v>447</v>
      </c>
      <c r="O21" s="24" t="s">
        <v>459</v>
      </c>
      <c r="R21" s="24">
        <v>1</v>
      </c>
      <c r="S21" s="24" t="s">
        <v>260</v>
      </c>
      <c r="T21" s="24" t="s">
        <v>709</v>
      </c>
      <c r="V21" s="24">
        <v>32</v>
      </c>
    </row>
    <row r="22" spans="2:22" ht="20.149999999999999" customHeight="1" x14ac:dyDescent="0.45">
      <c r="B22" s="34"/>
      <c r="C22" s="22"/>
      <c r="D22" s="508"/>
      <c r="E22" s="508"/>
      <c r="F22" s="508"/>
      <c r="G22" s="90"/>
      <c r="H22" s="68"/>
      <c r="I22" s="481"/>
      <c r="J22" s="481"/>
      <c r="K22" s="94"/>
      <c r="L22" s="77"/>
      <c r="M22" s="78"/>
    </row>
    <row r="23" spans="2:22" ht="20.149999999999999" customHeight="1" x14ac:dyDescent="0.45">
      <c r="B23" s="34"/>
      <c r="C23" s="22"/>
      <c r="D23" s="508"/>
      <c r="E23" s="508"/>
      <c r="F23" s="508"/>
      <c r="G23" s="90"/>
      <c r="H23" s="68"/>
      <c r="I23" s="481"/>
      <c r="J23" s="481"/>
      <c r="K23" s="94"/>
      <c r="L23" s="77"/>
      <c r="M23" s="78"/>
    </row>
    <row r="24" spans="2:22" ht="20.149999999999999" customHeight="1" x14ac:dyDescent="0.45">
      <c r="B24" s="34"/>
      <c r="C24" s="22"/>
      <c r="D24" s="508"/>
      <c r="E24" s="508"/>
      <c r="F24" s="508"/>
      <c r="G24" s="90"/>
      <c r="H24" s="68"/>
      <c r="I24" s="481"/>
      <c r="J24" s="481"/>
      <c r="K24" s="94"/>
      <c r="L24" s="77"/>
      <c r="M24" s="78"/>
    </row>
    <row r="25" spans="2:22" ht="20.149999999999999" customHeight="1" x14ac:dyDescent="0.45">
      <c r="B25" s="34"/>
      <c r="C25" s="22"/>
      <c r="D25" s="508"/>
      <c r="E25" s="508"/>
      <c r="F25" s="508"/>
      <c r="G25" s="90"/>
      <c r="H25" s="68"/>
      <c r="I25" s="481"/>
      <c r="J25" s="481"/>
      <c r="K25" s="94"/>
      <c r="L25" s="77"/>
      <c r="M25" s="78"/>
    </row>
    <row r="26" spans="2:22" ht="20.149999999999999" customHeight="1" x14ac:dyDescent="0.45">
      <c r="B26" s="34"/>
      <c r="C26" s="22"/>
      <c r="D26" s="508"/>
      <c r="E26" s="508"/>
      <c r="F26" s="508"/>
      <c r="G26" s="90"/>
      <c r="H26" s="68"/>
      <c r="I26" s="481"/>
      <c r="J26" s="481"/>
      <c r="K26" s="94"/>
      <c r="L26" s="77"/>
      <c r="M26" s="78"/>
    </row>
    <row r="27" spans="2:22" ht="20.149999999999999" customHeight="1" x14ac:dyDescent="0.45">
      <c r="B27" s="34"/>
      <c r="C27" s="22"/>
      <c r="D27" s="508"/>
      <c r="E27" s="508"/>
      <c r="F27" s="508"/>
      <c r="G27" s="90"/>
      <c r="H27" s="68"/>
      <c r="I27" s="481"/>
      <c r="J27" s="481"/>
      <c r="K27" s="94"/>
      <c r="L27" s="77"/>
      <c r="M27" s="78"/>
    </row>
    <row r="28" spans="2:22" ht="20.149999999999999" customHeight="1" x14ac:dyDescent="0.45">
      <c r="B28" s="34"/>
      <c r="C28" s="22"/>
      <c r="D28" s="508"/>
      <c r="E28" s="508"/>
      <c r="F28" s="508"/>
      <c r="G28" s="90"/>
      <c r="H28" s="68"/>
      <c r="I28" s="481"/>
      <c r="J28" s="481"/>
      <c r="K28" s="94"/>
      <c r="L28" s="77"/>
      <c r="M28" s="78"/>
    </row>
    <row r="29" spans="2:22" ht="20.149999999999999" customHeight="1" x14ac:dyDescent="0.45">
      <c r="B29" s="34"/>
      <c r="C29" s="22"/>
      <c r="D29" s="508"/>
      <c r="E29" s="508"/>
      <c r="F29" s="508"/>
      <c r="G29" s="90"/>
      <c r="H29" s="68"/>
      <c r="I29" s="481"/>
      <c r="J29" s="481"/>
      <c r="K29" s="94"/>
      <c r="L29" s="77"/>
      <c r="M29" s="78"/>
    </row>
    <row r="30" spans="2:22" ht="20.149999999999999" customHeight="1" x14ac:dyDescent="0.45">
      <c r="B30" s="34"/>
      <c r="C30" s="22"/>
      <c r="D30" s="508"/>
      <c r="E30" s="508"/>
      <c r="F30" s="508"/>
      <c r="G30" s="90"/>
      <c r="H30" s="68"/>
      <c r="I30" s="481"/>
      <c r="J30" s="481"/>
      <c r="K30" s="94"/>
      <c r="L30" s="77"/>
      <c r="M30" s="78"/>
    </row>
    <row r="31" spans="2:22" ht="20.149999999999999" customHeight="1" x14ac:dyDescent="0.45">
      <c r="B31" s="34"/>
      <c r="C31" s="22"/>
      <c r="D31" s="508"/>
      <c r="E31" s="508"/>
      <c r="F31" s="508"/>
      <c r="G31" s="22"/>
      <c r="H31" s="68"/>
      <c r="I31" s="481"/>
      <c r="J31" s="481"/>
      <c r="K31" s="94"/>
      <c r="L31" s="77"/>
      <c r="M31" s="78"/>
    </row>
    <row r="32" spans="2:22" ht="20.149999999999999" customHeight="1" x14ac:dyDescent="0.45">
      <c r="B32" s="34"/>
      <c r="C32" s="22"/>
      <c r="D32" s="508"/>
      <c r="E32" s="508"/>
      <c r="F32" s="508"/>
      <c r="G32" s="22"/>
      <c r="H32" s="68"/>
      <c r="I32" s="481"/>
      <c r="J32" s="481"/>
      <c r="K32" s="94"/>
      <c r="L32" s="77"/>
      <c r="M32" s="78"/>
    </row>
    <row r="33" spans="2:13" ht="20.149999999999999" customHeight="1" x14ac:dyDescent="0.45">
      <c r="B33" s="34"/>
      <c r="C33" s="22"/>
      <c r="D33" s="508"/>
      <c r="E33" s="508"/>
      <c r="F33" s="508"/>
      <c r="G33" s="22"/>
      <c r="H33" s="68"/>
      <c r="I33" s="481"/>
      <c r="J33" s="481"/>
      <c r="K33" s="94"/>
      <c r="L33" s="77"/>
      <c r="M33" s="78"/>
    </row>
    <row r="34" spans="2:13" ht="20.149999999999999" customHeight="1" x14ac:dyDescent="0.45">
      <c r="B34" s="34"/>
      <c r="C34" s="22"/>
      <c r="D34" s="508"/>
      <c r="E34" s="508"/>
      <c r="F34" s="508"/>
      <c r="G34" s="22"/>
      <c r="H34" s="68"/>
      <c r="I34" s="481"/>
      <c r="J34" s="481"/>
      <c r="K34" s="94"/>
      <c r="L34" s="77"/>
      <c r="M34" s="78"/>
    </row>
    <row r="35" spans="2:13" ht="20.149999999999999" customHeight="1" x14ac:dyDescent="0.45">
      <c r="B35" s="34"/>
      <c r="C35" s="22"/>
      <c r="D35" s="508"/>
      <c r="E35" s="508"/>
      <c r="F35" s="508"/>
      <c r="G35" s="22"/>
      <c r="H35" s="68"/>
      <c r="I35" s="481"/>
      <c r="J35" s="481"/>
      <c r="K35" s="94"/>
      <c r="L35" s="77"/>
    </row>
    <row r="36" spans="2:13" ht="20.149999999999999" customHeight="1" thickBot="1" x14ac:dyDescent="0.5">
      <c r="B36" s="37"/>
      <c r="C36" s="38"/>
      <c r="D36" s="509"/>
      <c r="E36" s="509"/>
      <c r="F36" s="509"/>
      <c r="G36" s="38"/>
      <c r="H36" s="69"/>
      <c r="I36" s="451"/>
      <c r="J36" s="451"/>
      <c r="K36" s="39"/>
      <c r="L36" s="40"/>
    </row>
    <row r="37" spans="2:13" ht="20.149999999999999" customHeight="1" thickBot="1" x14ac:dyDescent="0.5">
      <c r="B37" s="41"/>
      <c r="L37" s="42"/>
    </row>
    <row r="38" spans="2:13" ht="20.149999999999999" customHeight="1" x14ac:dyDescent="0.45">
      <c r="B38" s="11" t="s">
        <v>18</v>
      </c>
      <c r="C38" s="7"/>
      <c r="D38" s="7"/>
      <c r="E38" s="7"/>
      <c r="F38" s="7"/>
      <c r="G38" s="7"/>
      <c r="H38" s="7"/>
      <c r="I38" s="7"/>
      <c r="J38" s="510" t="s">
        <v>15</v>
      </c>
      <c r="K38" s="511"/>
      <c r="L38" s="43" t="e">
        <f>SUM(L17:L35)</f>
        <v>#N/A</v>
      </c>
      <c r="M38" s="76">
        <f>166+26</f>
        <v>192</v>
      </c>
    </row>
    <row r="39" spans="2:13" ht="20.149999999999999" customHeight="1" x14ac:dyDescent="0.45">
      <c r="B39" s="11" t="s">
        <v>19</v>
      </c>
      <c r="C39" s="7"/>
      <c r="D39" s="7"/>
      <c r="E39" s="7"/>
      <c r="F39" s="7"/>
      <c r="G39" s="7"/>
      <c r="H39" s="7"/>
      <c r="I39" s="7"/>
      <c r="J39" s="44" t="s">
        <v>22</v>
      </c>
      <c r="K39" s="45"/>
      <c r="L39" s="46" t="e">
        <f>L38*K39</f>
        <v>#N/A</v>
      </c>
    </row>
    <row r="40" spans="2:13" ht="20.149999999999999" customHeight="1" x14ac:dyDescent="0.45">
      <c r="B40" s="11" t="s">
        <v>20</v>
      </c>
      <c r="C40" s="7"/>
      <c r="D40" s="7"/>
      <c r="E40" s="7"/>
      <c r="F40" s="7"/>
      <c r="G40" s="7"/>
      <c r="H40" s="7"/>
      <c r="I40" s="7"/>
      <c r="J40" s="486" t="s">
        <v>21</v>
      </c>
      <c r="K40" s="487"/>
      <c r="L40" s="46" t="e">
        <f>L38-L39</f>
        <v>#N/A</v>
      </c>
    </row>
    <row r="41" spans="2:13" ht="20.149999999999999" customHeight="1" x14ac:dyDescent="0.45">
      <c r="B41" s="11" t="s">
        <v>24</v>
      </c>
      <c r="C41" s="7"/>
      <c r="D41" s="7"/>
      <c r="E41" s="7"/>
      <c r="F41" s="7"/>
      <c r="G41" s="7"/>
      <c r="H41" s="7"/>
      <c r="I41" s="7"/>
      <c r="J41" s="150" t="s">
        <v>17</v>
      </c>
      <c r="K41" s="151">
        <v>7.0000000000000007E-2</v>
      </c>
      <c r="L41" s="47" t="e">
        <f>L40*K41</f>
        <v>#N/A</v>
      </c>
    </row>
    <row r="42" spans="2:13" ht="20.149999999999999" customHeight="1" thickBot="1" x14ac:dyDescent="0.5">
      <c r="B42" s="11" t="s">
        <v>25</v>
      </c>
      <c r="C42" s="7"/>
      <c r="D42" s="7"/>
      <c r="E42" s="7"/>
      <c r="F42" s="7"/>
      <c r="G42" s="7"/>
      <c r="H42" s="7"/>
      <c r="I42" s="7"/>
      <c r="J42" s="488" t="s">
        <v>23</v>
      </c>
      <c r="K42" s="489"/>
      <c r="L42" s="48" t="e">
        <f>L40+L41</f>
        <v>#N/A</v>
      </c>
    </row>
    <row r="43" spans="2:13" ht="20.149999999999999" customHeight="1" x14ac:dyDescent="0.45">
      <c r="B43" s="11" t="s">
        <v>26</v>
      </c>
      <c r="C43" s="7"/>
      <c r="D43" s="7"/>
      <c r="E43" s="7"/>
      <c r="F43" s="7"/>
      <c r="G43" s="7"/>
      <c r="H43" s="7"/>
      <c r="I43" s="7"/>
      <c r="L43" s="42"/>
    </row>
    <row r="44" spans="2:13" ht="20.149999999999999" customHeight="1" x14ac:dyDescent="0.45">
      <c r="B44" s="41"/>
      <c r="L44" s="42"/>
    </row>
    <row r="45" spans="2:13" ht="20.149999999999999" customHeight="1" x14ac:dyDescent="0.45">
      <c r="B45" s="41"/>
      <c r="L45" s="42"/>
    </row>
    <row r="46" spans="2:13" ht="20.149999999999999" customHeight="1" x14ac:dyDescent="0.45">
      <c r="B46" s="41"/>
      <c r="L46" s="42"/>
    </row>
    <row r="47" spans="2:13" ht="20.149999999999999" customHeight="1" x14ac:dyDescent="0.45">
      <c r="B47" s="41"/>
      <c r="L47" s="42"/>
    </row>
    <row r="48" spans="2:13" ht="20.149999999999999" customHeight="1" x14ac:dyDescent="0.45">
      <c r="B48" s="49"/>
      <c r="C48" s="50"/>
      <c r="D48" s="50"/>
      <c r="J48" s="50"/>
      <c r="K48" s="50"/>
      <c r="L48" s="51"/>
    </row>
    <row r="49" spans="2:12" ht="20.149999999999999" customHeight="1" x14ac:dyDescent="0.45">
      <c r="B49" s="41" t="s">
        <v>27</v>
      </c>
      <c r="J49" s="24" t="s">
        <v>28</v>
      </c>
      <c r="L49" s="42"/>
    </row>
    <row r="50" spans="2:12" ht="19" thickBot="1" x14ac:dyDescent="0.5">
      <c r="B50" s="52"/>
      <c r="C50" s="53"/>
      <c r="D50" s="53"/>
      <c r="E50" s="53"/>
      <c r="F50" s="53"/>
      <c r="G50" s="53"/>
      <c r="H50" s="53"/>
      <c r="I50" s="53"/>
      <c r="J50" s="53"/>
      <c r="K50" s="53"/>
      <c r="L50" s="54"/>
    </row>
  </sheetData>
  <mergeCells count="56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I17:J17"/>
    <mergeCell ref="D18:F18"/>
    <mergeCell ref="I18:J18"/>
    <mergeCell ref="D19:F19"/>
    <mergeCell ref="I19:J19"/>
    <mergeCell ref="D20:F20"/>
    <mergeCell ref="I20:J20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I27:J27"/>
    <mergeCell ref="I28:J28"/>
    <mergeCell ref="D27:F27"/>
    <mergeCell ref="D28:F28"/>
    <mergeCell ref="I29:J29"/>
    <mergeCell ref="I30:J30"/>
    <mergeCell ref="I31:J31"/>
    <mergeCell ref="D32:F32"/>
    <mergeCell ref="I32:J32"/>
    <mergeCell ref="D29:F29"/>
    <mergeCell ref="D30:F30"/>
    <mergeCell ref="D31:F31"/>
    <mergeCell ref="D33:F33"/>
    <mergeCell ref="I33:J33"/>
    <mergeCell ref="D34:F34"/>
    <mergeCell ref="I34:J34"/>
    <mergeCell ref="J42:K42"/>
    <mergeCell ref="D35:F35"/>
    <mergeCell ref="I35:J35"/>
    <mergeCell ref="D36:F36"/>
    <mergeCell ref="I36:J36"/>
    <mergeCell ref="J38:K38"/>
    <mergeCell ref="J40:K40"/>
  </mergeCells>
  <pageMargins left="0.70866141732283472" right="0.31496062992125984" top="0.59055118110236227" bottom="0" header="0.31496062992125984" footer="0.31496062992125984"/>
  <pageSetup paperSize="9" scale="73" orientation="portrait" verticalDpi="300" r:id="rId1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4E7E74-C597-4575-A36B-B228602AB630}">
  <sheetPr codeName="Sheet149">
    <tabColor rgb="FF92D050"/>
    <pageSetUpPr fitToPage="1"/>
  </sheetPr>
  <dimension ref="B1:O50"/>
  <sheetViews>
    <sheetView topLeftCell="A10" workbookViewId="0">
      <selection activeCell="M3" sqref="M3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7.453125" style="24" customWidth="1"/>
    <col min="7" max="7" width="8.54296875" style="24" customWidth="1"/>
    <col min="8" max="8" width="12.54296875" style="24" customWidth="1"/>
    <col min="9" max="9" width="2.54296875" style="24" customWidth="1"/>
    <col min="10" max="10" width="15.54296875" style="24" customWidth="1"/>
    <col min="11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2"/>
      <c r="C9" s="22"/>
      <c r="D9" s="22"/>
      <c r="E9" s="22"/>
      <c r="F9" s="22"/>
      <c r="G9" s="22"/>
      <c r="H9" s="22"/>
      <c r="I9" s="22"/>
      <c r="J9" s="22"/>
      <c r="K9" s="22"/>
      <c r="L9" s="22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731</v>
      </c>
      <c r="J10" s="29" t="s">
        <v>29</v>
      </c>
      <c r="K10" s="452">
        <v>202107158</v>
      </c>
      <c r="L10" s="453"/>
    </row>
    <row r="11" spans="2:12" ht="20.149999999999999" customHeight="1" x14ac:dyDescent="0.45">
      <c r="B11" s="454" t="s">
        <v>1901</v>
      </c>
      <c r="C11" s="455"/>
      <c r="D11" s="456"/>
      <c r="E11" s="30"/>
      <c r="F11" s="457" t="str">
        <f>VLOOKUP(H10,'Delivery Location'!A$4:N$416,2,0)</f>
        <v>Hawker Way pte Ltd                                                     Blk 271, Bukit Batok Avenue 4                                 #01-160    Singapore</v>
      </c>
      <c r="G11" s="458"/>
      <c r="H11" s="459"/>
      <c r="J11" s="31" t="s">
        <v>11</v>
      </c>
      <c r="K11" s="551">
        <v>44386</v>
      </c>
      <c r="L11" s="472"/>
    </row>
    <row r="12" spans="2:12" ht="20.149999999999999" customHeight="1" x14ac:dyDescent="0.45">
      <c r="B12" s="468" t="s">
        <v>1902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533</v>
      </c>
      <c r="L12" s="472"/>
    </row>
    <row r="13" spans="2:12" ht="20.149999999999999" customHeight="1" x14ac:dyDescent="0.45">
      <c r="B13" s="468"/>
      <c r="C13" s="469"/>
      <c r="D13" s="470"/>
      <c r="E13" s="30"/>
      <c r="F13" s="460"/>
      <c r="G13" s="461"/>
      <c r="H13" s="462"/>
      <c r="J13" s="31" t="s">
        <v>12</v>
      </c>
      <c r="K13" s="471" t="s">
        <v>688</v>
      </c>
      <c r="L13" s="472"/>
    </row>
    <row r="14" spans="2:12" ht="20.149999999999999" customHeight="1" x14ac:dyDescent="0.45">
      <c r="B14" s="468"/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552"/>
      <c r="C15" s="474"/>
      <c r="D15" s="475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15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8" t="s">
        <v>622</v>
      </c>
      <c r="I17" s="478" t="s">
        <v>621</v>
      </c>
      <c r="J17" s="479"/>
      <c r="K17" s="9" t="s">
        <v>6</v>
      </c>
      <c r="L17" s="10" t="s">
        <v>7</v>
      </c>
      <c r="M17" s="33"/>
      <c r="N17" s="33"/>
      <c r="O17" s="33"/>
    </row>
    <row r="18" spans="2:15" ht="20.149999999999999" customHeight="1" x14ac:dyDescent="0.45">
      <c r="B18" s="70"/>
      <c r="C18" s="22" t="s">
        <v>1608</v>
      </c>
      <c r="D18" s="508" t="str">
        <f>VLOOKUP(C18,'Sales Master'!B$3:D$499,2,)</f>
        <v>Pearl Barley 薏米</v>
      </c>
      <c r="E18" s="508"/>
      <c r="F18" s="508"/>
      <c r="G18" s="90">
        <v>1</v>
      </c>
      <c r="H18" s="97" t="str">
        <f>VLOOKUP(C18,'Sales Master'!$B$3:$E$590,4,0)</f>
        <v>-</v>
      </c>
      <c r="I18" s="578" t="str">
        <f>VLOOKUP(C18,'Sales Master'!$B$3:F$590,5,0)</f>
        <v>5 kgs</v>
      </c>
      <c r="J18" s="578"/>
      <c r="K18" s="98">
        <f>VLOOKUP(C18,'Sales Master'!B$3:AI$581,34,0)</f>
        <v>10</v>
      </c>
      <c r="L18" s="99">
        <f>K18*G18</f>
        <v>10</v>
      </c>
      <c r="M18" s="78"/>
    </row>
    <row r="19" spans="2:15" ht="20.149999999999999" customHeight="1" x14ac:dyDescent="0.45">
      <c r="B19" s="70"/>
      <c r="C19" s="22"/>
      <c r="D19" s="508"/>
      <c r="E19" s="508"/>
      <c r="F19" s="508"/>
      <c r="G19" s="90"/>
      <c r="H19" s="97"/>
      <c r="I19" s="578"/>
      <c r="J19" s="578"/>
      <c r="K19" s="98"/>
      <c r="L19" s="99"/>
      <c r="M19" s="78"/>
    </row>
    <row r="20" spans="2:15" ht="20.149999999999999" customHeight="1" x14ac:dyDescent="0.45">
      <c r="B20" s="70"/>
      <c r="C20" s="22"/>
      <c r="D20" s="508"/>
      <c r="E20" s="508"/>
      <c r="F20" s="508"/>
      <c r="G20" s="90"/>
      <c r="H20" s="97"/>
      <c r="I20" s="578"/>
      <c r="J20" s="578"/>
      <c r="K20" s="98"/>
      <c r="L20" s="99"/>
      <c r="M20" s="78"/>
    </row>
    <row r="21" spans="2:15" ht="20.149999999999999" customHeight="1" x14ac:dyDescent="0.45">
      <c r="B21" s="70"/>
      <c r="C21" s="22"/>
      <c r="D21" s="508"/>
      <c r="E21" s="508"/>
      <c r="F21" s="508"/>
      <c r="G21" s="90"/>
      <c r="H21" s="97"/>
      <c r="I21" s="578"/>
      <c r="J21" s="578"/>
      <c r="K21" s="98"/>
      <c r="L21" s="99"/>
      <c r="M21" s="78"/>
    </row>
    <row r="22" spans="2:15" ht="20.149999999999999" customHeight="1" x14ac:dyDescent="0.45">
      <c r="B22" s="70"/>
      <c r="C22" s="22"/>
      <c r="D22" s="508"/>
      <c r="E22" s="508"/>
      <c r="F22" s="508"/>
      <c r="G22" s="90"/>
      <c r="H22" s="97"/>
      <c r="I22" s="578"/>
      <c r="J22" s="578"/>
      <c r="K22" s="98"/>
      <c r="L22" s="99"/>
      <c r="M22" s="78"/>
    </row>
    <row r="23" spans="2:15" ht="20.149999999999999" customHeight="1" x14ac:dyDescent="0.45">
      <c r="B23" s="70"/>
      <c r="C23" s="22"/>
      <c r="D23" s="508"/>
      <c r="E23" s="508"/>
      <c r="F23" s="508"/>
      <c r="G23" s="90"/>
      <c r="H23" s="97"/>
      <c r="I23" s="578"/>
      <c r="J23" s="578"/>
      <c r="K23" s="98"/>
      <c r="L23" s="99"/>
      <c r="M23" s="78"/>
    </row>
    <row r="24" spans="2:15" ht="20.149999999999999" customHeight="1" x14ac:dyDescent="0.45">
      <c r="B24" s="70"/>
      <c r="C24" s="22"/>
      <c r="D24" s="508"/>
      <c r="E24" s="508"/>
      <c r="F24" s="508"/>
      <c r="G24" s="90"/>
      <c r="H24" s="97"/>
      <c r="I24" s="578"/>
      <c r="J24" s="578"/>
      <c r="K24" s="98"/>
      <c r="L24" s="99"/>
      <c r="M24" s="78"/>
    </row>
    <row r="25" spans="2:15" ht="20.149999999999999" customHeight="1" x14ac:dyDescent="0.45">
      <c r="B25" s="70"/>
      <c r="C25" s="22"/>
      <c r="D25" s="508"/>
      <c r="E25" s="508"/>
      <c r="F25" s="508"/>
      <c r="G25" s="90"/>
      <c r="H25" s="97"/>
      <c r="I25" s="578"/>
      <c r="J25" s="578"/>
      <c r="K25" s="98"/>
      <c r="L25" s="99"/>
      <c r="M25" s="78"/>
    </row>
    <row r="26" spans="2:15" ht="20.149999999999999" customHeight="1" x14ac:dyDescent="0.45">
      <c r="B26" s="70"/>
      <c r="C26" s="22"/>
      <c r="D26" s="508"/>
      <c r="E26" s="508"/>
      <c r="F26" s="508"/>
      <c r="G26" s="90"/>
      <c r="H26" s="97"/>
      <c r="I26" s="578"/>
      <c r="J26" s="578"/>
      <c r="K26" s="98"/>
      <c r="L26" s="99"/>
      <c r="M26" s="78"/>
    </row>
    <row r="27" spans="2:15" ht="20.149999999999999" customHeight="1" x14ac:dyDescent="0.45">
      <c r="B27" s="70"/>
      <c r="C27" s="22"/>
      <c r="D27" s="508"/>
      <c r="E27" s="508"/>
      <c r="F27" s="508"/>
      <c r="G27" s="90"/>
      <c r="H27" s="97"/>
      <c r="I27" s="578"/>
      <c r="J27" s="578"/>
      <c r="K27" s="98"/>
      <c r="L27" s="99"/>
      <c r="M27" s="78"/>
    </row>
    <row r="28" spans="2:15" ht="20.149999999999999" customHeight="1" x14ac:dyDescent="0.45">
      <c r="B28" s="70"/>
      <c r="C28" s="22"/>
      <c r="D28" s="508"/>
      <c r="E28" s="508"/>
      <c r="F28" s="508"/>
      <c r="G28" s="90"/>
      <c r="H28" s="97"/>
      <c r="I28" s="578"/>
      <c r="J28" s="578"/>
      <c r="K28" s="98"/>
      <c r="L28" s="99"/>
      <c r="M28" s="78"/>
    </row>
    <row r="29" spans="2:15" ht="20.149999999999999" customHeight="1" x14ac:dyDescent="0.45">
      <c r="B29" s="70"/>
      <c r="C29" s="22"/>
      <c r="D29" s="508"/>
      <c r="E29" s="508"/>
      <c r="F29" s="508"/>
      <c r="G29" s="90"/>
      <c r="H29" s="97"/>
      <c r="I29" s="578"/>
      <c r="J29" s="578"/>
      <c r="K29" s="98"/>
      <c r="L29" s="99"/>
    </row>
    <row r="30" spans="2:15" ht="20.149999999999999" customHeight="1" x14ac:dyDescent="0.45">
      <c r="B30" s="70"/>
      <c r="C30" s="22"/>
      <c r="D30" s="508"/>
      <c r="E30" s="508"/>
      <c r="F30" s="508"/>
      <c r="G30" s="90"/>
      <c r="H30" s="97"/>
      <c r="I30" s="578"/>
      <c r="J30" s="578"/>
      <c r="K30" s="98"/>
      <c r="L30" s="99"/>
      <c r="M30" s="78"/>
    </row>
    <row r="31" spans="2:15" ht="20.149999999999999" customHeight="1" x14ac:dyDescent="0.45">
      <c r="B31" s="70"/>
      <c r="C31" s="22"/>
      <c r="D31" s="508"/>
      <c r="E31" s="508"/>
      <c r="F31" s="508"/>
      <c r="G31" s="90"/>
      <c r="H31" s="97"/>
      <c r="I31" s="578"/>
      <c r="J31" s="578"/>
      <c r="K31" s="98"/>
      <c r="L31" s="99"/>
      <c r="M31" s="78"/>
    </row>
    <row r="32" spans="2:15" ht="20.149999999999999" customHeight="1" x14ac:dyDescent="0.45">
      <c r="B32" s="70"/>
      <c r="C32" s="22"/>
      <c r="D32" s="508"/>
      <c r="E32" s="508"/>
      <c r="F32" s="508"/>
      <c r="G32" s="90"/>
      <c r="H32" s="97"/>
      <c r="I32" s="578"/>
      <c r="J32" s="578"/>
      <c r="K32" s="98"/>
      <c r="L32" s="99"/>
      <c r="M32" s="78"/>
    </row>
    <row r="33" spans="2:13" ht="20.149999999999999" customHeight="1" x14ac:dyDescent="0.45">
      <c r="B33" s="70"/>
      <c r="C33" s="22"/>
      <c r="D33" s="508"/>
      <c r="E33" s="508"/>
      <c r="F33" s="508"/>
      <c r="G33" s="90"/>
      <c r="H33" s="97"/>
      <c r="I33" s="578"/>
      <c r="J33" s="578"/>
      <c r="K33" s="98"/>
      <c r="L33" s="99"/>
      <c r="M33" s="78"/>
    </row>
    <row r="34" spans="2:13" ht="20.149999999999999" customHeight="1" x14ac:dyDescent="0.45">
      <c r="B34" s="70"/>
      <c r="C34" s="22"/>
      <c r="D34" s="508"/>
      <c r="E34" s="508"/>
      <c r="F34" s="508"/>
      <c r="G34" s="90"/>
      <c r="H34" s="97"/>
      <c r="I34" s="578"/>
      <c r="J34" s="578"/>
      <c r="K34" s="98"/>
      <c r="L34" s="99"/>
      <c r="M34" s="78"/>
    </row>
    <row r="35" spans="2:13" ht="20.149999999999999" customHeight="1" x14ac:dyDescent="0.45">
      <c r="B35" s="70"/>
      <c r="C35" s="22"/>
      <c r="D35" s="508"/>
      <c r="E35" s="508"/>
      <c r="F35" s="508"/>
      <c r="G35" s="90"/>
      <c r="H35" s="97"/>
      <c r="I35" s="578"/>
      <c r="J35" s="578"/>
      <c r="K35" s="98"/>
      <c r="L35" s="99"/>
      <c r="M35" s="78"/>
    </row>
    <row r="36" spans="2:13" ht="20.149999999999999" customHeight="1" x14ac:dyDescent="0.45">
      <c r="B36" s="70"/>
      <c r="C36" s="22"/>
      <c r="D36" s="508"/>
      <c r="E36" s="508"/>
      <c r="F36" s="508"/>
      <c r="G36" s="90"/>
      <c r="H36" s="97"/>
      <c r="I36" s="578"/>
      <c r="J36" s="578"/>
      <c r="K36" s="98"/>
      <c r="L36" s="99"/>
    </row>
    <row r="37" spans="2:13" ht="20.149999999999999" customHeight="1" thickBot="1" x14ac:dyDescent="0.5">
      <c r="B37" s="52"/>
      <c r="C37" s="53"/>
      <c r="D37" s="53"/>
      <c r="E37" s="53"/>
      <c r="F37" s="53"/>
      <c r="G37" s="53"/>
      <c r="H37" s="53"/>
      <c r="I37" s="53"/>
      <c r="J37" s="53"/>
      <c r="K37" s="53"/>
      <c r="L37" s="54"/>
    </row>
    <row r="38" spans="2:13" ht="20.149999999999999" customHeight="1" x14ac:dyDescent="0.45">
      <c r="B38" s="11" t="s">
        <v>18</v>
      </c>
      <c r="C38" s="7"/>
      <c r="D38" s="7"/>
      <c r="E38" s="7"/>
      <c r="F38" s="7"/>
      <c r="G38" s="7"/>
      <c r="H38" s="7"/>
      <c r="I38" s="7"/>
      <c r="J38" s="510" t="s">
        <v>15</v>
      </c>
      <c r="K38" s="511"/>
      <c r="L38" s="43">
        <f>SUM(L17:L36)</f>
        <v>10</v>
      </c>
      <c r="M38" s="76">
        <f>L38-316.5</f>
        <v>-306.5</v>
      </c>
    </row>
    <row r="39" spans="2:13" ht="20.149999999999999" customHeight="1" x14ac:dyDescent="0.45">
      <c r="B39" s="11" t="s">
        <v>19</v>
      </c>
      <c r="C39" s="7"/>
      <c r="D39" s="7"/>
      <c r="E39" s="7"/>
      <c r="F39" s="7"/>
      <c r="G39" s="7"/>
      <c r="H39" s="7"/>
      <c r="I39" s="7"/>
      <c r="J39" s="44" t="s">
        <v>22</v>
      </c>
      <c r="K39" s="45"/>
      <c r="L39" s="46">
        <f>L38*K39</f>
        <v>0</v>
      </c>
    </row>
    <row r="40" spans="2:13" ht="20.149999999999999" customHeight="1" x14ac:dyDescent="0.45">
      <c r="B40" s="11" t="s">
        <v>20</v>
      </c>
      <c r="C40" s="7"/>
      <c r="D40" s="7"/>
      <c r="E40" s="7"/>
      <c r="F40" s="7"/>
      <c r="G40" s="7"/>
      <c r="H40" s="7"/>
      <c r="I40" s="7"/>
      <c r="J40" s="486" t="s">
        <v>21</v>
      </c>
      <c r="K40" s="487"/>
      <c r="L40" s="46">
        <f>L38-L39</f>
        <v>10</v>
      </c>
    </row>
    <row r="41" spans="2:13" ht="20.149999999999999" customHeight="1" x14ac:dyDescent="0.45">
      <c r="B41" s="11" t="s">
        <v>24</v>
      </c>
      <c r="C41" s="7"/>
      <c r="D41" s="7"/>
      <c r="E41" s="7"/>
      <c r="F41" s="7"/>
      <c r="G41" s="7"/>
      <c r="H41" s="7"/>
      <c r="I41" s="7"/>
      <c r="J41" s="150" t="s">
        <v>17</v>
      </c>
      <c r="K41" s="151">
        <v>7.0000000000000007E-2</v>
      </c>
      <c r="L41" s="47">
        <f>L40*K41</f>
        <v>0.70000000000000007</v>
      </c>
    </row>
    <row r="42" spans="2:13" ht="20.149999999999999" customHeight="1" thickBot="1" x14ac:dyDescent="0.5">
      <c r="B42" s="11" t="s">
        <v>25</v>
      </c>
      <c r="C42" s="7"/>
      <c r="D42" s="7"/>
      <c r="E42" s="7"/>
      <c r="F42" s="7"/>
      <c r="G42" s="7"/>
      <c r="H42" s="7"/>
      <c r="I42" s="7"/>
      <c r="J42" s="488" t="s">
        <v>23</v>
      </c>
      <c r="K42" s="489"/>
      <c r="L42" s="48">
        <f>L40+L41</f>
        <v>10.7</v>
      </c>
    </row>
    <row r="43" spans="2:13" ht="20.149999999999999" customHeight="1" x14ac:dyDescent="0.45">
      <c r="B43" s="11" t="s">
        <v>26</v>
      </c>
      <c r="C43" s="7"/>
      <c r="D43" s="7"/>
      <c r="E43" s="7"/>
      <c r="F43" s="7"/>
      <c r="G43" s="7"/>
      <c r="H43" s="7"/>
      <c r="I43" s="7"/>
      <c r="L43" s="42"/>
    </row>
    <row r="44" spans="2:13" ht="20.149999999999999" customHeight="1" x14ac:dyDescent="0.45">
      <c r="B44" s="41"/>
      <c r="L44" s="42"/>
    </row>
    <row r="45" spans="2:13" ht="20.149999999999999" customHeight="1" x14ac:dyDescent="0.45">
      <c r="B45" s="41"/>
      <c r="L45" s="42"/>
    </row>
    <row r="46" spans="2:13" ht="20.149999999999999" customHeight="1" x14ac:dyDescent="0.45">
      <c r="B46" s="41"/>
      <c r="L46" s="42"/>
    </row>
    <row r="47" spans="2:13" ht="20.149999999999999" customHeight="1" x14ac:dyDescent="0.45">
      <c r="B47" s="41"/>
      <c r="L47" s="42"/>
    </row>
    <row r="48" spans="2:13" ht="20.149999999999999" customHeight="1" x14ac:dyDescent="0.45">
      <c r="B48" s="49"/>
      <c r="C48" s="50"/>
      <c r="D48" s="50"/>
      <c r="J48" s="50"/>
      <c r="K48" s="50"/>
      <c r="L48" s="51"/>
    </row>
    <row r="49" spans="2:12" ht="20.149999999999999" customHeight="1" x14ac:dyDescent="0.45">
      <c r="B49" s="41" t="s">
        <v>27</v>
      </c>
      <c r="J49" s="24" t="s">
        <v>28</v>
      </c>
      <c r="L49" s="42"/>
    </row>
    <row r="50" spans="2:12" ht="19" thickBot="1" x14ac:dyDescent="0.5">
      <c r="B50" s="52"/>
      <c r="C50" s="53"/>
      <c r="D50" s="53"/>
      <c r="E50" s="53"/>
      <c r="F50" s="53"/>
      <c r="G50" s="53"/>
      <c r="H50" s="53"/>
      <c r="I50" s="53"/>
      <c r="J50" s="53"/>
      <c r="K50" s="53"/>
      <c r="L50" s="54"/>
    </row>
  </sheetData>
  <mergeCells count="56">
    <mergeCell ref="J40:K40"/>
    <mergeCell ref="J42:K42"/>
    <mergeCell ref="D34:F34"/>
    <mergeCell ref="I34:J34"/>
    <mergeCell ref="D35:F35"/>
    <mergeCell ref="I35:J35"/>
    <mergeCell ref="D36:F36"/>
    <mergeCell ref="I36:J36"/>
    <mergeCell ref="D32:F32"/>
    <mergeCell ref="I32:J32"/>
    <mergeCell ref="D33:F33"/>
    <mergeCell ref="I33:J33"/>
    <mergeCell ref="J38:K38"/>
    <mergeCell ref="D29:F29"/>
    <mergeCell ref="I29:J29"/>
    <mergeCell ref="D30:F30"/>
    <mergeCell ref="I30:J30"/>
    <mergeCell ref="D31:F31"/>
    <mergeCell ref="I31:J31"/>
    <mergeCell ref="D26:F26"/>
    <mergeCell ref="I26:J26"/>
    <mergeCell ref="D27:F27"/>
    <mergeCell ref="I27:J27"/>
    <mergeCell ref="D28:F28"/>
    <mergeCell ref="I28:J28"/>
    <mergeCell ref="D23:F23"/>
    <mergeCell ref="I23:J23"/>
    <mergeCell ref="D24:F24"/>
    <mergeCell ref="I24:J24"/>
    <mergeCell ref="D25:F25"/>
    <mergeCell ref="I25:J25"/>
    <mergeCell ref="D20:F20"/>
    <mergeCell ref="I20:J20"/>
    <mergeCell ref="D21:F21"/>
    <mergeCell ref="I21:J21"/>
    <mergeCell ref="D22:F22"/>
    <mergeCell ref="I22:J22"/>
    <mergeCell ref="D17:F17"/>
    <mergeCell ref="I17:J17"/>
    <mergeCell ref="D18:F18"/>
    <mergeCell ref="I18:J18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5" orientation="portrait" verticalDpi="300" r:id="rId1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0E304C-75FB-4819-AF04-057E29612CA9}">
  <sheetPr codeName="Sheet152">
    <tabColor rgb="FFFFFF00"/>
    <pageSetUpPr fitToPage="1"/>
  </sheetPr>
  <dimension ref="B1:P40"/>
  <sheetViews>
    <sheetView topLeftCell="A12" zoomScaleNormal="100" workbookViewId="0">
      <selection activeCell="B1" sqref="B1:L40"/>
    </sheetView>
  </sheetViews>
  <sheetFormatPr defaultColWidth="12.54296875" defaultRowHeight="18.5" x14ac:dyDescent="0.45"/>
  <cols>
    <col min="1" max="1" width="12.54296875" style="24"/>
    <col min="2" max="3" width="12.54296875" style="24" customWidth="1"/>
    <col min="4" max="4" width="14.54296875" style="24" customWidth="1"/>
    <col min="5" max="5" width="1.54296875" style="24" customWidth="1"/>
    <col min="6" max="6" width="14.54296875" style="24" customWidth="1"/>
    <col min="7" max="7" width="8.54296875" style="24" customWidth="1"/>
    <col min="8" max="8" width="16.54296875" style="24" customWidth="1"/>
    <col min="9" max="9" width="1" style="81" customWidth="1"/>
    <col min="10" max="10" width="15.54296875" style="81" customWidth="1"/>
    <col min="11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236</v>
      </c>
      <c r="J10" s="82" t="s">
        <v>29</v>
      </c>
      <c r="K10" s="452">
        <v>202210005</v>
      </c>
      <c r="L10" s="453"/>
    </row>
    <row r="11" spans="2:12" ht="20.149999999999999" customHeight="1" x14ac:dyDescent="0.45">
      <c r="B11" s="454" t="s">
        <v>2037</v>
      </c>
      <c r="C11" s="455"/>
      <c r="D11" s="456"/>
      <c r="E11" s="30"/>
      <c r="F11" s="457" t="str">
        <f>VLOOKUP(H10,'Delivery Location'!A$4:N$416,2,0)</f>
        <v xml:space="preserve">Koufu - Dim Sum                                     Block 118 Rivervale Drive,                  #02-15/16 Rivervale Plaza     Singapore 540118                              </v>
      </c>
      <c r="G11" s="458"/>
      <c r="H11" s="459"/>
      <c r="J11" s="83" t="s">
        <v>11</v>
      </c>
      <c r="K11" s="466">
        <v>44835</v>
      </c>
      <c r="L11" s="467"/>
    </row>
    <row r="12" spans="2:12" ht="20.149999999999999" customHeight="1" x14ac:dyDescent="0.45">
      <c r="B12" s="468" t="s">
        <v>2139</v>
      </c>
      <c r="C12" s="469"/>
      <c r="D12" s="470"/>
      <c r="E12" s="30"/>
      <c r="F12" s="460"/>
      <c r="G12" s="461"/>
      <c r="H12" s="462"/>
      <c r="J12" s="83" t="s">
        <v>171</v>
      </c>
      <c r="K12" s="471" t="s">
        <v>533</v>
      </c>
      <c r="L12" s="472"/>
    </row>
    <row r="13" spans="2:12" ht="20.149999999999999" customHeight="1" x14ac:dyDescent="0.45">
      <c r="B13" s="468" t="s">
        <v>2024</v>
      </c>
      <c r="C13" s="469"/>
      <c r="D13" s="470"/>
      <c r="E13" s="30"/>
      <c r="F13" s="460"/>
      <c r="G13" s="461"/>
      <c r="H13" s="462"/>
      <c r="J13" s="83" t="s">
        <v>12</v>
      </c>
      <c r="K13" s="471" t="s">
        <v>14</v>
      </c>
      <c r="L13" s="472"/>
    </row>
    <row r="14" spans="2:12" ht="20.149999999999999" customHeight="1" x14ac:dyDescent="0.45">
      <c r="B14" s="468" t="s">
        <v>2025</v>
      </c>
      <c r="C14" s="469"/>
      <c r="D14" s="470"/>
      <c r="E14" s="30"/>
      <c r="F14" s="460"/>
      <c r="G14" s="461"/>
      <c r="H14" s="462"/>
      <c r="J14" s="83" t="s">
        <v>30</v>
      </c>
      <c r="K14" s="471" t="s">
        <v>16</v>
      </c>
      <c r="L14" s="472"/>
    </row>
    <row r="15" spans="2:12" ht="18" customHeight="1" thickBot="1" x14ac:dyDescent="0.5">
      <c r="B15" s="463" t="s">
        <v>2026</v>
      </c>
      <c r="C15" s="464"/>
      <c r="D15" s="465"/>
      <c r="E15" s="26"/>
      <c r="F15" s="463"/>
      <c r="G15" s="464"/>
      <c r="H15" s="465"/>
      <c r="J15" s="84" t="s">
        <v>13</v>
      </c>
      <c r="K15" s="476"/>
      <c r="L15" s="477"/>
    </row>
    <row r="16" spans="2:12" ht="19" thickBot="1" x14ac:dyDescent="0.5">
      <c r="J16" s="85"/>
    </row>
    <row r="17" spans="2:16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8" t="s">
        <v>1261</v>
      </c>
      <c r="I17" s="605" t="s">
        <v>1262</v>
      </c>
      <c r="J17" s="606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16" ht="20.149999999999999" customHeight="1" x14ac:dyDescent="0.45">
      <c r="B18" s="34"/>
      <c r="C18" s="22" t="s">
        <v>1532</v>
      </c>
      <c r="D18" s="555" t="str">
        <f>VLOOKUP(C18,'Sales Master'!B$3:D$499,2,)</f>
        <v>Sweet Potato Powder番薯粉</v>
      </c>
      <c r="E18" s="555"/>
      <c r="F18" s="555"/>
      <c r="G18" s="22">
        <v>2</v>
      </c>
      <c r="H18" s="391" t="str">
        <f>VLOOKUP(C18,'Sales Master'!$B$3:$F$3247,5,0)</f>
        <v>(500gm x 20Pkt)包</v>
      </c>
      <c r="I18" s="482" t="str">
        <f>VLOOKUP(C18,'Sales Master'!$B$3:$E$3247,4,0)</f>
        <v>RE-PACK</v>
      </c>
      <c r="J18" s="482"/>
      <c r="K18" s="35">
        <f>VLOOKUP(C18,'Sales Master'!B$3:J$499,9,0)</f>
        <v>32</v>
      </c>
      <c r="L18" s="77">
        <f>K18*G18</f>
        <v>64</v>
      </c>
      <c r="M18" s="78"/>
      <c r="N18" s="225">
        <f>VLOOKUP(C18,'Sales Master'!$B$3:$DA$3038,104,0)</f>
        <v>24.8</v>
      </c>
      <c r="O18" s="225">
        <f>K18-N18</f>
        <v>7.1999999999999993</v>
      </c>
      <c r="P18" s="225">
        <f>O18*G18</f>
        <v>14.399999999999999</v>
      </c>
    </row>
    <row r="19" spans="2:16" ht="20.149999999999999" customHeight="1" x14ac:dyDescent="0.45">
      <c r="B19" s="34"/>
      <c r="C19" s="22" t="s">
        <v>1572</v>
      </c>
      <c r="D19" s="508" t="str">
        <f>VLOOKUP(C19,'Sales Master'!B$3:D$499,2,)</f>
        <v>Red Bean红豆 (5.5 mm)</v>
      </c>
      <c r="E19" s="508"/>
      <c r="F19" s="508"/>
      <c r="G19" s="22">
        <v>1</v>
      </c>
      <c r="H19" s="389" t="str">
        <f>VLOOKUP(C19,'Sales Master'!$B$3:$F$3247,5,0)</f>
        <v>5 kgs</v>
      </c>
      <c r="I19" s="482" t="str">
        <f>VLOOKUP(C19,'Sales Master'!$B$3:$E$3247,4,0)</f>
        <v>-</v>
      </c>
      <c r="J19" s="482"/>
      <c r="K19" s="35">
        <f>VLOOKUP(C19,'Sales Master'!B$3:J$499,9,0)</f>
        <v>20.5</v>
      </c>
      <c r="L19" s="77">
        <f t="shared" ref="L19:L20" si="0">K19*G19</f>
        <v>20.5</v>
      </c>
      <c r="M19" s="78"/>
      <c r="N19" s="225">
        <f>VLOOKUP(C19,'Sales Master'!$B$3:$DA$3038,104,0)</f>
        <v>17</v>
      </c>
      <c r="O19" s="225">
        <f t="shared" ref="O19:O20" si="1">K19-N19</f>
        <v>3.5</v>
      </c>
      <c r="P19" s="225">
        <f t="shared" ref="P19:P20" si="2">O19*G19</f>
        <v>3.5</v>
      </c>
    </row>
    <row r="20" spans="2:16" ht="20.149999999999999" customHeight="1" x14ac:dyDescent="0.45">
      <c r="B20" s="34"/>
      <c r="C20" s="22" t="s">
        <v>1585</v>
      </c>
      <c r="D20" s="508" t="str">
        <f>VLOOKUP(C20,'Sales Master'!B$3:D$499,2,)</f>
        <v>Green Bean 绿豆</v>
      </c>
      <c r="E20" s="508"/>
      <c r="F20" s="508"/>
      <c r="G20" s="22">
        <v>3</v>
      </c>
      <c r="H20" s="389" t="str">
        <f>VLOOKUP(C20,'Sales Master'!$B$3:$F$3247,5,0)</f>
        <v>5 kgs</v>
      </c>
      <c r="I20" s="482" t="str">
        <f>VLOOKUP(C20,'Sales Master'!$B$3:$E$3247,4,0)</f>
        <v>-</v>
      </c>
      <c r="J20" s="482"/>
      <c r="K20" s="35">
        <f>VLOOKUP(C20,'Sales Master'!B$3:J$499,9,0)</f>
        <v>13</v>
      </c>
      <c r="L20" s="77">
        <f t="shared" si="0"/>
        <v>39</v>
      </c>
      <c r="M20" s="78"/>
      <c r="N20" s="225">
        <f>VLOOKUP(C20,'Sales Master'!$B$3:$DA$3038,104,0)</f>
        <v>9.3999999999999986</v>
      </c>
      <c r="O20" s="225">
        <f t="shared" si="1"/>
        <v>3.6000000000000014</v>
      </c>
      <c r="P20" s="225">
        <f t="shared" si="2"/>
        <v>10.800000000000004</v>
      </c>
    </row>
    <row r="21" spans="2:16" ht="20.149999999999999" customHeight="1" x14ac:dyDescent="0.45">
      <c r="B21" s="34"/>
      <c r="C21" s="22" t="s">
        <v>1608</v>
      </c>
      <c r="D21" s="508" t="str">
        <f>VLOOKUP(C21,'Sales Master'!B$3:D$499,2,)</f>
        <v>Pearl Barley 薏米</v>
      </c>
      <c r="E21" s="508"/>
      <c r="F21" s="508"/>
      <c r="G21" s="22">
        <v>1</v>
      </c>
      <c r="H21" s="389" t="str">
        <f>VLOOKUP(C21,'Sales Master'!$B$3:$F$3247,5,0)</f>
        <v>5 kgs</v>
      </c>
      <c r="I21" s="482" t="str">
        <f>VLOOKUP(C21,'Sales Master'!$B$3:$E$3247,4,0)</f>
        <v>-</v>
      </c>
      <c r="J21" s="482"/>
      <c r="K21" s="35">
        <f>VLOOKUP(C21,'Sales Master'!B$3:J$499,9,0)</f>
        <v>10</v>
      </c>
      <c r="L21" s="77">
        <f t="shared" ref="L21" si="3">K21*G21</f>
        <v>10</v>
      </c>
      <c r="M21" s="78"/>
      <c r="N21" s="225">
        <f>VLOOKUP(C21,'Sales Master'!$B$3:$DA$3038,104,0)</f>
        <v>6.8000000000000007</v>
      </c>
      <c r="O21" s="225">
        <f t="shared" ref="O21" si="4">K21-N21</f>
        <v>3.1999999999999993</v>
      </c>
      <c r="P21" s="225">
        <f t="shared" ref="P21" si="5">O21*G21</f>
        <v>3.1999999999999993</v>
      </c>
    </row>
    <row r="22" spans="2:16" ht="20.149999999999999" customHeight="1" x14ac:dyDescent="0.45">
      <c r="B22" s="34"/>
      <c r="C22" s="22" t="s">
        <v>2258</v>
      </c>
      <c r="D22" s="508" t="str">
        <f>VLOOKUP(C22,'Sales Master'!B$3:D$499,2,)</f>
        <v>Brown Sugar 黑糖</v>
      </c>
      <c r="E22" s="508"/>
      <c r="F22" s="508"/>
      <c r="G22" s="22">
        <v>1</v>
      </c>
      <c r="H22" s="389" t="str">
        <f>VLOOKUP(C22,'Sales Master'!$B$3:$F$3247,5,0)</f>
        <v>6 kgs</v>
      </c>
      <c r="I22" s="482" t="str">
        <f>VLOOKUP(C22,'Sales Master'!$B$3:$E$3247,4,0)</f>
        <v>Thailand</v>
      </c>
      <c r="J22" s="482"/>
      <c r="K22" s="35">
        <f>VLOOKUP(C22,'Sales Master'!B$3:J$499,9,0)</f>
        <v>15</v>
      </c>
      <c r="L22" s="77">
        <f t="shared" ref="L22" si="6">K22*G22</f>
        <v>15</v>
      </c>
      <c r="M22" s="78"/>
      <c r="N22" s="225">
        <f>VLOOKUP(C22,'Sales Master'!$B$3:$DA$3038,104,0)</f>
        <v>11.2</v>
      </c>
      <c r="O22" s="225">
        <f t="shared" ref="O22" si="7">K22-N22</f>
        <v>3.8000000000000007</v>
      </c>
      <c r="P22" s="225">
        <f t="shared" ref="P22" si="8">O22*G22</f>
        <v>3.8000000000000007</v>
      </c>
    </row>
    <row r="23" spans="2:16" ht="20.149999999999999" customHeight="1" x14ac:dyDescent="0.45">
      <c r="B23" s="34"/>
      <c r="C23" s="22"/>
      <c r="G23" s="22"/>
      <c r="H23" s="68"/>
      <c r="I23" s="68"/>
      <c r="J23" s="68"/>
      <c r="K23" s="35"/>
      <c r="L23" s="77"/>
      <c r="M23" s="78"/>
    </row>
    <row r="24" spans="2:16" ht="20.149999999999999" customHeight="1" x14ac:dyDescent="0.45">
      <c r="B24" s="80"/>
      <c r="C24" s="22"/>
      <c r="D24" s="508"/>
      <c r="E24" s="508"/>
      <c r="F24" s="508"/>
      <c r="G24" s="22"/>
      <c r="H24" s="68"/>
      <c r="I24" s="481"/>
      <c r="J24" s="481"/>
      <c r="K24" s="35"/>
      <c r="L24" s="77"/>
      <c r="M24" s="78"/>
    </row>
    <row r="25" spans="2:16" ht="20.149999999999999" customHeight="1" x14ac:dyDescent="0.45">
      <c r="B25" s="34"/>
      <c r="C25" s="22"/>
      <c r="D25" s="508"/>
      <c r="E25" s="508"/>
      <c r="F25" s="508"/>
      <c r="G25" s="22"/>
      <c r="H25" s="68"/>
      <c r="I25" s="481"/>
      <c r="J25" s="481"/>
      <c r="K25" s="35"/>
      <c r="L25" s="77"/>
      <c r="M25" s="78"/>
    </row>
    <row r="26" spans="2:16" ht="20.149999999999999" customHeight="1" thickBot="1" x14ac:dyDescent="0.5">
      <c r="B26" s="37"/>
      <c r="C26" s="38"/>
      <c r="D26" s="509"/>
      <c r="E26" s="509"/>
      <c r="F26" s="509"/>
      <c r="G26" s="38"/>
      <c r="H26" s="69"/>
      <c r="I26" s="588"/>
      <c r="J26" s="588"/>
      <c r="K26" s="39"/>
      <c r="L26" s="40"/>
    </row>
    <row r="27" spans="2:16" ht="20.149999999999999" customHeight="1" thickBot="1" x14ac:dyDescent="0.5">
      <c r="B27" s="41"/>
      <c r="L27" s="42"/>
    </row>
    <row r="28" spans="2:16" ht="20.149999999999999" customHeight="1" x14ac:dyDescent="0.45">
      <c r="B28" s="11" t="s">
        <v>18</v>
      </c>
      <c r="C28" s="7"/>
      <c r="D28" s="7"/>
      <c r="E28" s="7"/>
      <c r="F28" s="7"/>
      <c r="G28" s="7"/>
      <c r="H28" s="7"/>
      <c r="I28" s="86"/>
      <c r="J28" s="510" t="s">
        <v>15</v>
      </c>
      <c r="K28" s="511"/>
      <c r="L28" s="43">
        <f>SUM(L17:L25)</f>
        <v>148.5</v>
      </c>
      <c r="M28" s="76">
        <f>SUM(P18:P26)</f>
        <v>35.700000000000003</v>
      </c>
      <c r="N28" s="201">
        <f>M28/L28</f>
        <v>0.24040404040404043</v>
      </c>
    </row>
    <row r="29" spans="2:16" ht="20.149999999999999" customHeight="1" x14ac:dyDescent="0.45">
      <c r="B29" s="11" t="s">
        <v>19</v>
      </c>
      <c r="C29" s="7"/>
      <c r="D29" s="7"/>
      <c r="E29" s="7"/>
      <c r="F29" s="7"/>
      <c r="G29" s="7"/>
      <c r="H29" s="7"/>
      <c r="I29" s="86"/>
      <c r="J29" s="44" t="s">
        <v>22</v>
      </c>
      <c r="K29" s="45"/>
      <c r="L29" s="46">
        <f>L28*K29</f>
        <v>0</v>
      </c>
    </row>
    <row r="30" spans="2:16" ht="20.149999999999999" customHeight="1" x14ac:dyDescent="0.45">
      <c r="B30" s="11" t="s">
        <v>20</v>
      </c>
      <c r="C30" s="7"/>
      <c r="D30" s="7"/>
      <c r="E30" s="7"/>
      <c r="F30" s="7"/>
      <c r="G30" s="7"/>
      <c r="H30" s="7"/>
      <c r="I30" s="86"/>
      <c r="J30" s="486" t="s">
        <v>21</v>
      </c>
      <c r="K30" s="487"/>
      <c r="L30" s="46">
        <f>L28-L29</f>
        <v>148.5</v>
      </c>
    </row>
    <row r="31" spans="2:16" ht="20.149999999999999" customHeight="1" x14ac:dyDescent="0.45">
      <c r="B31" s="11" t="s">
        <v>24</v>
      </c>
      <c r="C31" s="7"/>
      <c r="D31" s="7"/>
      <c r="E31" s="7"/>
      <c r="F31" s="7"/>
      <c r="G31" s="7"/>
      <c r="H31" s="7"/>
      <c r="I31" s="86"/>
      <c r="J31" s="150" t="s">
        <v>17</v>
      </c>
      <c r="K31" s="151">
        <v>7.0000000000000007E-2</v>
      </c>
      <c r="L31" s="47">
        <f>L30*K31</f>
        <v>10.395000000000001</v>
      </c>
    </row>
    <row r="32" spans="2:16" ht="20.149999999999999" customHeight="1" thickBot="1" x14ac:dyDescent="0.5">
      <c r="B32" s="11" t="s">
        <v>25</v>
      </c>
      <c r="C32" s="7"/>
      <c r="D32" s="7"/>
      <c r="E32" s="7"/>
      <c r="F32" s="7"/>
      <c r="G32" s="7"/>
      <c r="H32" s="7"/>
      <c r="I32" s="86"/>
      <c r="J32" s="488" t="s">
        <v>23</v>
      </c>
      <c r="K32" s="489"/>
      <c r="L32" s="48">
        <f>L30+L31</f>
        <v>158.89500000000001</v>
      </c>
    </row>
    <row r="33" spans="2:12" ht="20.149999999999999" customHeight="1" x14ac:dyDescent="0.45">
      <c r="B33" s="11" t="s">
        <v>26</v>
      </c>
      <c r="C33" s="7"/>
      <c r="D33" s="7"/>
      <c r="E33" s="7"/>
      <c r="F33" s="7"/>
      <c r="G33" s="7"/>
      <c r="H33" s="7"/>
      <c r="I33" s="86"/>
      <c r="L33" s="42"/>
    </row>
    <row r="34" spans="2:12" ht="20.149999999999999" customHeight="1" x14ac:dyDescent="0.45">
      <c r="B34" s="41"/>
      <c r="L34" s="42"/>
    </row>
    <row r="35" spans="2:12" ht="20.149999999999999" customHeight="1" x14ac:dyDescent="0.45">
      <c r="B35" s="41"/>
      <c r="L35" s="42"/>
    </row>
    <row r="36" spans="2:12" ht="20.149999999999999" customHeight="1" x14ac:dyDescent="0.45">
      <c r="B36" s="41"/>
      <c r="L36" s="42"/>
    </row>
    <row r="37" spans="2:12" ht="20.149999999999999" customHeight="1" x14ac:dyDescent="0.45">
      <c r="B37" s="41"/>
      <c r="L37" s="42"/>
    </row>
    <row r="38" spans="2:12" ht="20.149999999999999" customHeight="1" x14ac:dyDescent="0.45">
      <c r="B38" s="49"/>
      <c r="C38" s="50"/>
      <c r="D38" s="50"/>
      <c r="J38" s="87"/>
      <c r="K38" s="50"/>
      <c r="L38" s="51"/>
    </row>
    <row r="39" spans="2:12" ht="20.149999999999999" customHeight="1" x14ac:dyDescent="0.45">
      <c r="B39" s="41" t="s">
        <v>27</v>
      </c>
      <c r="J39" s="81" t="s">
        <v>28</v>
      </c>
      <c r="L39" s="42"/>
    </row>
    <row r="40" spans="2:12" ht="19" thickBot="1" x14ac:dyDescent="0.5">
      <c r="B40" s="52"/>
      <c r="C40" s="53"/>
      <c r="D40" s="53"/>
      <c r="E40" s="53"/>
      <c r="F40" s="53"/>
      <c r="G40" s="53"/>
      <c r="H40" s="53"/>
      <c r="I40" s="88"/>
      <c r="J40" s="88"/>
      <c r="K40" s="53"/>
      <c r="L40" s="54"/>
    </row>
  </sheetData>
  <mergeCells count="34">
    <mergeCell ref="J32:K32"/>
    <mergeCell ref="D26:F26"/>
    <mergeCell ref="I26:J26"/>
    <mergeCell ref="J28:K28"/>
    <mergeCell ref="J30:K30"/>
    <mergeCell ref="D24:F24"/>
    <mergeCell ref="I24:J24"/>
    <mergeCell ref="D25:F25"/>
    <mergeCell ref="I25:J25"/>
    <mergeCell ref="B1:L8"/>
    <mergeCell ref="D19:F19"/>
    <mergeCell ref="I19:J19"/>
    <mergeCell ref="D17:F17"/>
    <mergeCell ref="I17:J17"/>
    <mergeCell ref="D18:F18"/>
    <mergeCell ref="K10:L10"/>
    <mergeCell ref="B11:D11"/>
    <mergeCell ref="I18:J18"/>
    <mergeCell ref="F11:H15"/>
    <mergeCell ref="K11:L11"/>
    <mergeCell ref="B12:D12"/>
    <mergeCell ref="K15:L15"/>
    <mergeCell ref="K12:L12"/>
    <mergeCell ref="B13:D13"/>
    <mergeCell ref="K13:L13"/>
    <mergeCell ref="B14:D14"/>
    <mergeCell ref="K14:L14"/>
    <mergeCell ref="B15:D15"/>
    <mergeCell ref="D20:F20"/>
    <mergeCell ref="D21:F21"/>
    <mergeCell ref="D22:F22"/>
    <mergeCell ref="I20:J20"/>
    <mergeCell ref="I21:J21"/>
    <mergeCell ref="I22:J22"/>
  </mergeCells>
  <pageMargins left="0.70866141732283472" right="0.31496062992125984" top="0.59055118110236227" bottom="0" header="0.31496062992125984" footer="0.31496062992125984"/>
  <pageSetup paperSize="9" scale="76" orientation="portrait" horizontalDpi="300" verticalDpi="3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0C8F2A-5B08-470D-978B-CFA590F45DB3}">
  <sheetPr codeName="Sheet4">
    <pageSetUpPr fitToPage="1"/>
  </sheetPr>
  <dimension ref="B2:R32"/>
  <sheetViews>
    <sheetView workbookViewId="0">
      <selection activeCell="F17" sqref="F17"/>
    </sheetView>
  </sheetViews>
  <sheetFormatPr defaultRowHeight="14.5" x14ac:dyDescent="0.35"/>
  <cols>
    <col min="2" max="2" width="10.1796875" customWidth="1"/>
    <col min="3" max="3" width="23.54296875" customWidth="1"/>
    <col min="4" max="4" width="11.1796875" customWidth="1"/>
    <col min="5" max="5" width="19.453125" customWidth="1"/>
    <col min="6" max="6" width="13.453125" style="340" customWidth="1"/>
  </cols>
  <sheetData>
    <row r="2" spans="2:18" ht="23.5" x14ac:dyDescent="0.55000000000000004">
      <c r="B2" s="132" t="s">
        <v>1015</v>
      </c>
      <c r="C2" s="132"/>
    </row>
    <row r="3" spans="2:18" ht="20.149999999999999" customHeight="1" x14ac:dyDescent="0.35">
      <c r="B3" s="515" t="s">
        <v>806</v>
      </c>
      <c r="C3" s="517" t="s">
        <v>4</v>
      </c>
      <c r="D3" s="518" t="s">
        <v>1262</v>
      </c>
      <c r="E3" s="520" t="s">
        <v>1261</v>
      </c>
      <c r="F3" s="522" t="s">
        <v>6</v>
      </c>
      <c r="G3" s="516"/>
      <c r="H3" s="516"/>
      <c r="I3" s="516"/>
      <c r="J3" s="516"/>
      <c r="K3" s="516"/>
      <c r="L3" s="516"/>
      <c r="M3" s="516"/>
      <c r="N3" s="516"/>
      <c r="O3" s="516"/>
      <c r="P3" s="516"/>
      <c r="Q3" s="516"/>
      <c r="R3" s="516"/>
    </row>
    <row r="4" spans="2:18" ht="20.149999999999999" customHeight="1" x14ac:dyDescent="0.35">
      <c r="B4" s="515"/>
      <c r="C4" s="517"/>
      <c r="D4" s="519"/>
      <c r="E4" s="521"/>
      <c r="F4" s="523"/>
      <c r="G4" s="202" t="s">
        <v>1259</v>
      </c>
      <c r="H4" s="202" t="s">
        <v>1260</v>
      </c>
      <c r="I4" s="202" t="s">
        <v>1259</v>
      </c>
      <c r="J4" s="202" t="s">
        <v>1260</v>
      </c>
      <c r="K4" s="202" t="s">
        <v>1259</v>
      </c>
      <c r="L4" s="202" t="s">
        <v>1260</v>
      </c>
      <c r="M4" s="202" t="s">
        <v>1259</v>
      </c>
      <c r="N4" s="202" t="s">
        <v>1260</v>
      </c>
      <c r="O4" s="202" t="s">
        <v>1259</v>
      </c>
      <c r="P4" s="202" t="s">
        <v>1260</v>
      </c>
      <c r="Q4" s="202" t="s">
        <v>1259</v>
      </c>
      <c r="R4" s="202" t="s">
        <v>1260</v>
      </c>
    </row>
    <row r="5" spans="2:18" ht="25" customHeight="1" x14ac:dyDescent="0.35">
      <c r="B5" s="6" t="s">
        <v>1458</v>
      </c>
      <c r="C5" s="1" t="str">
        <f>VLOOKUP(B5,'Sales Master'!$B$3:$D$3255,2,0)</f>
        <v>Chendol浆咯</v>
      </c>
      <c r="D5" s="129" t="str">
        <f>VLOOKUP(B5,'Sales Master'!$B$3:$E$3255,4,0)</f>
        <v>DO!</v>
      </c>
      <c r="E5" s="1" t="str">
        <f>VLOOKUP(B5,'Sales Master'!$B$3:$F$3255,5,0)</f>
        <v>NW(2.2:0.8) 3 KG/BAG</v>
      </c>
      <c r="F5" s="152">
        <v>7</v>
      </c>
      <c r="G5" s="2"/>
      <c r="H5" s="1"/>
      <c r="I5" s="2"/>
      <c r="J5" s="1"/>
      <c r="K5" s="2"/>
      <c r="L5" s="1"/>
      <c r="M5" s="2"/>
      <c r="N5" s="1"/>
      <c r="O5" s="2"/>
      <c r="P5" s="1"/>
      <c r="Q5" s="2"/>
      <c r="R5" s="1"/>
    </row>
    <row r="6" spans="2:18" ht="25" customHeight="1" x14ac:dyDescent="0.35">
      <c r="B6" s="6" t="s">
        <v>1457</v>
      </c>
      <c r="C6" s="1" t="str">
        <f>VLOOKUP(B6,'Sales Master'!$B$3:$D$3255,2,0)</f>
        <v>Bobo ChaCha Cubes 摩摩喳喳</v>
      </c>
      <c r="D6" s="129" t="str">
        <f>VLOOKUP(B6,'Sales Master'!$B$3:$E$3255,4,0)</f>
        <v>DO!</v>
      </c>
      <c r="E6" s="1" t="str">
        <f>VLOOKUP(B6,'Sales Master'!$B$3:$F$3255,5,0)</f>
        <v>800 GM/BAG</v>
      </c>
      <c r="F6" s="152">
        <v>8</v>
      </c>
      <c r="G6" s="2"/>
      <c r="H6" s="1"/>
      <c r="I6" s="2"/>
      <c r="J6" s="1"/>
      <c r="K6" s="2"/>
      <c r="L6" s="1"/>
      <c r="M6" s="2"/>
      <c r="N6" s="1"/>
      <c r="O6" s="2"/>
      <c r="P6" s="1"/>
      <c r="Q6" s="2"/>
      <c r="R6" s="1"/>
    </row>
    <row r="7" spans="2:18" ht="25" customHeight="1" x14ac:dyDescent="0.35">
      <c r="B7" s="6" t="s">
        <v>1462</v>
      </c>
      <c r="C7" s="1" t="str">
        <f>VLOOKUP(B7,'Sales Master'!$B$3:$D$3255,2,0)</f>
        <v>Pong Thai Hai (Wet) 碰大海</v>
      </c>
      <c r="D7" s="129" t="str">
        <f>VLOOKUP(B7,'Sales Master'!$B$3:$E$3255,4,0)</f>
        <v>DO!</v>
      </c>
      <c r="E7" s="1" t="str">
        <f>VLOOKUP(B7,'Sales Master'!$B$3:$F$3255,5,0)</f>
        <v>1KG</v>
      </c>
      <c r="F7" s="152">
        <v>6</v>
      </c>
      <c r="G7" s="2"/>
      <c r="H7" s="1"/>
      <c r="I7" s="2"/>
      <c r="J7" s="1"/>
      <c r="K7" s="2"/>
      <c r="L7" s="1"/>
      <c r="M7" s="2"/>
      <c r="N7" s="1"/>
      <c r="O7" s="2"/>
      <c r="P7" s="1"/>
      <c r="Q7" s="2"/>
      <c r="R7" s="1"/>
    </row>
    <row r="8" spans="2:18" ht="25" customHeight="1" x14ac:dyDescent="0.35">
      <c r="B8" s="6" t="s">
        <v>1505</v>
      </c>
      <c r="C8" s="1" t="str">
        <f>VLOOKUP(B8,'Sales Master'!$B$3:$D$3255,2,0)</f>
        <v>Agar Powder菜燕粉</v>
      </c>
      <c r="D8" s="129" t="str">
        <f>VLOOKUP(B8,'Sales Master'!$B$3:$E$3255,4,0)</f>
        <v>Rose</v>
      </c>
      <c r="E8" s="1" t="str">
        <f>VLOOKUP(B8,'Sales Master'!$B$3:$F$3255,5,0)</f>
        <v>(12g x 12pkt)/盒</v>
      </c>
      <c r="F8" s="152">
        <v>11</v>
      </c>
      <c r="G8" s="2"/>
      <c r="H8" s="1"/>
      <c r="I8" s="2"/>
      <c r="J8" s="1"/>
      <c r="K8" s="2"/>
      <c r="L8" s="1"/>
      <c r="M8" s="2"/>
      <c r="N8" s="1"/>
      <c r="O8" s="2"/>
      <c r="P8" s="1"/>
      <c r="Q8" s="2"/>
      <c r="R8" s="1"/>
    </row>
    <row r="9" spans="2:18" ht="25" customHeight="1" x14ac:dyDescent="0.35">
      <c r="B9" s="6" t="s">
        <v>1566</v>
      </c>
      <c r="C9" s="1" t="str">
        <f>VLOOKUP(B9,'Sales Master'!$B$3:$D$3255,2,0)</f>
        <v>Chin Chow  仙草</v>
      </c>
      <c r="D9" s="129" t="str">
        <f>VLOOKUP(B9,'Sales Master'!$B$3:$E$3255,4,0)</f>
        <v>TSM</v>
      </c>
      <c r="E9" s="1" t="str">
        <f>VLOOKUP(B9,'Sales Master'!$B$3:$F$3255,5,0)</f>
        <v>5KGS/PKT</v>
      </c>
      <c r="F9" s="152">
        <v>5</v>
      </c>
      <c r="G9" s="2"/>
      <c r="H9" s="1"/>
      <c r="I9" s="2"/>
      <c r="J9" s="1"/>
      <c r="K9" s="2"/>
      <c r="L9" s="1"/>
      <c r="M9" s="2"/>
      <c r="N9" s="1"/>
      <c r="O9" s="2"/>
      <c r="P9" s="1"/>
      <c r="Q9" s="2"/>
      <c r="R9" s="1"/>
    </row>
    <row r="10" spans="2:18" ht="25" customHeight="1" x14ac:dyDescent="0.35">
      <c r="B10" s="6" t="s">
        <v>1615</v>
      </c>
      <c r="C10" s="1" t="str">
        <f>VLOOKUP(B10,'Sales Master'!$B$3:$D$3255,2,0)</f>
        <v>Small Sago 小丸</v>
      </c>
      <c r="D10" s="129" t="str">
        <f>VLOOKUP(B10,'Sales Master'!$B$3:$E$3255,4,0)</f>
        <v>-</v>
      </c>
      <c r="E10" s="1" t="str">
        <f>VLOOKUP(B10,'Sales Master'!$B$3:$F$3255,5,0)</f>
        <v>5 kgs</v>
      </c>
      <c r="F10" s="152">
        <v>10.5</v>
      </c>
      <c r="G10" s="2"/>
      <c r="H10" s="1"/>
      <c r="I10" s="2"/>
      <c r="J10" s="1"/>
      <c r="K10" s="2"/>
      <c r="L10" s="1"/>
      <c r="M10" s="2"/>
      <c r="N10" s="1"/>
      <c r="O10" s="2"/>
      <c r="P10" s="1"/>
      <c r="Q10" s="2"/>
      <c r="R10" s="1"/>
    </row>
    <row r="11" spans="2:18" ht="25" customHeight="1" x14ac:dyDescent="0.35">
      <c r="B11" s="6" t="s">
        <v>1611</v>
      </c>
      <c r="C11" s="1" t="str">
        <f>VLOOKUP(B11,'Sales Master'!$B$3:$D$3255,2,0)</f>
        <v>Big Sago 大丸</v>
      </c>
      <c r="D11" s="129" t="str">
        <f>VLOOKUP(B11,'Sales Master'!$B$3:$E$3255,4,0)</f>
        <v>-</v>
      </c>
      <c r="E11" s="1" t="str">
        <f>VLOOKUP(B11,'Sales Master'!$B$3:$F$3255,5,0)</f>
        <v>5 kgs</v>
      </c>
      <c r="F11" s="152">
        <v>11</v>
      </c>
      <c r="G11" s="2"/>
      <c r="H11" s="1"/>
      <c r="I11" s="2"/>
      <c r="J11" s="1"/>
      <c r="K11" s="2"/>
      <c r="L11" s="1"/>
      <c r="M11" s="2"/>
      <c r="N11" s="1"/>
      <c r="O11" s="2"/>
      <c r="P11" s="1"/>
      <c r="Q11" s="2"/>
      <c r="R11" s="1"/>
    </row>
    <row r="12" spans="2:18" ht="25" customHeight="1" x14ac:dyDescent="0.35">
      <c r="B12" s="6" t="s">
        <v>1612</v>
      </c>
      <c r="C12" s="1" t="str">
        <f>VLOOKUP(B12,'Sales Master'!$B$3:$D$3255,2,0)</f>
        <v>Big Sago 大丸</v>
      </c>
      <c r="D12" s="129" t="str">
        <f>VLOOKUP(B12,'Sales Master'!$B$3:$E$3255,4,0)</f>
        <v>-</v>
      </c>
      <c r="E12" s="1" t="str">
        <f>VLOOKUP(B12,'Sales Master'!$B$3:$F$3255,5,0)</f>
        <v>1 kg</v>
      </c>
      <c r="F12" s="152">
        <v>2.2999999999999998</v>
      </c>
      <c r="G12" s="2"/>
      <c r="H12" s="1"/>
      <c r="I12" s="2"/>
      <c r="J12" s="1"/>
      <c r="K12" s="2"/>
      <c r="L12" s="1"/>
      <c r="M12" s="2"/>
      <c r="N12" s="1"/>
      <c r="O12" s="2"/>
      <c r="P12" s="1"/>
      <c r="Q12" s="2"/>
      <c r="R12" s="1"/>
    </row>
    <row r="13" spans="2:18" ht="25" customHeight="1" x14ac:dyDescent="0.35">
      <c r="B13" s="6" t="s">
        <v>1618</v>
      </c>
      <c r="C13" s="1" t="str">
        <f>VLOOKUP(B13,'Sales Master'!$B$3:$D$3255,2,0)</f>
        <v>Dried Longan 龙眼干</v>
      </c>
      <c r="D13" s="129" t="s">
        <v>1232</v>
      </c>
      <c r="E13" s="1" t="str">
        <f>VLOOKUP(B13,'Sales Master'!$B$3:$F$3255,5,0)</f>
        <v>1 kg</v>
      </c>
      <c r="F13" s="152">
        <v>12</v>
      </c>
      <c r="G13" s="2"/>
      <c r="H13" s="1"/>
      <c r="I13" s="2"/>
      <c r="J13" s="1"/>
      <c r="K13" s="2"/>
      <c r="L13" s="1"/>
      <c r="M13" s="2"/>
      <c r="N13" s="1"/>
      <c r="O13" s="2"/>
      <c r="P13" s="1"/>
      <c r="Q13" s="2"/>
      <c r="R13" s="1"/>
    </row>
    <row r="14" spans="2:18" ht="25" customHeight="1" x14ac:dyDescent="0.35">
      <c r="B14" s="6" t="s">
        <v>1627</v>
      </c>
      <c r="C14" s="1" t="str">
        <f>VLOOKUP(B14,'Sales Master'!$B$3:$D$3255,2,0)</f>
        <v>Red Date 红枣 (Seedless)</v>
      </c>
      <c r="D14" s="129" t="str">
        <f>VLOOKUP(B14,'Sales Master'!$B$3:$E$3255,4,0)</f>
        <v>-</v>
      </c>
      <c r="E14" s="1" t="str">
        <f>VLOOKUP(B14,'Sales Master'!$B$3:$F$3255,5,0)</f>
        <v>1 kg</v>
      </c>
      <c r="F14" s="152">
        <v>5.5</v>
      </c>
      <c r="G14" s="2"/>
      <c r="H14" s="1"/>
      <c r="I14" s="2"/>
      <c r="J14" s="1"/>
      <c r="K14" s="2"/>
      <c r="L14" s="1"/>
      <c r="M14" s="2"/>
      <c r="N14" s="1"/>
      <c r="O14" s="2"/>
      <c r="P14" s="1"/>
      <c r="Q14" s="2"/>
      <c r="R14" s="1"/>
    </row>
    <row r="15" spans="2:18" ht="25" customHeight="1" x14ac:dyDescent="0.35">
      <c r="B15" s="6" t="s">
        <v>1741</v>
      </c>
      <c r="C15" s="1" t="str">
        <f>VLOOKUP(B15,'Sales Master'!$B$3:$D$3255,2,0)</f>
        <v>Coconut Milk 椰浆</v>
      </c>
      <c r="D15" s="129" t="str">
        <f>VLOOKUP(B15,'Sales Master'!$B$3:$E$3255,4,0)</f>
        <v>Sin-ind</v>
      </c>
      <c r="E15" s="1" t="str">
        <f>VLOOKUP(B15,'Sales Master'!$B$3:$F$3255,5,0)</f>
        <v>(1L x 12bag)/箱</v>
      </c>
      <c r="F15" s="152">
        <v>38</v>
      </c>
      <c r="G15" s="2"/>
      <c r="H15" s="1"/>
      <c r="I15" s="2"/>
      <c r="J15" s="1"/>
      <c r="K15" s="2"/>
      <c r="L15" s="1"/>
      <c r="M15" s="2"/>
      <c r="N15" s="1"/>
      <c r="O15" s="2"/>
      <c r="P15" s="1"/>
      <c r="Q15" s="2"/>
      <c r="R15" s="1"/>
    </row>
    <row r="16" spans="2:18" ht="25" customHeight="1" x14ac:dyDescent="0.35">
      <c r="B16" s="6" t="s">
        <v>1715</v>
      </c>
      <c r="C16" s="1" t="str">
        <f>VLOOKUP(B16,'Sales Master'!$B$3:$D$3255,2,0)</f>
        <v>Carnation Milk三花淡奶水</v>
      </c>
      <c r="D16" s="129" t="str">
        <f>VLOOKUP(B16,'Sales Master'!$B$3:$E$3255,4,0)</f>
        <v>Threeflower</v>
      </c>
      <c r="E16" s="1" t="str">
        <f>VLOOKUP(B16,'Sales Master'!$B$3:$F$3255,5,0)</f>
        <v>405 gm x48 can/Ctn</v>
      </c>
      <c r="F16" s="152">
        <v>55</v>
      </c>
      <c r="G16" s="2"/>
      <c r="H16" s="1"/>
      <c r="I16" s="2"/>
      <c r="J16" s="1"/>
      <c r="K16" s="2"/>
      <c r="L16" s="1"/>
      <c r="M16" s="2"/>
      <c r="N16" s="1"/>
      <c r="O16" s="2"/>
      <c r="P16" s="1"/>
      <c r="Q16" s="2"/>
      <c r="R16" s="1"/>
    </row>
    <row r="17" spans="2:18" ht="25" customHeight="1" x14ac:dyDescent="0.35">
      <c r="B17" s="6" t="s">
        <v>1696</v>
      </c>
      <c r="C17" s="1" t="str">
        <f>VLOOKUP(B17,'Sales Master'!$B$3:$D$3255,2,0)</f>
        <v>Longan in Syrup龙眼</v>
      </c>
      <c r="D17" s="129" t="str">
        <f>VLOOKUP(B17,'Sales Master'!$B$3:$E$3255,4,0)</f>
        <v>YiFong</v>
      </c>
      <c r="E17" s="1" t="str">
        <f>VLOOKUP(B17,'Sales Master'!$B$3:$F$3255,5,0)</f>
        <v>(565gm x 12)/箱</v>
      </c>
      <c r="F17" s="152">
        <v>23</v>
      </c>
      <c r="G17" s="2"/>
      <c r="H17" s="1"/>
      <c r="I17" s="2"/>
      <c r="J17" s="1"/>
      <c r="K17" s="2"/>
      <c r="L17" s="1"/>
      <c r="M17" s="2"/>
      <c r="N17" s="1"/>
      <c r="O17" s="2"/>
      <c r="P17" s="1"/>
      <c r="Q17" s="2"/>
      <c r="R17" s="1"/>
    </row>
    <row r="18" spans="2:18" ht="25" customHeight="1" x14ac:dyDescent="0.35">
      <c r="B18" s="6" t="s">
        <v>1702</v>
      </c>
      <c r="C18" s="1" t="str">
        <f>VLOOKUP(B18,'Sales Master'!$B$3:$D$3255,2,0)</f>
        <v>Lychee in Syrup荔枝</v>
      </c>
      <c r="D18" s="129" t="str">
        <f>VLOOKUP(B18,'Sales Master'!$B$3:$E$3255,4,0)</f>
        <v>MiLi</v>
      </c>
      <c r="E18" s="1" t="str">
        <f>VLOOKUP(B18,'Sales Master'!$B$3:$F$3255,5,0)</f>
        <v>12can/箱</v>
      </c>
      <c r="F18" s="152">
        <v>24</v>
      </c>
      <c r="G18" s="2"/>
      <c r="H18" s="1"/>
      <c r="I18" s="2"/>
      <c r="J18" s="1"/>
      <c r="K18" s="2"/>
      <c r="L18" s="1"/>
      <c r="M18" s="2"/>
      <c r="N18" s="1"/>
      <c r="O18" s="2"/>
      <c r="P18" s="1"/>
      <c r="Q18" s="2"/>
      <c r="R18" s="1"/>
    </row>
    <row r="19" spans="2:18" ht="25" customHeight="1" x14ac:dyDescent="0.35">
      <c r="B19" s="6" t="s">
        <v>1771</v>
      </c>
      <c r="C19" s="1" t="str">
        <f>VLOOKUP(B19,'Sales Master'!$B$3:$D$3255,2,0)</f>
        <v>Fine Sugar 白糖</v>
      </c>
      <c r="D19" s="129" t="str">
        <f>VLOOKUP(B19,'Sales Master'!$B$3:$E$3255,4,0)</f>
        <v>MITRPHOL</v>
      </c>
      <c r="E19" s="1" t="str">
        <f>VLOOKUP(B19,'Sales Master'!$B$3:$F$3255,5,0)</f>
        <v>25 KGS</v>
      </c>
      <c r="F19" s="152">
        <v>29</v>
      </c>
      <c r="G19" s="2"/>
      <c r="H19" s="1"/>
      <c r="I19" s="2"/>
      <c r="J19" s="1"/>
      <c r="K19" s="2"/>
      <c r="L19" s="1"/>
      <c r="M19" s="2"/>
      <c r="N19" s="1"/>
      <c r="O19" s="2"/>
      <c r="P19" s="1"/>
      <c r="Q19" s="2"/>
      <c r="R19" s="1"/>
    </row>
    <row r="20" spans="2:18" ht="25" customHeight="1" x14ac:dyDescent="0.35">
      <c r="B20" s="6" t="s">
        <v>1777</v>
      </c>
      <c r="C20" s="1" t="str">
        <f>VLOOKUP(B20,'Sales Master'!$B$3:$D$3255,2,0)</f>
        <v>Coconut Sugar椰糖</v>
      </c>
      <c r="D20" s="129" t="str">
        <f>VLOOKUP(B20,'Sales Master'!$B$3:$E$3255,4,0)</f>
        <v>2P</v>
      </c>
      <c r="E20" s="1" t="str">
        <f>VLOOKUP(B20,'Sales Master'!$B$3:$F$3255,5,0)</f>
        <v>500 GM</v>
      </c>
      <c r="F20" s="152">
        <v>2.2000000000000002</v>
      </c>
      <c r="G20" s="2"/>
      <c r="H20" s="1"/>
      <c r="I20" s="2"/>
      <c r="J20" s="1"/>
      <c r="K20" s="2"/>
      <c r="L20" s="1"/>
      <c r="M20" s="2"/>
      <c r="N20" s="1"/>
      <c r="O20" s="2"/>
      <c r="P20" s="1"/>
      <c r="Q20" s="2"/>
      <c r="R20" s="1"/>
    </row>
    <row r="21" spans="2:18" ht="25" customHeight="1" x14ac:dyDescent="0.35">
      <c r="B21" s="6" t="s">
        <v>1789</v>
      </c>
      <c r="C21" s="1" t="str">
        <f>VLOOKUP(B21,'Sales Master'!$B$3:$D$3255,2,0)</f>
        <v>Sweet Potato 番薯</v>
      </c>
      <c r="D21" s="129" t="str">
        <f>VLOOKUP(B21,'Sales Master'!$B$3:$E$3255,4,0)</f>
        <v>Malaysia</v>
      </c>
      <c r="E21" s="1" t="str">
        <f>VLOOKUP(B21,'Sales Master'!$B$3:$F$3255,5,0)</f>
        <v>1 KG</v>
      </c>
      <c r="F21" s="152">
        <v>2.5</v>
      </c>
      <c r="G21" s="2"/>
      <c r="H21" s="1"/>
      <c r="I21" s="2"/>
      <c r="J21" s="1"/>
      <c r="K21" s="2"/>
      <c r="L21" s="1"/>
      <c r="M21" s="2"/>
      <c r="N21" s="1"/>
      <c r="O21" s="2"/>
      <c r="P21" s="1"/>
      <c r="Q21" s="2"/>
      <c r="R21" s="1"/>
    </row>
    <row r="22" spans="2:18" ht="25" customHeight="1" x14ac:dyDescent="0.35">
      <c r="B22" s="6" t="s">
        <v>1791</v>
      </c>
      <c r="C22" s="1" t="str">
        <f>VLOOKUP(B22,'Sales Master'!$B$3:$D$3255,2,0)</f>
        <v>Yam 芋头</v>
      </c>
      <c r="D22" s="129" t="str">
        <f>VLOOKUP(B22,'Sales Master'!$B$3:$E$3255,4,0)</f>
        <v>Thailand</v>
      </c>
      <c r="E22" s="1" t="str">
        <f>VLOOKUP(B22,'Sales Master'!$B$3:$F$3255,5,0)</f>
        <v>1 KG</v>
      </c>
      <c r="F22" s="152">
        <v>4.8</v>
      </c>
      <c r="G22" s="2"/>
      <c r="H22" s="1"/>
      <c r="I22" s="2"/>
      <c r="J22" s="1"/>
      <c r="K22" s="2"/>
      <c r="L22" s="1"/>
      <c r="M22" s="2"/>
      <c r="N22" s="1"/>
      <c r="O22" s="2"/>
      <c r="P22" s="1"/>
      <c r="Q22" s="2"/>
      <c r="R22" s="1"/>
    </row>
    <row r="23" spans="2:18" ht="25" customHeight="1" x14ac:dyDescent="0.35">
      <c r="B23" s="6" t="s">
        <v>1794</v>
      </c>
      <c r="C23" s="1" t="str">
        <f>VLOOKUP(B23,'Sales Master'!$B$3:$D$3255,2,0)</f>
        <v>Pandan Leaf 班兰叶</v>
      </c>
      <c r="D23" s="129" t="str">
        <f>VLOOKUP(B23,'Sales Master'!$B$3:$E$3255,4,0)</f>
        <v>-</v>
      </c>
      <c r="E23" s="1" t="str">
        <f>VLOOKUP(B23,'Sales Master'!$B$3:$F$3255,5,0)</f>
        <v>1 kg</v>
      </c>
      <c r="F23" s="152">
        <v>1.8</v>
      </c>
      <c r="G23" s="2"/>
      <c r="H23" s="1"/>
      <c r="I23" s="2"/>
      <c r="J23" s="1"/>
      <c r="K23" s="2"/>
      <c r="L23" s="1"/>
      <c r="M23" s="2"/>
      <c r="N23" s="1"/>
      <c r="O23" s="2"/>
      <c r="P23" s="1"/>
      <c r="Q23" s="2"/>
      <c r="R23" s="1"/>
    </row>
    <row r="24" spans="2:18" ht="25" customHeight="1" x14ac:dyDescent="0.35">
      <c r="B24" s="6"/>
      <c r="C24" s="1"/>
      <c r="D24" s="129"/>
      <c r="E24" s="1"/>
      <c r="F24" s="152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</row>
    <row r="25" spans="2:18" ht="25" customHeight="1" x14ac:dyDescent="0.35">
      <c r="B25" s="6"/>
      <c r="C25" s="1"/>
      <c r="D25" s="129"/>
      <c r="E25" s="1"/>
      <c r="F25" s="152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</row>
    <row r="26" spans="2:18" ht="25" customHeight="1" x14ac:dyDescent="0.35">
      <c r="B26" s="6"/>
      <c r="C26" s="1"/>
      <c r="D26" s="129"/>
      <c r="E26" s="1"/>
      <c r="F26" s="152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</row>
    <row r="27" spans="2:18" ht="25" customHeight="1" x14ac:dyDescent="0.35"/>
    <row r="28" spans="2:18" ht="25" customHeight="1" x14ac:dyDescent="0.35"/>
    <row r="29" spans="2:18" ht="25" customHeight="1" x14ac:dyDescent="0.35"/>
    <row r="30" spans="2:18" ht="25" customHeight="1" x14ac:dyDescent="0.35"/>
    <row r="31" spans="2:18" ht="25" customHeight="1" x14ac:dyDescent="0.35"/>
    <row r="32" spans="2:18" ht="25" customHeight="1" x14ac:dyDescent="0.35"/>
  </sheetData>
  <mergeCells count="11">
    <mergeCell ref="Q3:R3"/>
    <mergeCell ref="B3:B4"/>
    <mergeCell ref="C3:C4"/>
    <mergeCell ref="D3:D4"/>
    <mergeCell ref="E3:E4"/>
    <mergeCell ref="F3:F4"/>
    <mergeCell ref="G3:H3"/>
    <mergeCell ref="I3:J3"/>
    <mergeCell ref="K3:L3"/>
    <mergeCell ref="M3:N3"/>
    <mergeCell ref="O3:P3"/>
  </mergeCells>
  <pageMargins left="0.70866141732283472" right="0.70866141732283472" top="0.74803149606299213" bottom="0.74803149606299213" header="0.31496062992125984" footer="0.31496062992125984"/>
  <pageSetup scale="71" fitToHeight="0" orientation="landscape" horizontalDpi="300" verticalDpi="300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814840-35B3-4017-B7BC-C612EDEAE749}">
  <sheetPr codeName="Sheet153">
    <tabColor rgb="FFFFFF00"/>
    <pageSetUpPr fitToPage="1"/>
  </sheetPr>
  <dimension ref="B1:O42"/>
  <sheetViews>
    <sheetView topLeftCell="B1" workbookViewId="0">
      <selection activeCell="B1" sqref="B1:L42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4.54296875" style="24" customWidth="1"/>
    <col min="7" max="7" width="8.54296875" style="24" customWidth="1"/>
    <col min="8" max="8" width="12.54296875" style="24" customWidth="1"/>
    <col min="9" max="9" width="4.54296875" style="24" customWidth="1"/>
    <col min="10" max="10" width="15.54296875" style="24" customWidth="1"/>
    <col min="11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795</v>
      </c>
      <c r="J10" s="29" t="s">
        <v>29</v>
      </c>
      <c r="K10" s="452">
        <v>202112469</v>
      </c>
      <c r="L10" s="453"/>
    </row>
    <row r="11" spans="2:12" ht="20.149999999999999" customHeight="1" x14ac:dyDescent="0.45">
      <c r="B11" s="454" t="s">
        <v>2022</v>
      </c>
      <c r="C11" s="455"/>
      <c r="D11" s="456"/>
      <c r="E11" s="30"/>
      <c r="F11" s="457" t="str">
        <f>VLOOKUP(H10,'Delivery Location'!A$4:N$416,2,0)</f>
        <v xml:space="preserve">Koufu - WoodGrove                                30, Woodlands Ave 1 #01-11 Singapore 739065     (Drink)                               </v>
      </c>
      <c r="G11" s="458"/>
      <c r="H11" s="459"/>
      <c r="J11" s="31" t="s">
        <v>11</v>
      </c>
      <c r="K11" s="551" t="s">
        <v>2041</v>
      </c>
      <c r="L11" s="472"/>
    </row>
    <row r="12" spans="2:12" ht="20.149999999999999" customHeight="1" x14ac:dyDescent="0.45">
      <c r="B12" s="468" t="s">
        <v>2139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36</v>
      </c>
      <c r="L12" s="472"/>
    </row>
    <row r="13" spans="2:12" ht="20.149999999999999" customHeight="1" x14ac:dyDescent="0.45">
      <c r="B13" s="468" t="s">
        <v>2024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14</v>
      </c>
      <c r="L13" s="472"/>
    </row>
    <row r="14" spans="2:12" ht="20.149999999999999" customHeight="1" x14ac:dyDescent="0.45">
      <c r="B14" s="468" t="s">
        <v>2025</v>
      </c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463" t="s">
        <v>2026</v>
      </c>
      <c r="C15" s="464"/>
      <c r="D15" s="465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15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8" t="s">
        <v>622</v>
      </c>
      <c r="I17" s="478" t="s">
        <v>621</v>
      </c>
      <c r="J17" s="479"/>
      <c r="K17" s="9" t="s">
        <v>6</v>
      </c>
      <c r="L17" s="10" t="s">
        <v>7</v>
      </c>
      <c r="M17" s="33"/>
      <c r="N17" s="33"/>
      <c r="O17" s="33"/>
    </row>
    <row r="18" spans="2:15" ht="20.149999999999999" customHeight="1" x14ac:dyDescent="0.45">
      <c r="B18" s="34"/>
      <c r="C18" s="22" t="s">
        <v>1695</v>
      </c>
      <c r="D18" s="508" t="str">
        <f>VLOOKUP(C18,'Sales Master'!B$3:D$499,2,)</f>
        <v>Aloe Vera芦荟 10mm</v>
      </c>
      <c r="E18" s="508"/>
      <c r="F18" s="508"/>
      <c r="G18" s="90">
        <v>6</v>
      </c>
      <c r="H18" s="68" t="str">
        <f>VLOOKUP(C18,'Sales Master'!$B$3:$F$3247,5,0)</f>
        <v>1 Can X A10</v>
      </c>
      <c r="I18" s="481" t="str">
        <f>VLOOKUP(C18,'Sales Master'!$B$3:$E$3247,4,0)</f>
        <v>Chefs</v>
      </c>
      <c r="J18" s="481"/>
      <c r="K18" s="35">
        <f>VLOOKUP(C18,'Sales Master'!B$3:J$499,9,0)</f>
        <v>10</v>
      </c>
      <c r="L18" s="77">
        <f>K18*G18</f>
        <v>60</v>
      </c>
      <c r="M18" s="78"/>
    </row>
    <row r="19" spans="2:15" ht="20.149999999999999" customHeight="1" x14ac:dyDescent="0.45">
      <c r="B19" s="34"/>
      <c r="C19" s="22" t="s">
        <v>1608</v>
      </c>
      <c r="D19" s="508" t="str">
        <f>VLOOKUP(C19,'Sales Master'!B$3:D$499,2,)</f>
        <v>Pearl Barley 薏米</v>
      </c>
      <c r="E19" s="508"/>
      <c r="F19" s="508"/>
      <c r="G19" s="90">
        <v>1</v>
      </c>
      <c r="H19" s="68" t="str">
        <f>VLOOKUP(C19,'Sales Master'!$B$3:$F$3247,5,0)</f>
        <v>5 kgs</v>
      </c>
      <c r="I19" s="481" t="str">
        <f>VLOOKUP(C19,'Sales Master'!$B$3:$E$3247,4,0)</f>
        <v>-</v>
      </c>
      <c r="J19" s="481"/>
      <c r="K19" s="35">
        <f>VLOOKUP(C19,'Sales Master'!B$3:J$499,9,0)</f>
        <v>10</v>
      </c>
      <c r="L19" s="77">
        <f>K19*G19</f>
        <v>10</v>
      </c>
      <c r="M19" s="78"/>
    </row>
    <row r="20" spans="2:15" ht="20.149999999999999" customHeight="1" x14ac:dyDescent="0.45">
      <c r="B20" s="34"/>
      <c r="C20" s="22"/>
      <c r="D20" s="508"/>
      <c r="E20" s="508"/>
      <c r="F20" s="508"/>
      <c r="G20" s="22"/>
      <c r="H20" s="68"/>
      <c r="I20" s="450"/>
      <c r="J20" s="450"/>
      <c r="K20" s="35"/>
      <c r="L20" s="77"/>
      <c r="M20" s="78"/>
    </row>
    <row r="21" spans="2:15" ht="20.149999999999999" customHeight="1" x14ac:dyDescent="0.45">
      <c r="B21" s="34"/>
      <c r="C21" s="22"/>
      <c r="D21" s="508"/>
      <c r="E21" s="508"/>
      <c r="F21" s="508"/>
      <c r="G21" s="22"/>
      <c r="H21" s="68"/>
      <c r="I21" s="450"/>
      <c r="J21" s="450"/>
      <c r="K21" s="35"/>
      <c r="L21" s="77"/>
      <c r="M21" s="78"/>
    </row>
    <row r="22" spans="2:15" ht="20.149999999999999" customHeight="1" x14ac:dyDescent="0.45">
      <c r="B22" s="34"/>
      <c r="C22" s="22"/>
      <c r="D22" s="508"/>
      <c r="E22" s="508"/>
      <c r="F22" s="508"/>
      <c r="G22" s="22"/>
      <c r="H22" s="68"/>
      <c r="I22" s="450"/>
      <c r="J22" s="450"/>
      <c r="K22" s="35"/>
      <c r="L22" s="77"/>
      <c r="M22" s="78"/>
    </row>
    <row r="23" spans="2:15" ht="20.149999999999999" customHeight="1" x14ac:dyDescent="0.45">
      <c r="B23" s="34"/>
      <c r="C23" s="22"/>
      <c r="D23" s="508"/>
      <c r="E23" s="508"/>
      <c r="F23" s="508"/>
      <c r="G23" s="22"/>
      <c r="H23" s="68"/>
      <c r="I23" s="450"/>
      <c r="J23" s="450"/>
      <c r="K23" s="35"/>
      <c r="L23" s="77"/>
      <c r="M23" s="78"/>
    </row>
    <row r="24" spans="2:15" ht="20.149999999999999" customHeight="1" x14ac:dyDescent="0.45">
      <c r="B24" s="34"/>
      <c r="C24" s="22"/>
      <c r="D24" s="508"/>
      <c r="E24" s="508"/>
      <c r="F24" s="508"/>
      <c r="G24" s="22"/>
      <c r="H24" s="68"/>
      <c r="I24" s="450"/>
      <c r="J24" s="450"/>
      <c r="K24" s="35"/>
      <c r="L24" s="77"/>
      <c r="M24" s="78"/>
    </row>
    <row r="25" spans="2:15" ht="20.149999999999999" customHeight="1" x14ac:dyDescent="0.45">
      <c r="B25" s="34"/>
      <c r="C25" s="22"/>
      <c r="D25" s="508"/>
      <c r="E25" s="508"/>
      <c r="F25" s="508"/>
      <c r="G25" s="22"/>
      <c r="H25" s="68"/>
      <c r="I25" s="450"/>
      <c r="J25" s="450"/>
      <c r="K25" s="35"/>
      <c r="L25" s="77"/>
      <c r="M25" s="78"/>
    </row>
    <row r="26" spans="2:15" ht="20.149999999999999" customHeight="1" x14ac:dyDescent="0.45">
      <c r="B26" s="34"/>
      <c r="C26" s="22"/>
      <c r="D26" s="508"/>
      <c r="E26" s="508"/>
      <c r="F26" s="508"/>
      <c r="G26" s="22"/>
      <c r="H26" s="68"/>
      <c r="I26" s="450"/>
      <c r="J26" s="450"/>
      <c r="K26" s="35"/>
      <c r="L26" s="77"/>
      <c r="M26" s="78"/>
    </row>
    <row r="27" spans="2:15" ht="20.149999999999999" customHeight="1" x14ac:dyDescent="0.45">
      <c r="B27" s="34"/>
      <c r="C27" s="22"/>
      <c r="D27" s="508"/>
      <c r="E27" s="508"/>
      <c r="F27" s="508"/>
      <c r="G27" s="22"/>
      <c r="H27" s="68"/>
      <c r="I27" s="450"/>
      <c r="J27" s="450"/>
      <c r="K27" s="35"/>
      <c r="L27" s="36"/>
    </row>
    <row r="28" spans="2:15" ht="20.149999999999999" customHeight="1" thickBot="1" x14ac:dyDescent="0.5">
      <c r="B28" s="37"/>
      <c r="C28" s="38"/>
      <c r="D28" s="509"/>
      <c r="E28" s="509"/>
      <c r="F28" s="509"/>
      <c r="G28" s="38"/>
      <c r="H28" s="69"/>
      <c r="I28" s="451"/>
      <c r="J28" s="451"/>
      <c r="K28" s="39"/>
      <c r="L28" s="40"/>
    </row>
    <row r="29" spans="2:15" ht="20.149999999999999" customHeight="1" thickBot="1" x14ac:dyDescent="0.5">
      <c r="B29" s="41"/>
      <c r="L29" s="42"/>
    </row>
    <row r="30" spans="2:15" ht="20.149999999999999" customHeight="1" x14ac:dyDescent="0.45">
      <c r="B30" s="11" t="s">
        <v>18</v>
      </c>
      <c r="C30" s="7"/>
      <c r="D30" s="7"/>
      <c r="E30" s="7"/>
      <c r="F30" s="7"/>
      <c r="G30" s="7"/>
      <c r="H30" s="7"/>
      <c r="I30" s="7"/>
      <c r="J30" s="510" t="s">
        <v>15</v>
      </c>
      <c r="K30" s="511"/>
      <c r="L30" s="43">
        <f>SUM(L17:L28)</f>
        <v>70</v>
      </c>
      <c r="M30" s="76">
        <f>166+26</f>
        <v>192</v>
      </c>
    </row>
    <row r="31" spans="2:15" ht="20.149999999999999" customHeight="1" x14ac:dyDescent="0.45">
      <c r="B31" s="11" t="s">
        <v>19</v>
      </c>
      <c r="C31" s="7"/>
      <c r="D31" s="7"/>
      <c r="E31" s="7"/>
      <c r="F31" s="7"/>
      <c r="G31" s="7"/>
      <c r="H31" s="7"/>
      <c r="I31" s="7"/>
      <c r="J31" s="44" t="s">
        <v>22</v>
      </c>
      <c r="K31" s="45"/>
      <c r="L31" s="46">
        <f>L30*K31</f>
        <v>0</v>
      </c>
    </row>
    <row r="32" spans="2:15" ht="20.149999999999999" customHeight="1" x14ac:dyDescent="0.45">
      <c r="B32" s="11" t="s">
        <v>20</v>
      </c>
      <c r="C32" s="7"/>
      <c r="D32" s="7"/>
      <c r="E32" s="7"/>
      <c r="F32" s="7"/>
      <c r="G32" s="7"/>
      <c r="H32" s="7"/>
      <c r="I32" s="7"/>
      <c r="J32" s="486" t="s">
        <v>21</v>
      </c>
      <c r="K32" s="487"/>
      <c r="L32" s="46">
        <f>L30-L31</f>
        <v>70</v>
      </c>
    </row>
    <row r="33" spans="2:12" ht="20.149999999999999" customHeight="1" x14ac:dyDescent="0.45">
      <c r="B33" s="11" t="s">
        <v>24</v>
      </c>
      <c r="C33" s="7"/>
      <c r="D33" s="7"/>
      <c r="E33" s="7"/>
      <c r="F33" s="7"/>
      <c r="G33" s="7"/>
      <c r="H33" s="7"/>
      <c r="I33" s="7"/>
      <c r="J33" s="150" t="s">
        <v>17</v>
      </c>
      <c r="K33" s="151">
        <v>7.0000000000000007E-2</v>
      </c>
      <c r="L33" s="47">
        <f>L32*K33</f>
        <v>4.9000000000000004</v>
      </c>
    </row>
    <row r="34" spans="2:12" ht="20.149999999999999" customHeight="1" thickBot="1" x14ac:dyDescent="0.5">
      <c r="B34" s="11" t="s">
        <v>25</v>
      </c>
      <c r="C34" s="7"/>
      <c r="D34" s="7"/>
      <c r="E34" s="7"/>
      <c r="F34" s="7"/>
      <c r="G34" s="7"/>
      <c r="H34" s="7"/>
      <c r="I34" s="7"/>
      <c r="J34" s="488" t="s">
        <v>23</v>
      </c>
      <c r="K34" s="489"/>
      <c r="L34" s="48">
        <f>L32+L33</f>
        <v>74.900000000000006</v>
      </c>
    </row>
    <row r="35" spans="2:12" ht="20.149999999999999" customHeight="1" x14ac:dyDescent="0.45">
      <c r="B35" s="11" t="s">
        <v>26</v>
      </c>
      <c r="C35" s="7"/>
      <c r="D35" s="7"/>
      <c r="E35" s="7"/>
      <c r="F35" s="7"/>
      <c r="G35" s="7"/>
      <c r="H35" s="7"/>
      <c r="I35" s="7"/>
      <c r="L35" s="42"/>
    </row>
    <row r="36" spans="2:12" ht="20.149999999999999" customHeight="1" x14ac:dyDescent="0.45">
      <c r="B36" s="41"/>
      <c r="L36" s="42"/>
    </row>
    <row r="37" spans="2:12" ht="20.149999999999999" customHeight="1" x14ac:dyDescent="0.45">
      <c r="B37" s="41"/>
      <c r="L37" s="42"/>
    </row>
    <row r="38" spans="2:12" ht="20.149999999999999" customHeight="1" x14ac:dyDescent="0.45">
      <c r="B38" s="41"/>
      <c r="L38" s="42"/>
    </row>
    <row r="39" spans="2:12" ht="20.149999999999999" customHeight="1" x14ac:dyDescent="0.45">
      <c r="B39" s="41"/>
      <c r="L39" s="42"/>
    </row>
    <row r="40" spans="2:12" ht="20.149999999999999" customHeight="1" x14ac:dyDescent="0.45">
      <c r="B40" s="49"/>
      <c r="C40" s="50"/>
      <c r="D40" s="50"/>
      <c r="J40" s="50"/>
      <c r="K40" s="50"/>
      <c r="L40" s="51"/>
    </row>
    <row r="41" spans="2:12" ht="20.149999999999999" customHeight="1" x14ac:dyDescent="0.45">
      <c r="B41" s="41" t="s">
        <v>27</v>
      </c>
      <c r="J41" s="24" t="s">
        <v>28</v>
      </c>
      <c r="L41" s="42"/>
    </row>
    <row r="42" spans="2:12" ht="19" thickBot="1" x14ac:dyDescent="0.5">
      <c r="B42" s="52"/>
      <c r="C42" s="53"/>
      <c r="D42" s="53"/>
      <c r="E42" s="53"/>
      <c r="F42" s="53"/>
      <c r="G42" s="53"/>
      <c r="H42" s="53"/>
      <c r="I42" s="53"/>
      <c r="J42" s="53"/>
      <c r="K42" s="53"/>
      <c r="L42" s="54"/>
    </row>
  </sheetData>
  <mergeCells count="40">
    <mergeCell ref="B1:L8"/>
    <mergeCell ref="J34:K34"/>
    <mergeCell ref="D26:F26"/>
    <mergeCell ref="I26:J26"/>
    <mergeCell ref="D27:F27"/>
    <mergeCell ref="I27:J27"/>
    <mergeCell ref="D28:F28"/>
    <mergeCell ref="I28:J28"/>
    <mergeCell ref="D25:F25"/>
    <mergeCell ref="I25:J25"/>
    <mergeCell ref="J30:K30"/>
    <mergeCell ref="J32:K32"/>
    <mergeCell ref="D22:F22"/>
    <mergeCell ref="I22:J22"/>
    <mergeCell ref="D23:F23"/>
    <mergeCell ref="I23:J23"/>
    <mergeCell ref="D24:F24"/>
    <mergeCell ref="I24:J24"/>
    <mergeCell ref="D20:F20"/>
    <mergeCell ref="I20:J20"/>
    <mergeCell ref="D21:F21"/>
    <mergeCell ref="I21:J21"/>
    <mergeCell ref="D19:F19"/>
    <mergeCell ref="I19:J19"/>
    <mergeCell ref="D17:F17"/>
    <mergeCell ref="I17:J17"/>
    <mergeCell ref="D18:F18"/>
    <mergeCell ref="I18:J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</mergeCells>
  <pageMargins left="0.70866141732283505" right="0.31496062992126" top="0.59055118110236204" bottom="0" header="0.31496062992126" footer="0.31496062992126"/>
  <pageSetup paperSize="9" scale="78" orientation="portrait" horizontalDpi="300" verticalDpi="300" r:id="rId1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FB1E99-1FBD-47FA-BCB8-B8ABCD6E5DBC}">
  <sheetPr codeName="Sheet155">
    <tabColor rgb="FF0070C0"/>
    <pageSetUpPr fitToPage="1"/>
  </sheetPr>
  <dimension ref="B1:O52"/>
  <sheetViews>
    <sheetView workbookViewId="0">
      <selection activeCell="B13" sqref="B13:D13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4.54296875" style="24" customWidth="1"/>
    <col min="7" max="7" width="8.54296875" style="24" customWidth="1"/>
    <col min="8" max="8" width="12.54296875" style="24" customWidth="1"/>
    <col min="9" max="9" width="4.54296875" style="24" customWidth="1"/>
    <col min="10" max="10" width="15.54296875" style="24" customWidth="1"/>
    <col min="11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10" spans="2:12" ht="19" thickBot="1" x14ac:dyDescent="0.5">
      <c r="B10" s="23"/>
    </row>
    <row r="11" spans="2:12" ht="18" customHeight="1" thickTop="1" thickBot="1" x14ac:dyDescent="0.5">
      <c r="B11" s="25" t="s">
        <v>9</v>
      </c>
      <c r="C11" s="25"/>
      <c r="D11" s="26"/>
      <c r="E11" s="26"/>
      <c r="F11" s="27" t="s">
        <v>10</v>
      </c>
      <c r="G11" s="28"/>
      <c r="H11" s="28" t="s">
        <v>1017</v>
      </c>
      <c r="J11" s="29" t="s">
        <v>29</v>
      </c>
      <c r="K11" s="452">
        <v>202004071</v>
      </c>
      <c r="L11" s="453"/>
    </row>
    <row r="12" spans="2:12" ht="20.149999999999999" customHeight="1" x14ac:dyDescent="0.45">
      <c r="B12" s="454" t="s">
        <v>2022</v>
      </c>
      <c r="C12" s="455"/>
      <c r="D12" s="456"/>
      <c r="E12" s="30"/>
      <c r="F12" s="457" t="str">
        <f>VLOOKUP(H11,'Delivery Location'!A$4:N$416,2,0)</f>
        <v>777 Jurong Gateway                                 50 Jurong Gatway Road.            #05-02 Singapore                           (Dessert Counter)</v>
      </c>
      <c r="G12" s="458"/>
      <c r="H12" s="459"/>
      <c r="J12" s="31" t="s">
        <v>11</v>
      </c>
      <c r="K12" s="551">
        <v>43894</v>
      </c>
      <c r="L12" s="472"/>
    </row>
    <row r="13" spans="2:12" ht="20.149999999999999" customHeight="1" x14ac:dyDescent="0.45">
      <c r="B13" s="468" t="s">
        <v>2139</v>
      </c>
      <c r="C13" s="469"/>
      <c r="D13" s="470"/>
      <c r="E13" s="30"/>
      <c r="F13" s="460"/>
      <c r="G13" s="461"/>
      <c r="H13" s="462"/>
      <c r="J13" s="31" t="s">
        <v>171</v>
      </c>
      <c r="K13" s="471" t="s">
        <v>1018</v>
      </c>
      <c r="L13" s="472"/>
    </row>
    <row r="14" spans="2:12" ht="20.149999999999999" customHeight="1" x14ac:dyDescent="0.45">
      <c r="B14" s="468" t="s">
        <v>2024</v>
      </c>
      <c r="C14" s="469"/>
      <c r="D14" s="470"/>
      <c r="E14" s="30"/>
      <c r="F14" s="460"/>
      <c r="G14" s="461"/>
      <c r="H14" s="462"/>
      <c r="J14" s="31" t="s">
        <v>12</v>
      </c>
      <c r="K14" s="471" t="s">
        <v>14</v>
      </c>
      <c r="L14" s="472"/>
    </row>
    <row r="15" spans="2:12" ht="20.149999999999999" customHeight="1" x14ac:dyDescent="0.45">
      <c r="B15" s="468" t="s">
        <v>2025</v>
      </c>
      <c r="C15" s="469"/>
      <c r="D15" s="470"/>
      <c r="E15" s="30"/>
      <c r="F15" s="460"/>
      <c r="G15" s="461"/>
      <c r="H15" s="462"/>
      <c r="J15" s="31" t="s">
        <v>30</v>
      </c>
      <c r="K15" s="471" t="s">
        <v>16</v>
      </c>
      <c r="L15" s="472"/>
    </row>
    <row r="16" spans="2:12" ht="18" customHeight="1" thickBot="1" x14ac:dyDescent="0.5">
      <c r="B16" s="463" t="s">
        <v>2026</v>
      </c>
      <c r="C16" s="464"/>
      <c r="D16" s="465"/>
      <c r="E16" s="26"/>
      <c r="F16" s="463"/>
      <c r="G16" s="464"/>
      <c r="H16" s="465"/>
      <c r="J16" s="32" t="s">
        <v>13</v>
      </c>
      <c r="K16" s="476"/>
      <c r="L16" s="477"/>
    </row>
    <row r="17" spans="2:15" ht="19" thickBot="1" x14ac:dyDescent="0.5">
      <c r="J17" s="22"/>
    </row>
    <row r="18" spans="2:15" ht="30" customHeight="1" thickBot="1" x14ac:dyDescent="0.5">
      <c r="B18" s="8" t="s">
        <v>2</v>
      </c>
      <c r="C18" s="9" t="s">
        <v>3</v>
      </c>
      <c r="D18" s="478" t="s">
        <v>4</v>
      </c>
      <c r="E18" s="483"/>
      <c r="F18" s="479"/>
      <c r="G18" s="19" t="s">
        <v>620</v>
      </c>
      <c r="H18" s="9" t="s">
        <v>31</v>
      </c>
      <c r="I18" s="478" t="s">
        <v>60</v>
      </c>
      <c r="J18" s="479"/>
      <c r="K18" s="9" t="s">
        <v>6</v>
      </c>
      <c r="L18" s="10" t="s">
        <v>7</v>
      </c>
      <c r="M18" s="33"/>
      <c r="N18" s="33"/>
      <c r="O18" s="33"/>
    </row>
    <row r="19" spans="2:15" ht="20.149999999999999" customHeight="1" x14ac:dyDescent="0.45">
      <c r="B19" s="34"/>
      <c r="C19" s="22" t="s">
        <v>612</v>
      </c>
      <c r="D19" s="508" t="e">
        <f>VLOOKUP(C19,'Sales Master'!B$3:D$499,2,)</f>
        <v>#N/A</v>
      </c>
      <c r="E19" s="508"/>
      <c r="F19" s="508"/>
      <c r="G19" s="22">
        <v>6</v>
      </c>
      <c r="H19" s="68" t="str">
        <f>VLOOKUP(C19,'[2]Sales Master'!B$3:F$736,5,0)</f>
        <v>3 kgs</v>
      </c>
      <c r="I19" s="481" t="str">
        <f>VLOOKUP(C19,'[2]Sales Master'!B$3:E$736,4,0)</f>
        <v>DO!</v>
      </c>
      <c r="J19" s="481"/>
      <c r="K19" s="35" t="e">
        <f>VLOOKUP(C19,'Sales Master'!$B$3:$J$583,9,0)</f>
        <v>#N/A</v>
      </c>
      <c r="L19" s="36" t="e">
        <f>K19*G19</f>
        <v>#N/A</v>
      </c>
    </row>
    <row r="20" spans="2:15" ht="20.149999999999999" customHeight="1" x14ac:dyDescent="0.45">
      <c r="B20" s="34"/>
      <c r="C20" s="22" t="s">
        <v>631</v>
      </c>
      <c r="D20" s="508" t="e">
        <f>VLOOKUP(C20,'Sales Master'!B$3:D$499,2,)</f>
        <v>#N/A</v>
      </c>
      <c r="E20" s="508"/>
      <c r="F20" s="508"/>
      <c r="G20" s="22">
        <v>6</v>
      </c>
      <c r="H20" s="68" t="str">
        <f>VLOOKUP(C20,'[2]Sales Master'!B$3:F$736,5,0)</f>
        <v>5KGS/PKT</v>
      </c>
      <c r="I20" s="481" t="str">
        <f>VLOOKUP(C20,'[2]Sales Master'!B$3:E$736,4,0)</f>
        <v>-</v>
      </c>
      <c r="J20" s="481"/>
      <c r="K20" s="35" t="e">
        <f>VLOOKUP(C20,'Sales Master'!$B$3:$J$583,9,0)</f>
        <v>#N/A</v>
      </c>
      <c r="L20" s="36" t="e">
        <f>K20*G20</f>
        <v>#N/A</v>
      </c>
    </row>
    <row r="21" spans="2:15" ht="20.149999999999999" customHeight="1" x14ac:dyDescent="0.45">
      <c r="B21" s="34"/>
      <c r="C21" s="22"/>
      <c r="D21" s="508"/>
      <c r="E21" s="508"/>
      <c r="F21" s="508"/>
      <c r="G21" s="22"/>
      <c r="H21" s="68"/>
      <c r="I21" s="481"/>
      <c r="J21" s="481"/>
      <c r="K21" s="35"/>
      <c r="L21" s="36"/>
    </row>
    <row r="22" spans="2:15" ht="20.149999999999999" customHeight="1" x14ac:dyDescent="0.45">
      <c r="B22" s="34"/>
      <c r="C22" s="22"/>
      <c r="D22" s="508"/>
      <c r="E22" s="508"/>
      <c r="F22" s="508"/>
      <c r="G22" s="22"/>
      <c r="H22" s="68"/>
      <c r="I22" s="450"/>
      <c r="J22" s="450"/>
      <c r="K22" s="35"/>
      <c r="L22" s="36"/>
    </row>
    <row r="23" spans="2:15" ht="20.149999999999999" customHeight="1" x14ac:dyDescent="0.45">
      <c r="B23" s="34"/>
      <c r="C23" s="22"/>
      <c r="D23" s="508"/>
      <c r="E23" s="508"/>
      <c r="F23" s="508"/>
      <c r="G23" s="22"/>
      <c r="H23" s="68"/>
      <c r="I23" s="450"/>
      <c r="J23" s="450"/>
      <c r="K23" s="35"/>
      <c r="L23" s="36"/>
    </row>
    <row r="24" spans="2:15" ht="20.149999999999999" customHeight="1" x14ac:dyDescent="0.45">
      <c r="B24" s="34"/>
      <c r="C24" s="22"/>
      <c r="D24" s="508"/>
      <c r="E24" s="508"/>
      <c r="F24" s="508"/>
      <c r="G24" s="22"/>
      <c r="H24" s="68"/>
      <c r="I24" s="450"/>
      <c r="J24" s="450"/>
      <c r="K24" s="35"/>
      <c r="L24" s="36"/>
    </row>
    <row r="25" spans="2:15" ht="20.149999999999999" customHeight="1" x14ac:dyDescent="0.45">
      <c r="B25" s="34"/>
      <c r="C25" s="22"/>
      <c r="D25" s="508"/>
      <c r="E25" s="508"/>
      <c r="F25" s="508"/>
      <c r="G25" s="22"/>
      <c r="H25" s="68"/>
      <c r="I25" s="450"/>
      <c r="J25" s="450"/>
      <c r="K25" s="35"/>
      <c r="L25" s="36"/>
    </row>
    <row r="26" spans="2:15" ht="20.149999999999999" customHeight="1" x14ac:dyDescent="0.45">
      <c r="B26" s="34"/>
      <c r="C26" s="22"/>
      <c r="D26" s="508"/>
      <c r="E26" s="508"/>
      <c r="F26" s="508"/>
      <c r="G26" s="22"/>
      <c r="H26" s="68"/>
      <c r="I26" s="450"/>
      <c r="J26" s="450"/>
      <c r="K26" s="35"/>
      <c r="L26" s="36"/>
    </row>
    <row r="27" spans="2:15" ht="20.149999999999999" customHeight="1" x14ac:dyDescent="0.45">
      <c r="B27" s="34"/>
      <c r="C27" s="22"/>
      <c r="G27" s="22"/>
      <c r="H27" s="68"/>
      <c r="I27" s="450"/>
      <c r="J27" s="450"/>
      <c r="K27" s="35"/>
      <c r="L27" s="36"/>
    </row>
    <row r="28" spans="2:15" ht="20.149999999999999" customHeight="1" x14ac:dyDescent="0.45">
      <c r="B28" s="34"/>
      <c r="C28" s="22"/>
      <c r="G28" s="22"/>
      <c r="H28" s="68"/>
      <c r="I28" s="450"/>
      <c r="J28" s="450"/>
      <c r="K28" s="35"/>
      <c r="L28" s="36"/>
    </row>
    <row r="29" spans="2:15" ht="20.149999999999999" customHeight="1" x14ac:dyDescent="0.45">
      <c r="B29" s="34"/>
      <c r="C29" s="22"/>
      <c r="G29" s="22"/>
      <c r="H29" s="68"/>
      <c r="I29" s="450"/>
      <c r="J29" s="450"/>
      <c r="K29" s="35"/>
      <c r="L29" s="36"/>
    </row>
    <row r="30" spans="2:15" ht="20.149999999999999" customHeight="1" x14ac:dyDescent="0.45">
      <c r="B30" s="34"/>
      <c r="C30" s="22"/>
      <c r="G30" s="22"/>
      <c r="H30" s="68"/>
      <c r="I30" s="450"/>
      <c r="J30" s="450"/>
      <c r="K30" s="35"/>
      <c r="L30" s="36"/>
    </row>
    <row r="31" spans="2:15" ht="20.149999999999999" customHeight="1" x14ac:dyDescent="0.45">
      <c r="B31" s="34"/>
      <c r="C31" s="22"/>
      <c r="G31" s="22"/>
      <c r="H31" s="68"/>
      <c r="I31" s="450"/>
      <c r="J31" s="450"/>
      <c r="K31" s="35"/>
      <c r="L31" s="36"/>
    </row>
    <row r="32" spans="2:15" ht="20.149999999999999" customHeight="1" x14ac:dyDescent="0.45">
      <c r="B32" s="34"/>
      <c r="C32" s="22"/>
      <c r="G32" s="22"/>
      <c r="H32" s="68"/>
      <c r="I32" s="22"/>
      <c r="J32" s="22"/>
      <c r="K32" s="35"/>
      <c r="L32" s="36"/>
    </row>
    <row r="33" spans="2:12" ht="20.149999999999999" customHeight="1" x14ac:dyDescent="0.45">
      <c r="B33" s="34"/>
      <c r="C33" s="22"/>
      <c r="G33" s="22"/>
      <c r="H33" s="68"/>
      <c r="I33" s="22"/>
      <c r="J33" s="22"/>
      <c r="K33" s="35"/>
      <c r="L33" s="36"/>
    </row>
    <row r="34" spans="2:12" ht="20.149999999999999" customHeight="1" x14ac:dyDescent="0.45">
      <c r="B34" s="34"/>
      <c r="C34" s="22"/>
      <c r="G34" s="22"/>
      <c r="H34" s="68"/>
      <c r="I34" s="22"/>
      <c r="J34" s="22"/>
      <c r="K34" s="35"/>
      <c r="L34" s="36"/>
    </row>
    <row r="35" spans="2:12" ht="20.149999999999999" customHeight="1" x14ac:dyDescent="0.45">
      <c r="B35" s="34"/>
      <c r="C35" s="22"/>
      <c r="D35" s="508"/>
      <c r="E35" s="508"/>
      <c r="F35" s="508"/>
      <c r="G35" s="22"/>
      <c r="H35" s="68"/>
      <c r="I35" s="68"/>
      <c r="J35" s="22"/>
      <c r="K35" s="35"/>
      <c r="L35" s="36"/>
    </row>
    <row r="36" spans="2:12" ht="20.149999999999999" customHeight="1" x14ac:dyDescent="0.45">
      <c r="B36" s="34"/>
      <c r="C36" s="22"/>
      <c r="D36" s="508"/>
      <c r="E36" s="508"/>
      <c r="F36" s="508"/>
      <c r="G36" s="22"/>
      <c r="H36" s="68"/>
      <c r="I36" s="68"/>
      <c r="J36" s="22"/>
      <c r="K36" s="35"/>
      <c r="L36" s="36"/>
    </row>
    <row r="37" spans="2:12" ht="20.149999999999999" customHeight="1" x14ac:dyDescent="0.45">
      <c r="B37" s="34"/>
      <c r="C37" s="22"/>
      <c r="D37" s="508"/>
      <c r="E37" s="508"/>
      <c r="F37" s="508"/>
      <c r="G37" s="22"/>
      <c r="H37" s="22"/>
      <c r="I37" s="22"/>
      <c r="J37" s="22"/>
      <c r="K37" s="35"/>
      <c r="L37" s="36"/>
    </row>
    <row r="38" spans="2:12" ht="20.149999999999999" customHeight="1" thickBot="1" x14ac:dyDescent="0.5">
      <c r="B38" s="37"/>
      <c r="C38" s="38"/>
      <c r="D38" s="509"/>
      <c r="E38" s="509"/>
      <c r="F38" s="509"/>
      <c r="G38" s="38"/>
      <c r="H38" s="38"/>
      <c r="I38" s="38"/>
      <c r="J38" s="38"/>
      <c r="K38" s="39"/>
      <c r="L38" s="40"/>
    </row>
    <row r="39" spans="2:12" ht="20.149999999999999" customHeight="1" thickBot="1" x14ac:dyDescent="0.5">
      <c r="B39" s="41"/>
      <c r="L39" s="42"/>
    </row>
    <row r="40" spans="2:12" ht="20.149999999999999" customHeight="1" x14ac:dyDescent="0.45">
      <c r="B40" s="11" t="s">
        <v>18</v>
      </c>
      <c r="C40" s="7"/>
      <c r="D40" s="7"/>
      <c r="E40" s="7"/>
      <c r="F40" s="7"/>
      <c r="G40" s="7"/>
      <c r="H40" s="7"/>
      <c r="I40" s="7"/>
      <c r="J40" s="510" t="s">
        <v>15</v>
      </c>
      <c r="K40" s="511"/>
      <c r="L40" s="43" t="e">
        <f>SUM(L18:L38)</f>
        <v>#N/A</v>
      </c>
    </row>
    <row r="41" spans="2:12" ht="20.149999999999999" customHeight="1" x14ac:dyDescent="0.45">
      <c r="B41" s="11" t="s">
        <v>19</v>
      </c>
      <c r="C41" s="7"/>
      <c r="D41" s="7"/>
      <c r="E41" s="7"/>
      <c r="F41" s="7"/>
      <c r="G41" s="7"/>
      <c r="H41" s="7"/>
      <c r="I41" s="7"/>
      <c r="J41" s="44" t="s">
        <v>22</v>
      </c>
      <c r="K41" s="45"/>
      <c r="L41" s="46" t="e">
        <f>L40*K41</f>
        <v>#N/A</v>
      </c>
    </row>
    <row r="42" spans="2:12" ht="20.149999999999999" customHeight="1" x14ac:dyDescent="0.45">
      <c r="B42" s="11" t="s">
        <v>20</v>
      </c>
      <c r="C42" s="7"/>
      <c r="D42" s="7"/>
      <c r="E42" s="7"/>
      <c r="F42" s="7"/>
      <c r="G42" s="7"/>
      <c r="H42" s="7"/>
      <c r="I42" s="7"/>
      <c r="J42" s="486" t="s">
        <v>21</v>
      </c>
      <c r="K42" s="487"/>
      <c r="L42" s="46" t="e">
        <f>L40-L41</f>
        <v>#N/A</v>
      </c>
    </row>
    <row r="43" spans="2:12" ht="20.149999999999999" customHeight="1" x14ac:dyDescent="0.45">
      <c r="B43" s="11" t="s">
        <v>24</v>
      </c>
      <c r="C43" s="7"/>
      <c r="D43" s="7"/>
      <c r="E43" s="7"/>
      <c r="F43" s="7"/>
      <c r="G43" s="7"/>
      <c r="H43" s="7"/>
      <c r="I43" s="7"/>
      <c r="J43" s="150" t="s">
        <v>17</v>
      </c>
      <c r="K43" s="151">
        <v>7.0000000000000007E-2</v>
      </c>
      <c r="L43" s="47" t="e">
        <f>L42*K43</f>
        <v>#N/A</v>
      </c>
    </row>
    <row r="44" spans="2:12" ht="20.149999999999999" customHeight="1" thickBot="1" x14ac:dyDescent="0.5">
      <c r="B44" s="11" t="s">
        <v>25</v>
      </c>
      <c r="C44" s="7"/>
      <c r="D44" s="7"/>
      <c r="E44" s="7"/>
      <c r="F44" s="7"/>
      <c r="G44" s="7"/>
      <c r="H44" s="7"/>
      <c r="I44" s="7"/>
      <c r="J44" s="488" t="s">
        <v>23</v>
      </c>
      <c r="K44" s="489"/>
      <c r="L44" s="48" t="e">
        <f>L42+L43</f>
        <v>#N/A</v>
      </c>
    </row>
    <row r="45" spans="2:12" ht="20.149999999999999" customHeight="1" x14ac:dyDescent="0.45">
      <c r="B45" s="11" t="s">
        <v>26</v>
      </c>
      <c r="C45" s="7"/>
      <c r="D45" s="7"/>
      <c r="E45" s="7"/>
      <c r="F45" s="7"/>
      <c r="G45" s="7"/>
      <c r="H45" s="7"/>
      <c r="I45" s="7"/>
      <c r="L45" s="42"/>
    </row>
    <row r="46" spans="2:12" ht="20.149999999999999" customHeight="1" x14ac:dyDescent="0.45">
      <c r="B46" s="41"/>
      <c r="L46" s="42"/>
    </row>
    <row r="47" spans="2:12" ht="20.149999999999999" customHeight="1" x14ac:dyDescent="0.45">
      <c r="B47" s="41"/>
      <c r="L47" s="42"/>
    </row>
    <row r="48" spans="2:12" ht="20.149999999999999" customHeight="1" x14ac:dyDescent="0.45">
      <c r="B48" s="41"/>
      <c r="L48" s="42"/>
    </row>
    <row r="49" spans="2:12" ht="20.149999999999999" customHeight="1" x14ac:dyDescent="0.45">
      <c r="B49" s="41"/>
      <c r="L49" s="42"/>
    </row>
    <row r="50" spans="2:12" ht="20.149999999999999" customHeight="1" x14ac:dyDescent="0.45">
      <c r="B50" s="49"/>
      <c r="C50" s="50"/>
      <c r="D50" s="50"/>
      <c r="J50" s="50"/>
      <c r="K50" s="50"/>
      <c r="L50" s="51"/>
    </row>
    <row r="51" spans="2:12" ht="20.149999999999999" customHeight="1" x14ac:dyDescent="0.45">
      <c r="B51" s="41" t="s">
        <v>27</v>
      </c>
      <c r="J51" s="24" t="s">
        <v>28</v>
      </c>
      <c r="L51" s="42"/>
    </row>
    <row r="52" spans="2:12" ht="19" thickBot="1" x14ac:dyDescent="0.5">
      <c r="B52" s="52"/>
      <c r="C52" s="53"/>
      <c r="D52" s="53"/>
      <c r="E52" s="53"/>
      <c r="F52" s="53"/>
      <c r="G52" s="53"/>
      <c r="H52" s="53"/>
      <c r="I52" s="53"/>
      <c r="J52" s="53"/>
      <c r="K52" s="53"/>
      <c r="L52" s="54"/>
    </row>
  </sheetData>
  <mergeCells count="43">
    <mergeCell ref="B1:L8"/>
    <mergeCell ref="D36:F36"/>
    <mergeCell ref="D37:F37"/>
    <mergeCell ref="D38:F38"/>
    <mergeCell ref="J40:K40"/>
    <mergeCell ref="D23:F23"/>
    <mergeCell ref="I23:J23"/>
    <mergeCell ref="D35:F35"/>
    <mergeCell ref="D24:F24"/>
    <mergeCell ref="I24:J24"/>
    <mergeCell ref="D25:F25"/>
    <mergeCell ref="I25:J25"/>
    <mergeCell ref="D26:F26"/>
    <mergeCell ref="I26:J26"/>
    <mergeCell ref="D21:F21"/>
    <mergeCell ref="I21:J21"/>
    <mergeCell ref="J42:K42"/>
    <mergeCell ref="J44:K44"/>
    <mergeCell ref="I27:J27"/>
    <mergeCell ref="I28:J28"/>
    <mergeCell ref="I29:J29"/>
    <mergeCell ref="I30:J30"/>
    <mergeCell ref="I31:J31"/>
    <mergeCell ref="D22:F22"/>
    <mergeCell ref="I22:J22"/>
    <mergeCell ref="D20:F20"/>
    <mergeCell ref="I20:J20"/>
    <mergeCell ref="D18:F18"/>
    <mergeCell ref="I18:J18"/>
    <mergeCell ref="D19:F19"/>
    <mergeCell ref="I19:J19"/>
    <mergeCell ref="K11:L11"/>
    <mergeCell ref="B12:D12"/>
    <mergeCell ref="F12:H16"/>
    <mergeCell ref="K12:L12"/>
    <mergeCell ref="B13:D13"/>
    <mergeCell ref="K13:L13"/>
    <mergeCell ref="B14:D14"/>
    <mergeCell ref="K14:L14"/>
    <mergeCell ref="B15:D15"/>
    <mergeCell ref="K15:L15"/>
    <mergeCell ref="K16:L16"/>
    <mergeCell ref="B16:D16"/>
  </mergeCells>
  <pageMargins left="0.70866141732283505" right="0.31496062992126" top="2.1653543307086598" bottom="0" header="0.31496062992126" footer="0.31496062992126"/>
  <pageSetup paperSize="9" scale="76" orientation="portrait" verticalDpi="300" r:id="rId1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6214AD-3C71-421D-81D4-2FB801E673AD}">
  <sheetPr codeName="Sheet159">
    <tabColor rgb="FFFFFF00"/>
    <pageSetUpPr fitToPage="1"/>
  </sheetPr>
  <dimension ref="B1:V51"/>
  <sheetViews>
    <sheetView topLeftCell="A10" workbookViewId="0">
      <selection activeCell="D21" sqref="D21:F21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6.54296875" style="24" customWidth="1"/>
    <col min="7" max="7" width="8.54296875" style="24" customWidth="1"/>
    <col min="8" max="8" width="15.54296875" style="24" customWidth="1"/>
    <col min="9" max="9" width="0.81640625" style="24" customWidth="1"/>
    <col min="10" max="10" width="15.54296875" style="24" customWidth="1"/>
    <col min="11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223</v>
      </c>
      <c r="J10" s="29" t="s">
        <v>29</v>
      </c>
      <c r="K10" s="452">
        <v>201912428</v>
      </c>
      <c r="L10" s="453"/>
    </row>
    <row r="11" spans="2:12" ht="20.149999999999999" customHeight="1" x14ac:dyDescent="0.45">
      <c r="B11" s="454" t="s">
        <v>918</v>
      </c>
      <c r="C11" s="455"/>
      <c r="D11" s="456"/>
      <c r="E11" s="30"/>
      <c r="F11" s="457" t="str">
        <f>VLOOKUP(H10,'Delivery Location'!A$4:N$416,2,0)</f>
        <v>Rasa Rasa Catering Services Pte Ltd    8A, Admiralty Street Food Exchange #04-08.                             Singapore 757437.</v>
      </c>
      <c r="G11" s="458"/>
      <c r="H11" s="459"/>
      <c r="J11" s="31" t="s">
        <v>11</v>
      </c>
      <c r="K11" s="551" t="s">
        <v>1263</v>
      </c>
      <c r="L11" s="472"/>
    </row>
    <row r="12" spans="2:12" ht="20.149999999999999" customHeight="1" x14ac:dyDescent="0.45">
      <c r="B12" s="468" t="s">
        <v>580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533</v>
      </c>
      <c r="L12" s="472"/>
    </row>
    <row r="13" spans="2:12" ht="20.149999999999999" customHeight="1" x14ac:dyDescent="0.45">
      <c r="B13" s="468" t="s">
        <v>581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14</v>
      </c>
      <c r="L13" s="472"/>
    </row>
    <row r="14" spans="2:12" ht="20.149999999999999" customHeight="1" x14ac:dyDescent="0.45">
      <c r="B14" s="468" t="s">
        <v>563</v>
      </c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552" t="s">
        <v>582</v>
      </c>
      <c r="C15" s="474"/>
      <c r="D15" s="475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22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3"/>
      <c r="O17" s="33"/>
    </row>
    <row r="18" spans="2:22" ht="20.149999999999999" customHeight="1" x14ac:dyDescent="0.45">
      <c r="B18" s="34"/>
      <c r="C18" s="22" t="s">
        <v>631</v>
      </c>
      <c r="D18" s="508" t="e">
        <f>VLOOKUP(C18,'Sales Master'!B$3:D$499,2,)</f>
        <v>#N/A</v>
      </c>
      <c r="E18" s="508"/>
      <c r="F18" s="508"/>
      <c r="G18" s="22">
        <v>2</v>
      </c>
      <c r="H18" s="389" t="str">
        <f>VLOOKUP(C18,'[2]Sales Master'!B$3:F$736,5,0)</f>
        <v>5KGS/PKT</v>
      </c>
      <c r="I18" s="482" t="str">
        <f>VLOOKUP(C18,'[2]Sales Master'!B$3:E$736,4,0)</f>
        <v>-</v>
      </c>
      <c r="J18" s="482"/>
      <c r="K18" s="94">
        <v>4.5</v>
      </c>
      <c r="L18" s="77">
        <f>K18*G18</f>
        <v>9</v>
      </c>
      <c r="M18" s="78"/>
      <c r="N18" s="125" t="s">
        <v>398</v>
      </c>
      <c r="O18" s="24" t="s">
        <v>336</v>
      </c>
      <c r="R18" s="24">
        <v>1</v>
      </c>
      <c r="S18" s="24" t="s">
        <v>36</v>
      </c>
      <c r="T18" s="24" t="s">
        <v>545</v>
      </c>
      <c r="V18" s="24">
        <v>16</v>
      </c>
    </row>
    <row r="19" spans="2:22" ht="20.149999999999999" customHeight="1" x14ac:dyDescent="0.45">
      <c r="B19" s="34"/>
      <c r="C19" s="22" t="s">
        <v>438</v>
      </c>
      <c r="D19" s="508" t="e">
        <f>VLOOKUP(C19,'Sales Master'!B$3:D$499,2,)</f>
        <v>#N/A</v>
      </c>
      <c r="E19" s="508"/>
      <c r="F19" s="508"/>
      <c r="G19" s="22">
        <v>4</v>
      </c>
      <c r="H19" s="389" t="str">
        <f>VLOOKUP(C19,'[2]Sales Master'!B$3:F$736,5,0)</f>
        <v>(565gm x 12)/箱</v>
      </c>
      <c r="I19" s="482" t="s">
        <v>527</v>
      </c>
      <c r="J19" s="482"/>
      <c r="K19" s="94">
        <v>22</v>
      </c>
      <c r="L19" s="77">
        <f>K19*G19</f>
        <v>88</v>
      </c>
      <c r="M19" s="78"/>
    </row>
    <row r="20" spans="2:22" ht="20.149999999999999" customHeight="1" x14ac:dyDescent="0.45">
      <c r="B20" s="34"/>
      <c r="C20" s="22"/>
      <c r="D20" s="508"/>
      <c r="E20" s="508"/>
      <c r="F20" s="508"/>
      <c r="G20" s="22"/>
      <c r="H20" s="68"/>
      <c r="I20" s="481"/>
      <c r="J20" s="481"/>
      <c r="K20" s="94"/>
      <c r="L20" s="77"/>
      <c r="M20" s="78"/>
    </row>
    <row r="21" spans="2:22" ht="20.149999999999999" customHeight="1" x14ac:dyDescent="0.45">
      <c r="B21" s="34"/>
      <c r="C21" s="22"/>
      <c r="D21" s="508"/>
      <c r="E21" s="508"/>
      <c r="F21" s="508"/>
      <c r="G21" s="22"/>
      <c r="H21" s="68"/>
      <c r="I21" s="481"/>
      <c r="J21" s="481"/>
      <c r="K21" s="94"/>
      <c r="L21" s="77"/>
      <c r="M21" s="78"/>
    </row>
    <row r="22" spans="2:22" ht="20.149999999999999" customHeight="1" x14ac:dyDescent="0.45">
      <c r="B22" s="34"/>
      <c r="C22" s="22"/>
      <c r="D22" s="508"/>
      <c r="E22" s="508"/>
      <c r="F22" s="508"/>
      <c r="G22" s="22"/>
      <c r="H22" s="68"/>
      <c r="I22" s="481"/>
      <c r="J22" s="481"/>
      <c r="K22" s="94"/>
      <c r="L22" s="77"/>
      <c r="M22" s="78"/>
    </row>
    <row r="23" spans="2:22" ht="20.149999999999999" customHeight="1" x14ac:dyDescent="0.45">
      <c r="B23" s="34"/>
      <c r="C23" s="22"/>
      <c r="D23" s="508"/>
      <c r="E23" s="508"/>
      <c r="F23" s="508"/>
      <c r="G23" s="22"/>
      <c r="H23" s="68"/>
      <c r="I23" s="481"/>
      <c r="J23" s="481"/>
      <c r="K23" s="94"/>
      <c r="L23" s="77"/>
      <c r="M23" s="78"/>
    </row>
    <row r="24" spans="2:22" ht="20.149999999999999" customHeight="1" x14ac:dyDescent="0.45">
      <c r="B24" s="34"/>
      <c r="C24" s="22"/>
      <c r="D24" s="508"/>
      <c r="E24" s="508"/>
      <c r="F24" s="508"/>
      <c r="G24" s="22"/>
      <c r="H24" s="68"/>
      <c r="I24" s="450"/>
      <c r="J24" s="450"/>
      <c r="K24" s="94"/>
      <c r="L24" s="77"/>
      <c r="M24" s="78"/>
    </row>
    <row r="25" spans="2:22" ht="20.149999999999999" customHeight="1" x14ac:dyDescent="0.45">
      <c r="B25" s="34"/>
      <c r="C25" s="22"/>
      <c r="D25" s="508"/>
      <c r="E25" s="508"/>
      <c r="F25" s="508"/>
      <c r="G25" s="22"/>
      <c r="H25" s="68"/>
      <c r="I25" s="450"/>
      <c r="J25" s="450"/>
      <c r="K25" s="94"/>
      <c r="L25" s="77"/>
      <c r="M25" s="78"/>
    </row>
    <row r="26" spans="2:22" ht="20.149999999999999" customHeight="1" x14ac:dyDescent="0.45">
      <c r="B26" s="34"/>
      <c r="C26" s="22"/>
      <c r="D26" s="508"/>
      <c r="E26" s="508"/>
      <c r="F26" s="508"/>
      <c r="G26" s="22"/>
      <c r="H26" s="68"/>
      <c r="I26" s="450"/>
      <c r="J26" s="450"/>
      <c r="K26" s="94"/>
      <c r="L26" s="77"/>
      <c r="M26" s="78"/>
    </row>
    <row r="27" spans="2:22" ht="20.149999999999999" customHeight="1" x14ac:dyDescent="0.45">
      <c r="B27" s="34"/>
      <c r="C27" s="22"/>
      <c r="D27" s="508"/>
      <c r="E27" s="508"/>
      <c r="F27" s="508"/>
      <c r="G27" s="22"/>
      <c r="H27" s="68"/>
      <c r="I27" s="450"/>
      <c r="J27" s="450"/>
      <c r="K27" s="94"/>
      <c r="L27" s="77"/>
      <c r="M27" s="78"/>
    </row>
    <row r="28" spans="2:22" ht="20.149999999999999" customHeight="1" x14ac:dyDescent="0.45">
      <c r="B28" s="34"/>
      <c r="C28" s="22"/>
      <c r="D28" s="508"/>
      <c r="E28" s="508"/>
      <c r="F28" s="508"/>
      <c r="G28" s="22"/>
      <c r="H28" s="68"/>
      <c r="I28" s="450"/>
      <c r="J28" s="450"/>
      <c r="K28" s="94"/>
      <c r="L28" s="77"/>
      <c r="M28" s="78"/>
    </row>
    <row r="29" spans="2:22" ht="20.149999999999999" customHeight="1" x14ac:dyDescent="0.45">
      <c r="B29" s="34"/>
      <c r="C29" s="22"/>
      <c r="D29" s="508"/>
      <c r="E29" s="508"/>
      <c r="F29" s="508"/>
      <c r="G29" s="22"/>
      <c r="H29" s="68"/>
      <c r="I29" s="450"/>
      <c r="J29" s="450"/>
      <c r="K29" s="94"/>
      <c r="L29" s="77"/>
      <c r="M29" s="78"/>
    </row>
    <row r="30" spans="2:22" ht="20.149999999999999" customHeight="1" x14ac:dyDescent="0.45">
      <c r="B30" s="34"/>
      <c r="C30" s="22"/>
      <c r="D30" s="508"/>
      <c r="E30" s="508"/>
      <c r="F30" s="508"/>
      <c r="G30" s="22"/>
      <c r="H30" s="68"/>
      <c r="I30" s="450"/>
      <c r="J30" s="450"/>
      <c r="K30" s="94"/>
      <c r="L30" s="77"/>
      <c r="M30" s="78"/>
    </row>
    <row r="31" spans="2:22" ht="20.149999999999999" customHeight="1" x14ac:dyDescent="0.45">
      <c r="B31" s="34"/>
      <c r="C31" s="22"/>
      <c r="D31" s="508"/>
      <c r="E31" s="508"/>
      <c r="F31" s="508"/>
      <c r="G31" s="22"/>
      <c r="H31" s="68"/>
      <c r="I31" s="450"/>
      <c r="J31" s="450"/>
      <c r="K31" s="94"/>
      <c r="L31" s="77"/>
      <c r="M31" s="78"/>
    </row>
    <row r="32" spans="2:22" ht="20.149999999999999" customHeight="1" x14ac:dyDescent="0.45">
      <c r="B32" s="34"/>
      <c r="C32" s="22"/>
      <c r="D32" s="508"/>
      <c r="E32" s="508"/>
      <c r="F32" s="508"/>
      <c r="G32" s="22"/>
      <c r="H32" s="68"/>
      <c r="I32" s="450"/>
      <c r="J32" s="450"/>
      <c r="K32" s="94"/>
      <c r="L32" s="77"/>
      <c r="M32" s="78"/>
    </row>
    <row r="33" spans="2:13" ht="20.149999999999999" customHeight="1" x14ac:dyDescent="0.45">
      <c r="B33" s="34"/>
      <c r="C33" s="22"/>
      <c r="D33" s="508"/>
      <c r="E33" s="508"/>
      <c r="F33" s="508"/>
      <c r="G33" s="22"/>
      <c r="H33" s="68"/>
      <c r="I33" s="450"/>
      <c r="J33" s="450"/>
      <c r="K33" s="94"/>
      <c r="L33" s="77"/>
      <c r="M33" s="78"/>
    </row>
    <row r="34" spans="2:13" ht="20.149999999999999" customHeight="1" x14ac:dyDescent="0.45">
      <c r="B34" s="34"/>
      <c r="C34" s="22"/>
      <c r="D34" s="508"/>
      <c r="E34" s="508"/>
      <c r="F34" s="508"/>
      <c r="G34" s="22"/>
      <c r="H34" s="68"/>
      <c r="I34" s="450"/>
      <c r="J34" s="450"/>
      <c r="K34" s="94"/>
      <c r="L34" s="77"/>
      <c r="M34" s="78"/>
    </row>
    <row r="35" spans="2:13" ht="20.149999999999999" customHeight="1" x14ac:dyDescent="0.45">
      <c r="B35" s="34"/>
      <c r="C35" s="22"/>
      <c r="D35" s="508"/>
      <c r="E35" s="508"/>
      <c r="F35" s="508"/>
      <c r="G35" s="22"/>
      <c r="H35" s="68"/>
      <c r="I35" s="450"/>
      <c r="J35" s="450"/>
      <c r="K35" s="94"/>
      <c r="L35" s="77"/>
      <c r="M35" s="78"/>
    </row>
    <row r="36" spans="2:13" ht="20.149999999999999" customHeight="1" x14ac:dyDescent="0.45">
      <c r="B36" s="34"/>
      <c r="C36" s="22"/>
      <c r="D36" s="508"/>
      <c r="E36" s="508"/>
      <c r="F36" s="508"/>
      <c r="G36" s="22"/>
      <c r="H36" s="68"/>
      <c r="I36" s="450"/>
      <c r="J36" s="450"/>
      <c r="K36" s="94"/>
      <c r="L36" s="77"/>
    </row>
    <row r="37" spans="2:13" ht="20.149999999999999" customHeight="1" thickBot="1" x14ac:dyDescent="0.5">
      <c r="B37" s="37"/>
      <c r="C37" s="38"/>
      <c r="D37" s="509"/>
      <c r="E37" s="509"/>
      <c r="F37" s="509"/>
      <c r="G37" s="38"/>
      <c r="H37" s="69"/>
      <c r="I37" s="451"/>
      <c r="J37" s="451"/>
      <c r="K37" s="39"/>
      <c r="L37" s="40"/>
    </row>
    <row r="38" spans="2:13" ht="20.149999999999999" customHeight="1" thickBot="1" x14ac:dyDescent="0.5">
      <c r="B38" s="41"/>
      <c r="L38" s="42"/>
    </row>
    <row r="39" spans="2:13" ht="20.149999999999999" customHeight="1" x14ac:dyDescent="0.45">
      <c r="B39" s="11" t="s">
        <v>18</v>
      </c>
      <c r="C39" s="7"/>
      <c r="D39" s="7"/>
      <c r="E39" s="7"/>
      <c r="F39" s="7"/>
      <c r="G39" s="7"/>
      <c r="H39" s="7"/>
      <c r="I39" s="7"/>
      <c r="J39" s="510" t="s">
        <v>15</v>
      </c>
      <c r="K39" s="511"/>
      <c r="L39" s="43">
        <f>SUM(L17:L36)</f>
        <v>97</v>
      </c>
      <c r="M39" s="76">
        <f>166+26</f>
        <v>192</v>
      </c>
    </row>
    <row r="40" spans="2:13" ht="20.149999999999999" customHeight="1" x14ac:dyDescent="0.45">
      <c r="B40" s="11" t="s">
        <v>19</v>
      </c>
      <c r="C40" s="7"/>
      <c r="D40" s="7"/>
      <c r="E40" s="7"/>
      <c r="F40" s="7"/>
      <c r="G40" s="7"/>
      <c r="H40" s="7"/>
      <c r="I40" s="7"/>
      <c r="J40" s="44" t="s">
        <v>22</v>
      </c>
      <c r="K40" s="45"/>
      <c r="L40" s="46">
        <f>L39*K40</f>
        <v>0</v>
      </c>
    </row>
    <row r="41" spans="2:13" ht="20.149999999999999" customHeight="1" x14ac:dyDescent="0.45">
      <c r="B41" s="11" t="s">
        <v>20</v>
      </c>
      <c r="C41" s="7"/>
      <c r="D41" s="7"/>
      <c r="E41" s="7"/>
      <c r="F41" s="7"/>
      <c r="G41" s="7"/>
      <c r="H41" s="7"/>
      <c r="I41" s="7"/>
      <c r="J41" s="486" t="s">
        <v>21</v>
      </c>
      <c r="K41" s="487"/>
      <c r="L41" s="46">
        <f>L39-L40</f>
        <v>97</v>
      </c>
    </row>
    <row r="42" spans="2:13" ht="20.149999999999999" customHeight="1" x14ac:dyDescent="0.45">
      <c r="B42" s="11" t="s">
        <v>24</v>
      </c>
      <c r="C42" s="7"/>
      <c r="D42" s="7"/>
      <c r="E42" s="7"/>
      <c r="F42" s="7"/>
      <c r="G42" s="7"/>
      <c r="H42" s="7"/>
      <c r="I42" s="7"/>
      <c r="J42" s="150" t="s">
        <v>17</v>
      </c>
      <c r="K42" s="151">
        <v>7.0000000000000007E-2</v>
      </c>
      <c r="L42" s="47">
        <f>L41*K42</f>
        <v>6.7900000000000009</v>
      </c>
    </row>
    <row r="43" spans="2:13" ht="20.149999999999999" customHeight="1" thickBot="1" x14ac:dyDescent="0.5">
      <c r="B43" s="11" t="s">
        <v>25</v>
      </c>
      <c r="C43" s="7"/>
      <c r="D43" s="7"/>
      <c r="E43" s="7"/>
      <c r="F43" s="7"/>
      <c r="G43" s="7"/>
      <c r="H43" s="7"/>
      <c r="I43" s="7"/>
      <c r="J43" s="488" t="s">
        <v>23</v>
      </c>
      <c r="K43" s="489"/>
      <c r="L43" s="48">
        <f>L41+L42</f>
        <v>103.79</v>
      </c>
    </row>
    <row r="44" spans="2:13" ht="20.149999999999999" customHeight="1" x14ac:dyDescent="0.45">
      <c r="B44" s="11" t="s">
        <v>26</v>
      </c>
      <c r="C44" s="7"/>
      <c r="D44" s="7"/>
      <c r="E44" s="7"/>
      <c r="F44" s="7"/>
      <c r="G44" s="7"/>
      <c r="H44" s="7"/>
      <c r="I44" s="7"/>
      <c r="L44" s="42"/>
    </row>
    <row r="45" spans="2:13" ht="20.149999999999999" customHeight="1" x14ac:dyDescent="0.45">
      <c r="B45" s="41"/>
      <c r="L45" s="42"/>
    </row>
    <row r="46" spans="2:13" ht="20.149999999999999" customHeight="1" x14ac:dyDescent="0.45">
      <c r="B46" s="41"/>
      <c r="L46" s="42"/>
    </row>
    <row r="47" spans="2:13" ht="20.149999999999999" customHeight="1" x14ac:dyDescent="0.45">
      <c r="B47" s="41"/>
      <c r="L47" s="42"/>
    </row>
    <row r="48" spans="2:13" ht="20.149999999999999" customHeight="1" x14ac:dyDescent="0.45">
      <c r="B48" s="41"/>
      <c r="L48" s="42"/>
    </row>
    <row r="49" spans="2:12" ht="20.149999999999999" customHeight="1" x14ac:dyDescent="0.45">
      <c r="B49" s="49"/>
      <c r="C49" s="50"/>
      <c r="D49" s="50"/>
      <c r="J49" s="50"/>
      <c r="K49" s="50"/>
      <c r="L49" s="51"/>
    </row>
    <row r="50" spans="2:12" ht="20.149999999999999" customHeight="1" x14ac:dyDescent="0.45">
      <c r="B50" s="41" t="s">
        <v>27</v>
      </c>
      <c r="J50" s="24" t="s">
        <v>28</v>
      </c>
      <c r="L50" s="42"/>
    </row>
    <row r="51" spans="2:12" ht="19" thickBot="1" x14ac:dyDescent="0.5">
      <c r="B51" s="52"/>
      <c r="C51" s="53"/>
      <c r="D51" s="53"/>
      <c r="E51" s="53"/>
      <c r="F51" s="53"/>
      <c r="G51" s="53"/>
      <c r="H51" s="53"/>
      <c r="I51" s="53"/>
      <c r="J51" s="53"/>
      <c r="K51" s="53"/>
      <c r="L51" s="54"/>
    </row>
  </sheetData>
  <mergeCells count="58">
    <mergeCell ref="D32:F32"/>
    <mergeCell ref="I32:J32"/>
    <mergeCell ref="D33:F33"/>
    <mergeCell ref="I33:J33"/>
    <mergeCell ref="J43:K43"/>
    <mergeCell ref="D34:F34"/>
    <mergeCell ref="I34:J34"/>
    <mergeCell ref="D35:F35"/>
    <mergeCell ref="I35:J35"/>
    <mergeCell ref="D36:F36"/>
    <mergeCell ref="I36:J36"/>
    <mergeCell ref="D37:F37"/>
    <mergeCell ref="I37:J37"/>
    <mergeCell ref="J39:K39"/>
    <mergeCell ref="J41:K41"/>
    <mergeCell ref="D29:F29"/>
    <mergeCell ref="I29:J29"/>
    <mergeCell ref="D30:F30"/>
    <mergeCell ref="I30:J30"/>
    <mergeCell ref="D31:F31"/>
    <mergeCell ref="I31:J31"/>
    <mergeCell ref="D26:F26"/>
    <mergeCell ref="I26:J26"/>
    <mergeCell ref="D27:F27"/>
    <mergeCell ref="I27:J27"/>
    <mergeCell ref="D28:F28"/>
    <mergeCell ref="I28:J28"/>
    <mergeCell ref="D23:F23"/>
    <mergeCell ref="I23:J23"/>
    <mergeCell ref="D24:F24"/>
    <mergeCell ref="I24:J24"/>
    <mergeCell ref="D25:F25"/>
    <mergeCell ref="I25:J25"/>
    <mergeCell ref="D20:F20"/>
    <mergeCell ref="I20:J20"/>
    <mergeCell ref="D21:F21"/>
    <mergeCell ref="I21:J21"/>
    <mergeCell ref="D22:F22"/>
    <mergeCell ref="I22:J22"/>
    <mergeCell ref="D17:F17"/>
    <mergeCell ref="I17:J17"/>
    <mergeCell ref="D18:F18"/>
    <mergeCell ref="I18:J18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5" orientation="portrait" verticalDpi="300" r:id="rId1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06D001-1ADA-4156-BC4C-D7CFB64334B2}">
  <sheetPr codeName="Sheet160">
    <tabColor rgb="FFFFFF00"/>
    <pageSetUpPr fitToPage="1"/>
  </sheetPr>
  <dimension ref="B1:P44"/>
  <sheetViews>
    <sheetView topLeftCell="A14" workbookViewId="0">
      <selection activeCell="I18" sqref="I18:J18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6.54296875" style="24" customWidth="1"/>
    <col min="7" max="7" width="8.54296875" style="24" customWidth="1"/>
    <col min="8" max="8" width="12.54296875" style="24" customWidth="1"/>
    <col min="9" max="9" width="2.54296875" style="24" customWidth="1"/>
    <col min="10" max="10" width="15.54296875" style="24" customWidth="1"/>
    <col min="11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756</v>
      </c>
      <c r="J10" s="29" t="s">
        <v>29</v>
      </c>
      <c r="K10" s="452">
        <v>202209230</v>
      </c>
      <c r="L10" s="453"/>
    </row>
    <row r="11" spans="2:12" ht="20.149999999999999" customHeight="1" x14ac:dyDescent="0.45">
      <c r="B11" s="454"/>
      <c r="C11" s="455"/>
      <c r="D11" s="456"/>
      <c r="E11" s="30"/>
      <c r="F11" s="457" t="str">
        <f>VLOOKUP(H10,'Delivery Location'!A$4:N$416,2,0)</f>
        <v>HAO KOU WEI PTE LTD                          16A Sungei Kadut Way                    Singapore 728794</v>
      </c>
      <c r="G11" s="458"/>
      <c r="H11" s="459"/>
      <c r="J11" s="31" t="s">
        <v>11</v>
      </c>
      <c r="K11" s="466">
        <v>44819</v>
      </c>
      <c r="L11" s="467"/>
    </row>
    <row r="12" spans="2:12" ht="20.149999999999999" customHeight="1" x14ac:dyDescent="0.45">
      <c r="B12" s="468"/>
      <c r="C12" s="469"/>
      <c r="D12" s="470"/>
      <c r="E12" s="30"/>
      <c r="F12" s="460"/>
      <c r="G12" s="461"/>
      <c r="H12" s="462"/>
      <c r="J12" s="31" t="s">
        <v>171</v>
      </c>
      <c r="K12" s="471" t="s">
        <v>533</v>
      </c>
      <c r="L12" s="472"/>
    </row>
    <row r="13" spans="2:12" ht="20.149999999999999" customHeight="1" x14ac:dyDescent="0.45">
      <c r="B13" s="468"/>
      <c r="C13" s="469"/>
      <c r="D13" s="470"/>
      <c r="E13" s="30"/>
      <c r="F13" s="460"/>
      <c r="G13" s="461"/>
      <c r="H13" s="462"/>
      <c r="J13" s="31" t="s">
        <v>12</v>
      </c>
      <c r="K13" s="471" t="s">
        <v>750</v>
      </c>
      <c r="L13" s="472"/>
    </row>
    <row r="14" spans="2:12" ht="20.149999999999999" customHeight="1" x14ac:dyDescent="0.45">
      <c r="B14" s="468"/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552"/>
      <c r="C15" s="474"/>
      <c r="D15" s="475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16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8" t="s">
        <v>622</v>
      </c>
      <c r="I17" s="478" t="s">
        <v>621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16" ht="20.149999999999999" customHeight="1" x14ac:dyDescent="0.45">
      <c r="B18" s="34"/>
      <c r="C18" s="22" t="s">
        <v>1608</v>
      </c>
      <c r="D18" s="508" t="str">
        <f>VLOOKUP(C18,'Sales Master'!B$3:D$499,2,)</f>
        <v>Pearl Barley 薏米</v>
      </c>
      <c r="E18" s="508"/>
      <c r="F18" s="508"/>
      <c r="G18" s="22">
        <v>5</v>
      </c>
      <c r="H18" s="389" t="str">
        <f>VLOOKUP(C18,'Sales Master'!$B$3:$E$590,4,0)</f>
        <v>-</v>
      </c>
      <c r="I18" s="482" t="str">
        <f>VLOOKUP(C18,'Sales Master'!$B$3:F$590,5,0)</f>
        <v>5 kgs</v>
      </c>
      <c r="J18" s="482"/>
      <c r="K18" s="94">
        <v>11.5</v>
      </c>
      <c r="L18" s="77">
        <f>K18*G18</f>
        <v>57.5</v>
      </c>
      <c r="M18" s="96"/>
      <c r="N18" s="225">
        <f>VLOOKUP(C18,'Sales Master'!$B$3:$DA$3038,104,0)</f>
        <v>6.8000000000000007</v>
      </c>
      <c r="O18" s="225">
        <f>K18-N18</f>
        <v>4.6999999999999993</v>
      </c>
      <c r="P18" s="225">
        <f>O18*G18</f>
        <v>23.499999999999996</v>
      </c>
    </row>
    <row r="19" spans="2:16" ht="20.149999999999999" customHeight="1" x14ac:dyDescent="0.45">
      <c r="B19" s="34"/>
      <c r="C19" s="22"/>
      <c r="D19" s="508"/>
      <c r="E19" s="508"/>
      <c r="F19" s="508"/>
      <c r="G19" s="22"/>
      <c r="H19" s="68"/>
      <c r="I19" s="481"/>
      <c r="J19" s="481"/>
      <c r="K19" s="94"/>
      <c r="L19" s="77"/>
      <c r="M19" s="78"/>
    </row>
    <row r="20" spans="2:16" ht="20.149999999999999" customHeight="1" x14ac:dyDescent="0.45">
      <c r="B20" s="34"/>
      <c r="C20" s="22"/>
      <c r="D20" s="508"/>
      <c r="E20" s="508"/>
      <c r="F20" s="508"/>
      <c r="G20" s="22"/>
      <c r="H20" s="68"/>
      <c r="I20" s="24" t="s">
        <v>2298</v>
      </c>
      <c r="J20" s="102"/>
      <c r="K20" s="94"/>
      <c r="L20" s="77">
        <v>10</v>
      </c>
      <c r="M20" s="78"/>
    </row>
    <row r="21" spans="2:16" ht="20.149999999999999" customHeight="1" x14ac:dyDescent="0.45">
      <c r="B21" s="34"/>
      <c r="C21" s="22"/>
      <c r="G21" s="22"/>
      <c r="H21" s="68"/>
      <c r="I21" s="68"/>
      <c r="J21" s="68"/>
      <c r="K21" s="94"/>
      <c r="L21" s="77"/>
      <c r="M21" s="78"/>
    </row>
    <row r="22" spans="2:16" ht="20.149999999999999" customHeight="1" x14ac:dyDescent="0.45">
      <c r="B22" s="34"/>
      <c r="C22" s="22"/>
      <c r="D22" s="508"/>
      <c r="E22" s="508"/>
      <c r="F22" s="508"/>
      <c r="G22" s="22"/>
      <c r="H22" s="68"/>
      <c r="I22" s="481"/>
      <c r="J22" s="481"/>
      <c r="K22" s="94"/>
      <c r="L22" s="77"/>
      <c r="M22" s="78"/>
    </row>
    <row r="23" spans="2:16" ht="20.149999999999999" customHeight="1" x14ac:dyDescent="0.45">
      <c r="B23" s="34"/>
      <c r="C23" s="23" t="s">
        <v>2128</v>
      </c>
      <c r="D23" s="480"/>
      <c r="E23" s="480"/>
      <c r="F23" s="480"/>
      <c r="G23" s="230"/>
      <c r="H23" s="389"/>
      <c r="I23" s="512"/>
      <c r="J23" s="512"/>
      <c r="K23" s="432"/>
      <c r="L23" s="433"/>
      <c r="M23" s="78"/>
    </row>
    <row r="24" spans="2:16" ht="20.149999999999999" customHeight="1" x14ac:dyDescent="0.45">
      <c r="B24" s="34"/>
      <c r="C24" s="230" t="s">
        <v>2233</v>
      </c>
      <c r="D24" s="230"/>
      <c r="E24" s="230"/>
      <c r="F24" s="230"/>
      <c r="G24" s="230"/>
      <c r="H24" s="389"/>
      <c r="I24" s="389"/>
      <c r="J24" s="389"/>
      <c r="K24" s="432"/>
      <c r="L24" s="433"/>
      <c r="M24" s="78"/>
    </row>
    <row r="25" spans="2:16" ht="20.149999999999999" customHeight="1" x14ac:dyDescent="0.45">
      <c r="B25" s="34"/>
      <c r="C25" s="230" t="s">
        <v>2232</v>
      </c>
      <c r="D25" s="230"/>
      <c r="E25" s="230"/>
      <c r="F25" s="230"/>
      <c r="G25" s="230"/>
      <c r="H25" s="389"/>
      <c r="I25" s="389"/>
      <c r="J25" s="389"/>
      <c r="K25" s="432"/>
      <c r="L25" s="433"/>
      <c r="M25" s="78"/>
    </row>
    <row r="26" spans="2:16" ht="20.149999999999999" customHeight="1" x14ac:dyDescent="0.45">
      <c r="B26" s="34"/>
      <c r="C26" s="22"/>
      <c r="D26" s="508"/>
      <c r="E26" s="508"/>
      <c r="F26" s="508"/>
      <c r="G26" s="22"/>
      <c r="H26" s="68"/>
      <c r="I26" s="450"/>
      <c r="J26" s="450"/>
      <c r="K26" s="94"/>
      <c r="L26" s="77"/>
      <c r="M26" s="78"/>
    </row>
    <row r="27" spans="2:16" ht="20.149999999999999" customHeight="1" x14ac:dyDescent="0.45">
      <c r="B27" s="34"/>
      <c r="C27" s="285" t="s">
        <v>2297</v>
      </c>
      <c r="G27" s="22"/>
      <c r="H27" s="68"/>
      <c r="I27" s="481"/>
      <c r="J27" s="481"/>
      <c r="K27" s="94"/>
      <c r="L27" s="77"/>
      <c r="M27" s="78"/>
    </row>
    <row r="28" spans="2:16" ht="20.149999999999999" customHeight="1" x14ac:dyDescent="0.45">
      <c r="B28" s="34"/>
      <c r="C28" s="22" t="s">
        <v>1608</v>
      </c>
      <c r="D28" s="508" t="str">
        <f>VLOOKUP(C28,'Sales Master'!B$3:D$499,2,)</f>
        <v>Pearl Barley 薏米</v>
      </c>
      <c r="E28" s="508"/>
      <c r="F28" s="508"/>
      <c r="G28" s="90">
        <v>1</v>
      </c>
      <c r="H28" s="389" t="str">
        <f>VLOOKUP(C28,'Sales Master'!$B$3:$E$590,4,0)</f>
        <v>-</v>
      </c>
      <c r="I28" s="512" t="str">
        <f>VLOOKUP(C28,'Sales Master'!$B$3:F$590,5,0)</f>
        <v>5 kgs</v>
      </c>
      <c r="J28" s="512"/>
      <c r="K28" s="94">
        <v>11.5</v>
      </c>
      <c r="L28" s="77"/>
      <c r="M28" s="78"/>
    </row>
    <row r="29" spans="2:16" ht="20.149999999999999" customHeight="1" x14ac:dyDescent="0.45">
      <c r="B29" s="34"/>
      <c r="C29" s="22"/>
      <c r="D29" s="508"/>
      <c r="E29" s="508"/>
      <c r="F29" s="508"/>
      <c r="G29" s="22"/>
      <c r="H29" s="68"/>
      <c r="I29" s="450"/>
      <c r="J29" s="450"/>
      <c r="K29" s="94"/>
      <c r="L29" s="77"/>
    </row>
    <row r="30" spans="2:16" ht="20.149999999999999" customHeight="1" thickBot="1" x14ac:dyDescent="0.5">
      <c r="B30" s="37"/>
      <c r="C30" s="38"/>
      <c r="D30" s="509"/>
      <c r="E30" s="509"/>
      <c r="F30" s="509"/>
      <c r="G30" s="38"/>
      <c r="H30" s="69"/>
      <c r="I30" s="451"/>
      <c r="J30" s="451"/>
      <c r="K30" s="39"/>
      <c r="L30" s="40"/>
    </row>
    <row r="31" spans="2:16" ht="20.149999999999999" customHeight="1" thickBot="1" x14ac:dyDescent="0.5">
      <c r="B31" s="41"/>
      <c r="L31" s="42"/>
    </row>
    <row r="32" spans="2:16" ht="20.149999999999999" customHeight="1" x14ac:dyDescent="0.45">
      <c r="B32" s="11" t="s">
        <v>18</v>
      </c>
      <c r="C32" s="7"/>
      <c r="D32" s="7"/>
      <c r="E32" s="7"/>
      <c r="F32" s="7"/>
      <c r="G32" s="7"/>
      <c r="H32" s="7"/>
      <c r="I32" s="7"/>
      <c r="J32" s="510" t="s">
        <v>15</v>
      </c>
      <c r="K32" s="511"/>
      <c r="L32" s="43">
        <f>SUM(L17:L30)</f>
        <v>67.5</v>
      </c>
      <c r="M32" s="76">
        <f>SUM(P16:P30)</f>
        <v>23.499999999999996</v>
      </c>
    </row>
    <row r="33" spans="2:12" ht="20.149999999999999" customHeight="1" x14ac:dyDescent="0.45">
      <c r="B33" s="11" t="s">
        <v>19</v>
      </c>
      <c r="C33" s="7"/>
      <c r="D33" s="7"/>
      <c r="E33" s="7"/>
      <c r="F33" s="7"/>
      <c r="G33" s="7"/>
      <c r="H33" s="7"/>
      <c r="I33" s="7"/>
      <c r="J33" s="44" t="s">
        <v>22</v>
      </c>
      <c r="K33" s="45"/>
      <c r="L33" s="46">
        <f>L32*K33</f>
        <v>0</v>
      </c>
    </row>
    <row r="34" spans="2:12" ht="20.149999999999999" customHeight="1" x14ac:dyDescent="0.45">
      <c r="B34" s="11" t="s">
        <v>20</v>
      </c>
      <c r="C34" s="7"/>
      <c r="D34" s="7"/>
      <c r="E34" s="7"/>
      <c r="F34" s="7"/>
      <c r="G34" s="7"/>
      <c r="H34" s="7"/>
      <c r="I34" s="7"/>
      <c r="J34" s="486" t="s">
        <v>21</v>
      </c>
      <c r="K34" s="487"/>
      <c r="L34" s="46">
        <f>L32-L33</f>
        <v>67.5</v>
      </c>
    </row>
    <row r="35" spans="2:12" ht="20.149999999999999" customHeight="1" x14ac:dyDescent="0.45">
      <c r="B35" s="11" t="s">
        <v>24</v>
      </c>
      <c r="C35" s="7"/>
      <c r="D35" s="7"/>
      <c r="E35" s="7"/>
      <c r="F35" s="7"/>
      <c r="G35" s="7"/>
      <c r="H35" s="7"/>
      <c r="I35" s="7"/>
      <c r="J35" s="150" t="s">
        <v>17</v>
      </c>
      <c r="K35" s="151">
        <v>7.0000000000000007E-2</v>
      </c>
      <c r="L35" s="47">
        <f>L34*K35</f>
        <v>4.7250000000000005</v>
      </c>
    </row>
    <row r="36" spans="2:12" ht="20.149999999999999" customHeight="1" thickBot="1" x14ac:dyDescent="0.5">
      <c r="B36" s="11" t="s">
        <v>25</v>
      </c>
      <c r="C36" s="7"/>
      <c r="D36" s="7"/>
      <c r="E36" s="7"/>
      <c r="F36" s="7"/>
      <c r="G36" s="7"/>
      <c r="H36" s="7"/>
      <c r="I36" s="7"/>
      <c r="J36" s="488" t="s">
        <v>23</v>
      </c>
      <c r="K36" s="489"/>
      <c r="L36" s="48">
        <f>L34+L35</f>
        <v>72.224999999999994</v>
      </c>
    </row>
    <row r="37" spans="2:12" ht="20.149999999999999" customHeight="1" x14ac:dyDescent="0.45">
      <c r="B37" s="11" t="s">
        <v>26</v>
      </c>
      <c r="C37" s="7"/>
      <c r="D37" s="7"/>
      <c r="E37" s="7"/>
      <c r="F37" s="7"/>
      <c r="G37" s="7"/>
      <c r="H37" s="7"/>
      <c r="I37" s="7"/>
      <c r="L37" s="42"/>
    </row>
    <row r="38" spans="2:12" ht="20.149999999999999" customHeight="1" x14ac:dyDescent="0.45">
      <c r="B38" s="41"/>
      <c r="L38" s="42"/>
    </row>
    <row r="39" spans="2:12" ht="20.149999999999999" customHeight="1" x14ac:dyDescent="0.45">
      <c r="B39" s="41"/>
      <c r="L39" s="42"/>
    </row>
    <row r="40" spans="2:12" ht="20.149999999999999" customHeight="1" x14ac:dyDescent="0.45">
      <c r="B40" s="41"/>
      <c r="L40" s="42"/>
    </row>
    <row r="41" spans="2:12" ht="20.149999999999999" customHeight="1" x14ac:dyDescent="0.45">
      <c r="B41" s="41"/>
      <c r="L41" s="42"/>
    </row>
    <row r="42" spans="2:12" ht="20.149999999999999" customHeight="1" x14ac:dyDescent="0.45">
      <c r="B42" s="49"/>
      <c r="C42" s="50"/>
      <c r="D42" s="50"/>
      <c r="J42" s="50"/>
      <c r="K42" s="50"/>
      <c r="L42" s="51"/>
    </row>
    <row r="43" spans="2:12" ht="20.149999999999999" customHeight="1" x14ac:dyDescent="0.45">
      <c r="B43" s="41" t="s">
        <v>27</v>
      </c>
      <c r="J43" s="24" t="s">
        <v>28</v>
      </c>
      <c r="L43" s="42"/>
    </row>
    <row r="44" spans="2:12" ht="19" thickBot="1" x14ac:dyDescent="0.5">
      <c r="B44" s="52"/>
      <c r="C44" s="53"/>
      <c r="D44" s="53"/>
      <c r="E44" s="53"/>
      <c r="F44" s="53"/>
      <c r="G44" s="53"/>
      <c r="H44" s="53"/>
      <c r="I44" s="53"/>
      <c r="J44" s="53"/>
      <c r="K44" s="53"/>
      <c r="L44" s="54"/>
    </row>
  </sheetData>
  <mergeCells count="36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I17:J17"/>
    <mergeCell ref="D18:F18"/>
    <mergeCell ref="I18:J18"/>
    <mergeCell ref="D19:F19"/>
    <mergeCell ref="I19:J19"/>
    <mergeCell ref="D20:F20"/>
    <mergeCell ref="D22:F22"/>
    <mergeCell ref="I22:J22"/>
    <mergeCell ref="D23:F23"/>
    <mergeCell ref="I23:J23"/>
    <mergeCell ref="D26:F26"/>
    <mergeCell ref="I26:J26"/>
    <mergeCell ref="J36:K36"/>
    <mergeCell ref="I27:J27"/>
    <mergeCell ref="D28:F28"/>
    <mergeCell ref="I28:J28"/>
    <mergeCell ref="D29:F29"/>
    <mergeCell ref="I29:J29"/>
    <mergeCell ref="D30:F30"/>
    <mergeCell ref="I30:J30"/>
    <mergeCell ref="J32:K32"/>
    <mergeCell ref="J34:K34"/>
  </mergeCells>
  <pageMargins left="0.70866141732283472" right="0.31496062992125984" top="0.59055118110236227" bottom="0" header="0.31496062992125984" footer="0.31496062992125984"/>
  <pageSetup paperSize="9" scale="78" orientation="portrait" horizontalDpi="300" verticalDpi="300" r:id="rId1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39B6AC-1F82-46CE-A137-DF9E4A5BF362}">
  <sheetPr codeName="Sheet161">
    <tabColor rgb="FFFFFF00"/>
    <pageSetUpPr fitToPage="1"/>
  </sheetPr>
  <dimension ref="B1:O43"/>
  <sheetViews>
    <sheetView workbookViewId="0">
      <selection activeCell="K18" sqref="K18"/>
    </sheetView>
  </sheetViews>
  <sheetFormatPr defaultColWidth="12.54296875" defaultRowHeight="18.5" x14ac:dyDescent="0.45"/>
  <cols>
    <col min="1" max="1" width="12.54296875" style="24"/>
    <col min="2" max="3" width="12.54296875" style="24" customWidth="1"/>
    <col min="4" max="4" width="14.54296875" style="24" customWidth="1"/>
    <col min="5" max="5" width="1.54296875" style="24" customWidth="1"/>
    <col min="6" max="6" width="14.54296875" style="24" customWidth="1"/>
    <col min="7" max="7" width="8.54296875" style="24" customWidth="1"/>
    <col min="8" max="8" width="12.54296875" style="24" customWidth="1"/>
    <col min="9" max="9" width="4.54296875" style="81" customWidth="1"/>
    <col min="10" max="10" width="15.54296875" style="81" customWidth="1"/>
    <col min="11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853</v>
      </c>
      <c r="J10" s="82" t="s">
        <v>29</v>
      </c>
      <c r="K10" s="452">
        <v>202107166</v>
      </c>
      <c r="L10" s="453"/>
    </row>
    <row r="11" spans="2:12" ht="20.149999999999999" customHeight="1" x14ac:dyDescent="0.45">
      <c r="B11" s="569" t="s">
        <v>854</v>
      </c>
      <c r="C11" s="570"/>
      <c r="D11" s="571"/>
      <c r="E11" s="30"/>
      <c r="F11" s="457" t="str">
        <f>VLOOKUP(H10,'Delivery Location'!A$4:N$416,2,0)</f>
        <v>优华                                                        Blk 15, Woodland Loop #03-50                            Singapore 738322</v>
      </c>
      <c r="G11" s="458"/>
      <c r="H11" s="459"/>
      <c r="J11" s="83" t="s">
        <v>11</v>
      </c>
      <c r="K11" s="551">
        <v>44386</v>
      </c>
      <c r="L11" s="472"/>
    </row>
    <row r="12" spans="2:12" ht="20.149999999999999" customHeight="1" x14ac:dyDescent="0.45">
      <c r="B12" s="468" t="s">
        <v>1904</v>
      </c>
      <c r="C12" s="469"/>
      <c r="D12" s="470"/>
      <c r="E12" s="30"/>
      <c r="F12" s="460"/>
      <c r="G12" s="461"/>
      <c r="H12" s="462"/>
      <c r="J12" s="83" t="s">
        <v>171</v>
      </c>
      <c r="K12" s="471" t="s">
        <v>533</v>
      </c>
      <c r="L12" s="472"/>
    </row>
    <row r="13" spans="2:12" ht="20.149999999999999" customHeight="1" x14ac:dyDescent="0.45">
      <c r="B13" s="468" t="s">
        <v>1905</v>
      </c>
      <c r="C13" s="469"/>
      <c r="D13" s="470"/>
      <c r="E13" s="30"/>
      <c r="F13" s="460"/>
      <c r="G13" s="461"/>
      <c r="H13" s="462"/>
      <c r="J13" s="83" t="s">
        <v>12</v>
      </c>
      <c r="K13" s="471" t="s">
        <v>688</v>
      </c>
      <c r="L13" s="472"/>
    </row>
    <row r="14" spans="2:12" ht="20.149999999999999" customHeight="1" x14ac:dyDescent="0.45">
      <c r="B14" s="468"/>
      <c r="C14" s="469"/>
      <c r="D14" s="470"/>
      <c r="E14" s="30"/>
      <c r="F14" s="460"/>
      <c r="G14" s="461"/>
      <c r="H14" s="462"/>
      <c r="J14" s="83" t="s">
        <v>30</v>
      </c>
      <c r="K14" s="471" t="s">
        <v>16</v>
      </c>
      <c r="L14" s="472"/>
    </row>
    <row r="15" spans="2:12" ht="18" customHeight="1" thickBot="1" x14ac:dyDescent="0.5">
      <c r="B15" s="55"/>
      <c r="C15" s="56"/>
      <c r="D15" s="57"/>
      <c r="E15" s="26"/>
      <c r="F15" s="463"/>
      <c r="G15" s="464"/>
      <c r="H15" s="465"/>
      <c r="J15" s="84" t="s">
        <v>13</v>
      </c>
      <c r="K15" s="476"/>
      <c r="L15" s="477"/>
    </row>
    <row r="16" spans="2:12" ht="19" thickBot="1" x14ac:dyDescent="0.5">
      <c r="J16" s="85"/>
    </row>
    <row r="17" spans="2:15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8" t="s">
        <v>622</v>
      </c>
      <c r="I17" s="605" t="s">
        <v>621</v>
      </c>
      <c r="J17" s="606"/>
      <c r="K17" s="9" t="s">
        <v>6</v>
      </c>
      <c r="L17" s="10" t="s">
        <v>7</v>
      </c>
      <c r="M17" s="33"/>
      <c r="N17" s="33"/>
      <c r="O17" s="33"/>
    </row>
    <row r="18" spans="2:15" ht="20.149999999999999" customHeight="1" x14ac:dyDescent="0.45">
      <c r="B18" s="34"/>
      <c r="C18" s="22" t="s">
        <v>1571</v>
      </c>
      <c r="D18" s="508" t="str">
        <f>VLOOKUP(C18,'Sales Master'!B$3:D$499,2,)</f>
        <v>Red Bean红豆</v>
      </c>
      <c r="E18" s="508"/>
      <c r="F18" s="508"/>
      <c r="G18" s="90">
        <v>1</v>
      </c>
      <c r="H18" s="68" t="str">
        <f>VLOOKUP(C18,'Sales Master'!$B$3:$E$590,4,0)</f>
        <v>-</v>
      </c>
      <c r="I18" s="604" t="str">
        <f>VLOOKUP(C18,'Sales Master'!$B$3:F$590,5,0)</f>
        <v>25 kgs/Bag</v>
      </c>
      <c r="J18" s="604"/>
      <c r="K18" s="98">
        <f>VLOOKUP(C18,'Sales Master'!B3:$BE$3199,56,0)</f>
        <v>92</v>
      </c>
      <c r="L18" s="77">
        <f>K18*G18</f>
        <v>92</v>
      </c>
      <c r="M18" s="78"/>
    </row>
    <row r="19" spans="2:15" ht="20.149999999999999" customHeight="1" x14ac:dyDescent="0.45">
      <c r="B19" s="34"/>
      <c r="C19" s="22"/>
      <c r="D19" s="508"/>
      <c r="E19" s="508"/>
      <c r="F19" s="508"/>
      <c r="G19" s="90"/>
      <c r="H19" s="68"/>
      <c r="I19" s="604"/>
      <c r="J19" s="604"/>
      <c r="K19" s="35"/>
      <c r="L19" s="77"/>
      <c r="M19" s="78"/>
    </row>
    <row r="20" spans="2:15" ht="20.149999999999999" customHeight="1" x14ac:dyDescent="0.45">
      <c r="B20" s="34"/>
      <c r="C20" s="22"/>
      <c r="D20" s="508"/>
      <c r="E20" s="508"/>
      <c r="F20" s="508"/>
      <c r="G20" s="90"/>
      <c r="H20" s="68"/>
      <c r="I20" s="604"/>
      <c r="J20" s="604"/>
      <c r="K20" s="35"/>
      <c r="L20" s="77"/>
      <c r="M20" s="78"/>
    </row>
    <row r="21" spans="2:15" ht="20.149999999999999" customHeight="1" x14ac:dyDescent="0.45">
      <c r="B21" s="34"/>
      <c r="C21" s="22"/>
      <c r="D21" s="508"/>
      <c r="E21" s="508"/>
      <c r="F21" s="508"/>
      <c r="G21" s="90"/>
      <c r="H21" s="68"/>
      <c r="I21" s="604"/>
      <c r="J21" s="604"/>
      <c r="K21" s="35"/>
      <c r="L21" s="77"/>
      <c r="M21" s="78"/>
    </row>
    <row r="22" spans="2:15" ht="20.149999999999999" customHeight="1" x14ac:dyDescent="0.45">
      <c r="B22" s="80"/>
      <c r="C22" s="22"/>
      <c r="D22" s="508"/>
      <c r="E22" s="508"/>
      <c r="F22" s="508"/>
      <c r="G22" s="90"/>
      <c r="H22" s="68"/>
      <c r="I22" s="604"/>
      <c r="J22" s="604"/>
      <c r="K22" s="35"/>
      <c r="L22" s="77"/>
      <c r="M22" s="78"/>
    </row>
    <row r="23" spans="2:15" ht="20.149999999999999" customHeight="1" x14ac:dyDescent="0.45">
      <c r="B23" s="34"/>
      <c r="C23" s="22"/>
      <c r="D23" s="508"/>
      <c r="E23" s="508"/>
      <c r="F23" s="508"/>
      <c r="G23" s="90"/>
      <c r="H23" s="68"/>
      <c r="I23" s="604"/>
      <c r="J23" s="604"/>
      <c r="K23" s="35"/>
      <c r="L23" s="77"/>
      <c r="M23" s="78"/>
    </row>
    <row r="24" spans="2:15" ht="20.149999999999999" customHeight="1" x14ac:dyDescent="0.45">
      <c r="B24" s="34"/>
      <c r="C24" s="22"/>
      <c r="D24" s="508"/>
      <c r="E24" s="508"/>
      <c r="F24" s="508"/>
      <c r="G24" s="90"/>
      <c r="H24" s="68"/>
      <c r="I24" s="604"/>
      <c r="J24" s="604"/>
      <c r="K24" s="35"/>
      <c r="L24" s="77"/>
      <c r="M24" s="78"/>
    </row>
    <row r="25" spans="2:15" ht="20.149999999999999" customHeight="1" x14ac:dyDescent="0.45">
      <c r="B25" s="34"/>
      <c r="C25" s="22"/>
      <c r="D25" s="508"/>
      <c r="E25" s="508"/>
      <c r="F25" s="508"/>
      <c r="G25" s="91"/>
      <c r="H25" s="68"/>
      <c r="I25" s="604"/>
      <c r="J25" s="604"/>
      <c r="K25" s="35"/>
      <c r="L25" s="77"/>
      <c r="M25" s="78"/>
    </row>
    <row r="26" spans="2:15" ht="20.149999999999999" customHeight="1" x14ac:dyDescent="0.45">
      <c r="B26" s="34"/>
      <c r="C26" s="22"/>
      <c r="D26" s="508"/>
      <c r="E26" s="508"/>
      <c r="F26" s="508"/>
      <c r="G26" s="91"/>
      <c r="H26" s="68"/>
      <c r="I26" s="604"/>
      <c r="J26" s="604"/>
      <c r="K26" s="35"/>
      <c r="L26" s="77"/>
      <c r="M26" s="78"/>
    </row>
    <row r="27" spans="2:15" ht="20.149999999999999" customHeight="1" x14ac:dyDescent="0.45">
      <c r="B27" s="34"/>
      <c r="C27" s="22"/>
      <c r="G27" s="91"/>
      <c r="H27" s="68"/>
      <c r="I27" s="604"/>
      <c r="J27" s="604"/>
      <c r="K27" s="35"/>
      <c r="L27" s="77"/>
      <c r="M27" s="78"/>
    </row>
    <row r="28" spans="2:15" ht="20.149999999999999" customHeight="1" x14ac:dyDescent="0.45">
      <c r="B28" s="34"/>
      <c r="C28" s="22"/>
      <c r="D28" s="508"/>
      <c r="E28" s="508"/>
      <c r="F28" s="508"/>
      <c r="G28" s="91"/>
      <c r="H28" s="68"/>
      <c r="I28" s="604"/>
      <c r="J28" s="604"/>
      <c r="K28" s="35"/>
      <c r="L28" s="77"/>
    </row>
    <row r="29" spans="2:15" ht="20.149999999999999" customHeight="1" thickBot="1" x14ac:dyDescent="0.5">
      <c r="B29" s="37"/>
      <c r="C29" s="38"/>
      <c r="D29" s="509"/>
      <c r="E29" s="509"/>
      <c r="F29" s="509"/>
      <c r="G29" s="38"/>
      <c r="H29" s="69"/>
      <c r="I29" s="588"/>
      <c r="J29" s="588"/>
      <c r="K29" s="39"/>
      <c r="L29" s="40"/>
    </row>
    <row r="30" spans="2:15" ht="20.149999999999999" customHeight="1" thickBot="1" x14ac:dyDescent="0.5">
      <c r="B30" s="41"/>
      <c r="L30" s="42"/>
    </row>
    <row r="31" spans="2:15" ht="20.149999999999999" customHeight="1" x14ac:dyDescent="0.45">
      <c r="B31" s="11" t="s">
        <v>18</v>
      </c>
      <c r="C31" s="7"/>
      <c r="D31" s="7"/>
      <c r="E31" s="7"/>
      <c r="F31" s="7"/>
      <c r="G31" s="7"/>
      <c r="H31" s="7"/>
      <c r="I31" s="86"/>
      <c r="J31" s="510" t="s">
        <v>15</v>
      </c>
      <c r="K31" s="511"/>
      <c r="L31" s="43">
        <f>SUM(L17:L29)</f>
        <v>92</v>
      </c>
      <c r="M31" s="76">
        <f>166+26</f>
        <v>192</v>
      </c>
    </row>
    <row r="32" spans="2:15" ht="20.149999999999999" customHeight="1" x14ac:dyDescent="0.45">
      <c r="B32" s="11" t="s">
        <v>19</v>
      </c>
      <c r="C32" s="7"/>
      <c r="D32" s="7"/>
      <c r="E32" s="7"/>
      <c r="F32" s="7"/>
      <c r="G32" s="7"/>
      <c r="H32" s="7"/>
      <c r="I32" s="86"/>
      <c r="J32" s="44" t="s">
        <v>22</v>
      </c>
      <c r="K32" s="45"/>
      <c r="L32" s="46">
        <f>L31*K32</f>
        <v>0</v>
      </c>
    </row>
    <row r="33" spans="2:12" ht="20.149999999999999" customHeight="1" x14ac:dyDescent="0.45">
      <c r="B33" s="11" t="s">
        <v>20</v>
      </c>
      <c r="C33" s="7"/>
      <c r="D33" s="7"/>
      <c r="E33" s="7"/>
      <c r="F33" s="7"/>
      <c r="G33" s="7"/>
      <c r="H33" s="7"/>
      <c r="I33" s="86"/>
      <c r="J33" s="486" t="s">
        <v>21</v>
      </c>
      <c r="K33" s="487"/>
      <c r="L33" s="46">
        <f>L31-L32</f>
        <v>92</v>
      </c>
    </row>
    <row r="34" spans="2:12" ht="20.149999999999999" customHeight="1" x14ac:dyDescent="0.45">
      <c r="B34" s="11" t="s">
        <v>24</v>
      </c>
      <c r="C34" s="7"/>
      <c r="D34" s="7"/>
      <c r="E34" s="7"/>
      <c r="F34" s="7"/>
      <c r="G34" s="7"/>
      <c r="H34" s="7"/>
      <c r="I34" s="86"/>
      <c r="J34" s="150" t="s">
        <v>17</v>
      </c>
      <c r="K34" s="151">
        <v>7.0000000000000007E-2</v>
      </c>
      <c r="L34" s="47">
        <f>L33*K34</f>
        <v>6.44</v>
      </c>
    </row>
    <row r="35" spans="2:12" ht="20.149999999999999" customHeight="1" thickBot="1" x14ac:dyDescent="0.5">
      <c r="B35" s="11" t="s">
        <v>25</v>
      </c>
      <c r="C35" s="7"/>
      <c r="D35" s="7"/>
      <c r="E35" s="7"/>
      <c r="F35" s="7"/>
      <c r="G35" s="7"/>
      <c r="H35" s="7"/>
      <c r="I35" s="86"/>
      <c r="J35" s="488" t="s">
        <v>23</v>
      </c>
      <c r="K35" s="489"/>
      <c r="L35" s="48">
        <f>L33+L34</f>
        <v>98.44</v>
      </c>
    </row>
    <row r="36" spans="2:12" ht="20.149999999999999" customHeight="1" x14ac:dyDescent="0.45">
      <c r="B36" s="11" t="s">
        <v>26</v>
      </c>
      <c r="C36" s="7"/>
      <c r="D36" s="7"/>
      <c r="E36" s="7"/>
      <c r="F36" s="7"/>
      <c r="G36" s="7"/>
      <c r="H36" s="7"/>
      <c r="I36" s="86"/>
      <c r="L36" s="42"/>
    </row>
    <row r="37" spans="2:12" ht="20.149999999999999" customHeight="1" x14ac:dyDescent="0.45">
      <c r="B37" s="41"/>
      <c r="L37" s="42"/>
    </row>
    <row r="38" spans="2:12" ht="20.149999999999999" customHeight="1" x14ac:dyDescent="0.45">
      <c r="B38" s="41"/>
      <c r="L38" s="42"/>
    </row>
    <row r="39" spans="2:12" ht="20.149999999999999" customHeight="1" x14ac:dyDescent="0.45">
      <c r="B39" s="41"/>
      <c r="L39" s="42"/>
    </row>
    <row r="40" spans="2:12" ht="20.149999999999999" customHeight="1" x14ac:dyDescent="0.45">
      <c r="B40" s="41"/>
      <c r="L40" s="42"/>
    </row>
    <row r="41" spans="2:12" ht="20.149999999999999" customHeight="1" x14ac:dyDescent="0.45">
      <c r="B41" s="49"/>
      <c r="C41" s="50"/>
      <c r="D41" s="50"/>
      <c r="J41" s="87"/>
      <c r="K41" s="50"/>
      <c r="L41" s="51"/>
    </row>
    <row r="42" spans="2:12" ht="20.149999999999999" customHeight="1" x14ac:dyDescent="0.45">
      <c r="B42" s="41" t="s">
        <v>27</v>
      </c>
      <c r="J42" s="81" t="s">
        <v>28</v>
      </c>
      <c r="L42" s="42"/>
    </row>
    <row r="43" spans="2:12" ht="19" thickBot="1" x14ac:dyDescent="0.5">
      <c r="B43" s="52"/>
      <c r="C43" s="53"/>
      <c r="D43" s="53"/>
      <c r="E43" s="53"/>
      <c r="F43" s="53"/>
      <c r="G43" s="53"/>
      <c r="H43" s="53"/>
      <c r="I43" s="88"/>
      <c r="J43" s="88"/>
      <c r="K43" s="53"/>
      <c r="L43" s="54"/>
    </row>
  </sheetData>
  <mergeCells count="40"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18:J18"/>
    <mergeCell ref="D20:F20"/>
    <mergeCell ref="I20:J20"/>
    <mergeCell ref="D21:F21"/>
    <mergeCell ref="I21:J21"/>
    <mergeCell ref="D19:F19"/>
    <mergeCell ref="I19:J19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J33:K33"/>
    <mergeCell ref="J35:K35"/>
    <mergeCell ref="I27:J27"/>
    <mergeCell ref="D28:F28"/>
    <mergeCell ref="I28:J28"/>
    <mergeCell ref="D29:F29"/>
    <mergeCell ref="I29:J29"/>
    <mergeCell ref="J31:K31"/>
  </mergeCells>
  <pageMargins left="0.70866141732283472" right="0.31496062992125984" top="0.59055118110236227" bottom="0" header="0.31496062992125984" footer="0.31496062992125984"/>
  <pageSetup paperSize="9" scale="74" orientation="portrait" verticalDpi="300" r:id="rId1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3E0F3F-DA96-4269-8DC2-E698FA824512}">
  <sheetPr codeName="Sheet162">
    <pageSetUpPr fitToPage="1"/>
  </sheetPr>
  <dimension ref="B7:O50"/>
  <sheetViews>
    <sheetView workbookViewId="0">
      <selection activeCell="M5" sqref="M5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4.54296875" style="24" customWidth="1"/>
    <col min="7" max="7" width="8.54296875" style="24" customWidth="1"/>
    <col min="8" max="8" width="15.54296875" style="24" customWidth="1"/>
    <col min="9" max="9" width="2.54296875" style="24" customWidth="1"/>
    <col min="10" max="10" width="15.54296875" style="24" customWidth="1"/>
    <col min="11" max="12" width="12.54296875" style="24" customWidth="1"/>
    <col min="13" max="16384" width="12.54296875" style="24"/>
  </cols>
  <sheetData>
    <row r="7" spans="2:15" x14ac:dyDescent="0.45">
      <c r="B7" s="23"/>
    </row>
    <row r="8" spans="2:15" ht="19" thickBot="1" x14ac:dyDescent="0.5">
      <c r="B8" s="23"/>
    </row>
    <row r="9" spans="2:15" ht="18" customHeight="1" thickTop="1" thickBot="1" x14ac:dyDescent="0.5">
      <c r="B9" s="25" t="s">
        <v>9</v>
      </c>
      <c r="C9" s="25"/>
      <c r="D9" s="26"/>
      <c r="E9" s="26"/>
      <c r="F9" s="27" t="s">
        <v>10</v>
      </c>
      <c r="G9" s="28"/>
      <c r="H9" s="28" t="s">
        <v>887</v>
      </c>
      <c r="J9" s="29" t="s">
        <v>29</v>
      </c>
      <c r="K9" s="452">
        <v>201912426</v>
      </c>
      <c r="L9" s="453"/>
    </row>
    <row r="10" spans="2:15" ht="20.149999999999999" customHeight="1" x14ac:dyDescent="0.45">
      <c r="B10" s="454" t="s">
        <v>743</v>
      </c>
      <c r="C10" s="455"/>
      <c r="D10" s="456"/>
      <c r="E10" s="30"/>
      <c r="F10" s="457" t="str">
        <f>VLOOKUP(H9,'Delivery Location'!A$4:N$416,2,0)</f>
        <v>Hee Tea                                                                 35 Robinson Road #01-04                                 Singapore 068898</v>
      </c>
      <c r="G10" s="458"/>
      <c r="H10" s="459"/>
      <c r="J10" s="31" t="s">
        <v>11</v>
      </c>
      <c r="K10" s="551" t="s">
        <v>892</v>
      </c>
      <c r="L10" s="472"/>
    </row>
    <row r="11" spans="2:15" ht="20.149999999999999" customHeight="1" x14ac:dyDescent="0.45">
      <c r="B11" s="468"/>
      <c r="C11" s="469"/>
      <c r="D11" s="470"/>
      <c r="E11" s="30"/>
      <c r="F11" s="460"/>
      <c r="G11" s="461"/>
      <c r="H11" s="462"/>
      <c r="J11" s="31" t="s">
        <v>171</v>
      </c>
      <c r="K11" s="471" t="s">
        <v>533</v>
      </c>
      <c r="L11" s="472"/>
    </row>
    <row r="12" spans="2:15" ht="20.149999999999999" customHeight="1" x14ac:dyDescent="0.45">
      <c r="B12" s="468"/>
      <c r="C12" s="469"/>
      <c r="D12" s="470"/>
      <c r="E12" s="30"/>
      <c r="F12" s="460"/>
      <c r="G12" s="461"/>
      <c r="H12" s="462"/>
      <c r="J12" s="31" t="s">
        <v>12</v>
      </c>
      <c r="K12" s="471" t="s">
        <v>688</v>
      </c>
      <c r="L12" s="472"/>
    </row>
    <row r="13" spans="2:15" ht="20.149999999999999" customHeight="1" x14ac:dyDescent="0.45">
      <c r="B13" s="468"/>
      <c r="C13" s="469"/>
      <c r="D13" s="470"/>
      <c r="E13" s="30"/>
      <c r="F13" s="460"/>
      <c r="G13" s="461"/>
      <c r="H13" s="462"/>
      <c r="J13" s="31" t="s">
        <v>30</v>
      </c>
      <c r="K13" s="471" t="s">
        <v>16</v>
      </c>
      <c r="L13" s="472"/>
    </row>
    <row r="14" spans="2:15" ht="18" customHeight="1" thickBot="1" x14ac:dyDescent="0.5">
      <c r="B14" s="55"/>
      <c r="C14" s="56"/>
      <c r="D14" s="57"/>
      <c r="E14" s="26"/>
      <c r="F14" s="463"/>
      <c r="G14" s="464"/>
      <c r="H14" s="465"/>
      <c r="J14" s="32" t="s">
        <v>13</v>
      </c>
      <c r="K14" s="476"/>
      <c r="L14" s="477"/>
    </row>
    <row r="15" spans="2:15" ht="19" thickBot="1" x14ac:dyDescent="0.5">
      <c r="J15" s="22"/>
    </row>
    <row r="16" spans="2:15" ht="30" customHeight="1" thickBot="1" x14ac:dyDescent="0.5">
      <c r="B16" s="8" t="s">
        <v>2</v>
      </c>
      <c r="C16" s="9" t="s">
        <v>3</v>
      </c>
      <c r="D16" s="478" t="s">
        <v>4</v>
      </c>
      <c r="E16" s="483"/>
      <c r="F16" s="479"/>
      <c r="G16" s="19" t="s">
        <v>620</v>
      </c>
      <c r="H16" s="9" t="s">
        <v>31</v>
      </c>
      <c r="I16" s="478" t="s">
        <v>60</v>
      </c>
      <c r="J16" s="479"/>
      <c r="K16" s="9" t="s">
        <v>6</v>
      </c>
      <c r="L16" s="10" t="s">
        <v>7</v>
      </c>
      <c r="M16" s="33"/>
      <c r="N16" s="33"/>
      <c r="O16" s="33"/>
    </row>
    <row r="17" spans="2:12" ht="20.149999999999999" customHeight="1" x14ac:dyDescent="0.45">
      <c r="B17" s="34"/>
      <c r="C17" s="22" t="s">
        <v>627</v>
      </c>
      <c r="D17" s="560" t="e">
        <f>VLOOKUP(C17,'Sales Master'!B$3:D$499,2,)</f>
        <v>#N/A</v>
      </c>
      <c r="E17" s="560"/>
      <c r="F17" s="560"/>
      <c r="G17" s="22">
        <v>4</v>
      </c>
      <c r="H17" s="68" t="str">
        <f>VLOOKUP(C17,'[2]Sales Master'!B$3:F$736,5,0)</f>
        <v>4L/支</v>
      </c>
      <c r="I17" s="481" t="str">
        <f>VLOOKUP(C17,'[2]Sales Master'!B$3:E$736,4,0)</f>
        <v>DO!</v>
      </c>
      <c r="J17" s="481"/>
      <c r="K17" s="35">
        <v>12</v>
      </c>
      <c r="L17" s="36">
        <f>K17*G17</f>
        <v>48</v>
      </c>
    </row>
    <row r="18" spans="2:12" ht="20.149999999999999" customHeight="1" x14ac:dyDescent="0.45">
      <c r="B18" s="34"/>
      <c r="C18" s="22" t="s">
        <v>395</v>
      </c>
      <c r="D18" s="560" t="e">
        <f>VLOOKUP(C18,'Sales Master'!B$3:D$499,2,)</f>
        <v>#N/A</v>
      </c>
      <c r="E18" s="560"/>
      <c r="F18" s="560"/>
      <c r="G18" s="22">
        <v>1</v>
      </c>
      <c r="H18" s="68" t="str">
        <f>VLOOKUP(C18,'[2]Sales Master'!B$3:F$736,5,0)</f>
        <v>1 Can X A10</v>
      </c>
      <c r="I18" s="481" t="str">
        <f>VLOOKUP(C18,'[2]Sales Master'!B$3:E$736,4,0)</f>
        <v>Coco</v>
      </c>
      <c r="J18" s="481"/>
      <c r="K18" s="35">
        <v>11</v>
      </c>
      <c r="L18" s="36">
        <f>K18*G18</f>
        <v>11</v>
      </c>
    </row>
    <row r="19" spans="2:12" ht="20.149999999999999" customHeight="1" x14ac:dyDescent="0.45">
      <c r="B19" s="34"/>
      <c r="C19" s="22"/>
      <c r="D19" s="614" t="s">
        <v>893</v>
      </c>
      <c r="E19" s="614"/>
      <c r="F19" s="614"/>
      <c r="G19" s="153"/>
      <c r="H19" s="160"/>
      <c r="I19" s="625"/>
      <c r="J19" s="625"/>
      <c r="K19" s="161"/>
      <c r="L19" s="162">
        <v>10</v>
      </c>
    </row>
    <row r="20" spans="2:12" ht="20.149999999999999" customHeight="1" x14ac:dyDescent="0.45">
      <c r="B20" s="34"/>
      <c r="C20" s="22"/>
      <c r="D20" s="508"/>
      <c r="E20" s="508"/>
      <c r="F20" s="508"/>
      <c r="G20" s="22"/>
      <c r="H20" s="68"/>
      <c r="I20" s="450"/>
      <c r="J20" s="450"/>
      <c r="K20" s="35"/>
      <c r="L20" s="36"/>
    </row>
    <row r="21" spans="2:12" ht="20.149999999999999" customHeight="1" x14ac:dyDescent="0.45">
      <c r="B21" s="34"/>
      <c r="C21" s="22"/>
      <c r="D21" s="508"/>
      <c r="E21" s="508"/>
      <c r="F21" s="508"/>
      <c r="G21" s="22"/>
      <c r="H21" s="68"/>
      <c r="I21" s="450"/>
      <c r="J21" s="450"/>
      <c r="K21" s="35"/>
      <c r="L21" s="36"/>
    </row>
    <row r="22" spans="2:12" ht="20.149999999999999" customHeight="1" x14ac:dyDescent="0.45">
      <c r="B22" s="34"/>
      <c r="C22" s="22"/>
      <c r="D22" s="508"/>
      <c r="E22" s="508"/>
      <c r="F22" s="508"/>
      <c r="G22" s="22"/>
      <c r="H22" s="68"/>
      <c r="I22" s="450"/>
      <c r="J22" s="450"/>
      <c r="K22" s="35"/>
      <c r="L22" s="36"/>
    </row>
    <row r="23" spans="2:12" ht="20.149999999999999" customHeight="1" x14ac:dyDescent="0.45">
      <c r="B23" s="34"/>
      <c r="C23" s="22"/>
      <c r="D23" s="508"/>
      <c r="E23" s="508"/>
      <c r="F23" s="508"/>
      <c r="G23" s="22"/>
      <c r="H23" s="68"/>
      <c r="I23" s="450"/>
      <c r="J23" s="450"/>
      <c r="K23" s="35"/>
      <c r="L23" s="36"/>
    </row>
    <row r="24" spans="2:12" ht="20.149999999999999" customHeight="1" x14ac:dyDescent="0.45">
      <c r="B24" s="34"/>
      <c r="C24" s="22"/>
      <c r="D24" s="508"/>
      <c r="E24" s="508"/>
      <c r="F24" s="508"/>
      <c r="G24" s="22"/>
      <c r="H24" s="68"/>
      <c r="I24" s="450"/>
      <c r="J24" s="450"/>
      <c r="K24" s="35"/>
      <c r="L24" s="36"/>
    </row>
    <row r="25" spans="2:12" ht="20.149999999999999" customHeight="1" x14ac:dyDescent="0.45">
      <c r="B25" s="34"/>
      <c r="C25" s="22"/>
      <c r="G25" s="22"/>
      <c r="H25" s="68"/>
      <c r="I25" s="450"/>
      <c r="J25" s="450"/>
      <c r="K25" s="35"/>
      <c r="L25" s="36"/>
    </row>
    <row r="26" spans="2:12" ht="20.149999999999999" customHeight="1" x14ac:dyDescent="0.45">
      <c r="B26" s="34"/>
      <c r="C26" s="22"/>
      <c r="G26" s="22"/>
      <c r="H26" s="68"/>
      <c r="I26" s="450"/>
      <c r="J26" s="450"/>
      <c r="K26" s="35"/>
      <c r="L26" s="36"/>
    </row>
    <row r="27" spans="2:12" ht="20.149999999999999" customHeight="1" x14ac:dyDescent="0.45">
      <c r="B27" s="34"/>
      <c r="C27" s="22"/>
      <c r="G27" s="22"/>
      <c r="H27" s="68"/>
      <c r="I27" s="450"/>
      <c r="J27" s="450"/>
      <c r="K27" s="35"/>
      <c r="L27" s="36"/>
    </row>
    <row r="28" spans="2:12" ht="20.149999999999999" customHeight="1" x14ac:dyDescent="0.45">
      <c r="B28" s="34"/>
      <c r="C28" s="22"/>
      <c r="G28" s="22"/>
      <c r="H28" s="68"/>
      <c r="I28" s="450"/>
      <c r="J28" s="450"/>
      <c r="K28" s="35"/>
      <c r="L28" s="36"/>
    </row>
    <row r="29" spans="2:12" ht="20.149999999999999" customHeight="1" x14ac:dyDescent="0.45">
      <c r="B29" s="34"/>
      <c r="C29" s="22"/>
      <c r="G29" s="22"/>
      <c r="H29" s="68"/>
      <c r="I29" s="450"/>
      <c r="J29" s="450"/>
      <c r="K29" s="35"/>
      <c r="L29" s="36"/>
    </row>
    <row r="30" spans="2:12" ht="20.149999999999999" customHeight="1" x14ac:dyDescent="0.45">
      <c r="B30" s="34"/>
      <c r="C30" s="22"/>
      <c r="G30" s="22"/>
      <c r="H30" s="68"/>
      <c r="I30" s="22"/>
      <c r="J30" s="22"/>
      <c r="K30" s="35"/>
      <c r="L30" s="36"/>
    </row>
    <row r="31" spans="2:12" ht="20.149999999999999" customHeight="1" x14ac:dyDescent="0.45">
      <c r="B31" s="34"/>
      <c r="C31" s="22"/>
      <c r="G31" s="22"/>
      <c r="H31" s="68"/>
      <c r="I31" s="22"/>
      <c r="J31" s="22"/>
      <c r="K31" s="35"/>
      <c r="L31" s="36"/>
    </row>
    <row r="32" spans="2:12" ht="20.149999999999999" customHeight="1" x14ac:dyDescent="0.45">
      <c r="B32" s="34"/>
      <c r="C32" s="22"/>
      <c r="G32" s="22"/>
      <c r="H32" s="68"/>
      <c r="I32" s="22"/>
      <c r="J32" s="22"/>
      <c r="K32" s="35"/>
      <c r="L32" s="36"/>
    </row>
    <row r="33" spans="2:12" ht="20.149999999999999" customHeight="1" x14ac:dyDescent="0.45">
      <c r="B33" s="34"/>
      <c r="C33" s="22"/>
      <c r="D33" s="508"/>
      <c r="E33" s="508"/>
      <c r="F33" s="508"/>
      <c r="G33" s="22"/>
      <c r="H33" s="68"/>
      <c r="I33" s="68"/>
      <c r="J33" s="22"/>
      <c r="K33" s="35"/>
      <c r="L33" s="36"/>
    </row>
    <row r="34" spans="2:12" ht="20.149999999999999" customHeight="1" x14ac:dyDescent="0.45">
      <c r="B34" s="34"/>
      <c r="C34" s="22"/>
      <c r="D34" s="508"/>
      <c r="E34" s="508"/>
      <c r="F34" s="508"/>
      <c r="G34" s="22"/>
      <c r="H34" s="68"/>
      <c r="I34" s="68"/>
      <c r="J34" s="22"/>
      <c r="K34" s="35"/>
      <c r="L34" s="36"/>
    </row>
    <row r="35" spans="2:12" ht="20.149999999999999" customHeight="1" x14ac:dyDescent="0.45">
      <c r="B35" s="34"/>
      <c r="C35" s="22"/>
      <c r="D35" s="508"/>
      <c r="E35" s="508"/>
      <c r="F35" s="508"/>
      <c r="G35" s="22"/>
      <c r="H35" s="22"/>
      <c r="I35" s="22"/>
      <c r="J35" s="22"/>
      <c r="K35" s="35"/>
      <c r="L35" s="36"/>
    </row>
    <row r="36" spans="2:12" ht="20.149999999999999" customHeight="1" thickBot="1" x14ac:dyDescent="0.5">
      <c r="B36" s="37"/>
      <c r="C36" s="38"/>
      <c r="D36" s="509"/>
      <c r="E36" s="509"/>
      <c r="F36" s="509"/>
      <c r="G36" s="38"/>
      <c r="H36" s="38"/>
      <c r="I36" s="38"/>
      <c r="J36" s="38"/>
      <c r="K36" s="39"/>
      <c r="L36" s="40"/>
    </row>
    <row r="37" spans="2:12" ht="20.149999999999999" customHeight="1" thickBot="1" x14ac:dyDescent="0.5">
      <c r="B37" s="41"/>
      <c r="L37" s="42"/>
    </row>
    <row r="38" spans="2:12" ht="20.149999999999999" customHeight="1" x14ac:dyDescent="0.45">
      <c r="B38" s="11" t="s">
        <v>18</v>
      </c>
      <c r="C38" s="7"/>
      <c r="D38" s="7"/>
      <c r="E38" s="7"/>
      <c r="F38" s="7"/>
      <c r="G38" s="7"/>
      <c r="H38" s="7"/>
      <c r="I38" s="7"/>
      <c r="J38" s="510" t="s">
        <v>15</v>
      </c>
      <c r="K38" s="511"/>
      <c r="L38" s="43">
        <f>SUM(L16:L36)</f>
        <v>69</v>
      </c>
    </row>
    <row r="39" spans="2:12" ht="20.149999999999999" customHeight="1" x14ac:dyDescent="0.45">
      <c r="B39" s="11" t="s">
        <v>19</v>
      </c>
      <c r="C39" s="7"/>
      <c r="D39" s="7"/>
      <c r="E39" s="7"/>
      <c r="F39" s="7"/>
      <c r="G39" s="7"/>
      <c r="H39" s="7"/>
      <c r="I39" s="7"/>
      <c r="J39" s="44" t="s">
        <v>22</v>
      </c>
      <c r="K39" s="45"/>
      <c r="L39" s="46">
        <f>L38*K39</f>
        <v>0</v>
      </c>
    </row>
    <row r="40" spans="2:12" ht="20.149999999999999" customHeight="1" x14ac:dyDescent="0.45">
      <c r="B40" s="11" t="s">
        <v>20</v>
      </c>
      <c r="C40" s="7"/>
      <c r="D40" s="7"/>
      <c r="E40" s="7"/>
      <c r="F40" s="7"/>
      <c r="G40" s="7"/>
      <c r="H40" s="7"/>
      <c r="I40" s="7"/>
      <c r="J40" s="486" t="s">
        <v>21</v>
      </c>
      <c r="K40" s="487"/>
      <c r="L40" s="46">
        <f>L38-L39</f>
        <v>69</v>
      </c>
    </row>
    <row r="41" spans="2:12" ht="20.149999999999999" customHeight="1" x14ac:dyDescent="0.45">
      <c r="B41" s="11" t="s">
        <v>24</v>
      </c>
      <c r="C41" s="7"/>
      <c r="D41" s="7"/>
      <c r="E41" s="7"/>
      <c r="F41" s="7"/>
      <c r="G41" s="7"/>
      <c r="H41" s="7"/>
      <c r="I41" s="7"/>
      <c r="J41" s="150" t="s">
        <v>17</v>
      </c>
      <c r="K41" s="151">
        <v>7.0000000000000007E-2</v>
      </c>
      <c r="L41" s="47">
        <f>L40*K41</f>
        <v>4.83</v>
      </c>
    </row>
    <row r="42" spans="2:12" ht="20.149999999999999" customHeight="1" thickBot="1" x14ac:dyDescent="0.5">
      <c r="B42" s="11" t="s">
        <v>25</v>
      </c>
      <c r="C42" s="7"/>
      <c r="D42" s="7"/>
      <c r="E42" s="7"/>
      <c r="F42" s="7"/>
      <c r="G42" s="7"/>
      <c r="H42" s="7"/>
      <c r="I42" s="7"/>
      <c r="J42" s="488" t="s">
        <v>23</v>
      </c>
      <c r="K42" s="489"/>
      <c r="L42" s="48">
        <f>L40+L41</f>
        <v>73.83</v>
      </c>
    </row>
    <row r="43" spans="2:12" ht="20.149999999999999" customHeight="1" x14ac:dyDescent="0.45">
      <c r="B43" s="11" t="s">
        <v>26</v>
      </c>
      <c r="C43" s="7"/>
      <c r="D43" s="7"/>
      <c r="E43" s="7"/>
      <c r="F43" s="7"/>
      <c r="G43" s="7"/>
      <c r="H43" s="7"/>
      <c r="I43" s="7"/>
      <c r="L43" s="42"/>
    </row>
    <row r="44" spans="2:12" ht="20.149999999999999" customHeight="1" x14ac:dyDescent="0.45">
      <c r="B44" s="41"/>
      <c r="L44" s="42"/>
    </row>
    <row r="45" spans="2:12" ht="20.149999999999999" customHeight="1" x14ac:dyDescent="0.45">
      <c r="B45" s="41"/>
      <c r="L45" s="42"/>
    </row>
    <row r="46" spans="2:12" ht="20.149999999999999" customHeight="1" x14ac:dyDescent="0.45">
      <c r="B46" s="41"/>
      <c r="L46" s="42"/>
    </row>
    <row r="47" spans="2:12" ht="20.149999999999999" customHeight="1" x14ac:dyDescent="0.45">
      <c r="B47" s="41"/>
      <c r="L47" s="42"/>
    </row>
    <row r="48" spans="2:12" ht="20.149999999999999" customHeight="1" x14ac:dyDescent="0.45">
      <c r="B48" s="49"/>
      <c r="C48" s="50"/>
      <c r="D48" s="50"/>
      <c r="J48" s="50"/>
      <c r="K48" s="50"/>
      <c r="L48" s="51"/>
    </row>
    <row r="49" spans="2:12" ht="20.149999999999999" customHeight="1" x14ac:dyDescent="0.45">
      <c r="B49" s="41" t="s">
        <v>27</v>
      </c>
      <c r="J49" s="24" t="s">
        <v>28</v>
      </c>
      <c r="L49" s="42"/>
    </row>
    <row r="50" spans="2:12" ht="19" thickBot="1" x14ac:dyDescent="0.5">
      <c r="B50" s="52"/>
      <c r="C50" s="53"/>
      <c r="D50" s="53"/>
      <c r="E50" s="53"/>
      <c r="F50" s="53"/>
      <c r="G50" s="53"/>
      <c r="H50" s="53"/>
      <c r="I50" s="53"/>
      <c r="J50" s="53"/>
      <c r="K50" s="53"/>
      <c r="L50" s="54"/>
    </row>
  </sheetData>
  <mergeCells count="41">
    <mergeCell ref="J42:K42"/>
    <mergeCell ref="D34:F34"/>
    <mergeCell ref="D35:F35"/>
    <mergeCell ref="D36:F36"/>
    <mergeCell ref="J38:K38"/>
    <mergeCell ref="J40:K40"/>
    <mergeCell ref="D21:F21"/>
    <mergeCell ref="I21:J21"/>
    <mergeCell ref="D33:F33"/>
    <mergeCell ref="D22:F22"/>
    <mergeCell ref="I22:J22"/>
    <mergeCell ref="D23:F23"/>
    <mergeCell ref="I23:J23"/>
    <mergeCell ref="D24:F24"/>
    <mergeCell ref="I24:J24"/>
    <mergeCell ref="I25:J25"/>
    <mergeCell ref="I26:J26"/>
    <mergeCell ref="I27:J27"/>
    <mergeCell ref="I28:J28"/>
    <mergeCell ref="I29:J29"/>
    <mergeCell ref="D19:F19"/>
    <mergeCell ref="I19:J19"/>
    <mergeCell ref="D20:F20"/>
    <mergeCell ref="I20:J20"/>
    <mergeCell ref="D18:F18"/>
    <mergeCell ref="I18:J18"/>
    <mergeCell ref="D16:F16"/>
    <mergeCell ref="I16:J16"/>
    <mergeCell ref="D17:F17"/>
    <mergeCell ref="K9:L9"/>
    <mergeCell ref="B10:D10"/>
    <mergeCell ref="F10:H14"/>
    <mergeCell ref="K10:L10"/>
    <mergeCell ref="B11:D11"/>
    <mergeCell ref="K11:L11"/>
    <mergeCell ref="B12:D12"/>
    <mergeCell ref="K12:L12"/>
    <mergeCell ref="B13:D13"/>
    <mergeCell ref="K13:L13"/>
    <mergeCell ref="K14:L14"/>
    <mergeCell ref="I17:J17"/>
  </mergeCells>
  <pageMargins left="0.70866141732283505" right="0.31496062992126" top="2.1653543307086598" bottom="0" header="0.31496062992126" footer="0.31496062992126"/>
  <pageSetup paperSize="9" scale="75" orientation="portrait" verticalDpi="300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B312B3-9303-478B-8AEB-7468E06DCD77}">
  <sheetPr codeName="Sheet163">
    <tabColor rgb="FFFFFF00"/>
    <pageSetUpPr fitToPage="1"/>
  </sheetPr>
  <dimension ref="B1:O51"/>
  <sheetViews>
    <sheetView workbookViewId="0">
      <selection activeCell="B1" sqref="B1:L51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4.54296875" style="24" customWidth="1"/>
    <col min="7" max="7" width="8.54296875" style="24" customWidth="1"/>
    <col min="8" max="8" width="12.54296875" style="24" customWidth="1"/>
    <col min="9" max="9" width="4.54296875" style="24" customWidth="1"/>
    <col min="10" max="10" width="15.54296875" style="24" customWidth="1"/>
    <col min="11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2"/>
      <c r="C9" s="22"/>
      <c r="D9" s="22"/>
      <c r="E9" s="22"/>
      <c r="F9" s="22"/>
      <c r="G9" s="22"/>
      <c r="H9" s="22"/>
      <c r="I9" s="22"/>
      <c r="J9" s="22"/>
      <c r="K9" s="22"/>
      <c r="L9" s="22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105</v>
      </c>
      <c r="J10" s="29" t="s">
        <v>29</v>
      </c>
      <c r="K10" s="452">
        <v>202001279</v>
      </c>
      <c r="L10" s="453"/>
    </row>
    <row r="11" spans="2:12" ht="20.149999999999999" customHeight="1" x14ac:dyDescent="0.45">
      <c r="B11" s="454" t="s">
        <v>503</v>
      </c>
      <c r="C11" s="455"/>
      <c r="D11" s="456"/>
      <c r="E11" s="30"/>
      <c r="F11" s="457" t="str">
        <f>VLOOKUP(H10,'Delivery Location'!A$4:N$416,2,0)</f>
        <v xml:space="preserve">Koufu - (Drink)                                             6, Raffles Boulevard #04-101/102 Marina Square Singapore 039594                 </v>
      </c>
      <c r="G11" s="458"/>
      <c r="H11" s="459"/>
      <c r="J11" s="31" t="s">
        <v>11</v>
      </c>
      <c r="K11" s="551" t="s">
        <v>917</v>
      </c>
      <c r="L11" s="472"/>
    </row>
    <row r="12" spans="2:12" ht="20.149999999999999" customHeight="1" x14ac:dyDescent="0.45">
      <c r="B12" s="468" t="s">
        <v>504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533</v>
      </c>
      <c r="L12" s="472"/>
    </row>
    <row r="13" spans="2:12" ht="20.149999999999999" customHeight="1" x14ac:dyDescent="0.45">
      <c r="B13" s="468" t="s">
        <v>505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14</v>
      </c>
      <c r="L13" s="472"/>
    </row>
    <row r="14" spans="2:12" ht="20.149999999999999" customHeight="1" x14ac:dyDescent="0.45">
      <c r="B14" s="468" t="s">
        <v>571</v>
      </c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55"/>
      <c r="C15" s="56"/>
      <c r="D15" s="57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15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3"/>
      <c r="O17" s="33"/>
    </row>
    <row r="18" spans="2:15" ht="20.149999999999999" customHeight="1" x14ac:dyDescent="0.45">
      <c r="B18" s="34"/>
      <c r="C18" s="22" t="s">
        <v>410</v>
      </c>
      <c r="D18" s="508" t="e">
        <f>VLOOKUP(C18,'Sales Master'!B$3:D$499,2,)</f>
        <v>#N/A</v>
      </c>
      <c r="E18" s="508"/>
      <c r="F18" s="508"/>
      <c r="G18" s="22">
        <v>2</v>
      </c>
      <c r="H18" s="68" t="str">
        <f>VLOOKUP(C18,'[2]Sales Master'!B$3:F$736,5,0)</f>
        <v>5 kgs</v>
      </c>
      <c r="I18" s="481" t="str">
        <f>VLOOKUP(C18,'[2]Sales Master'!B$3:E$736,4,0)</f>
        <v>-</v>
      </c>
      <c r="J18" s="481"/>
      <c r="K18" s="35" t="e">
        <f>VLOOKUP(C18,'Sales Master'!$B$3:$J$583,9,0)</f>
        <v>#N/A</v>
      </c>
      <c r="L18" s="36" t="e">
        <f>K18*G18</f>
        <v>#N/A</v>
      </c>
    </row>
    <row r="19" spans="2:15" ht="20.149999999999999" customHeight="1" x14ac:dyDescent="0.45">
      <c r="B19" s="34"/>
      <c r="C19" s="22" t="s">
        <v>429</v>
      </c>
      <c r="D19" s="508" t="e">
        <f>VLOOKUP(C19,'Sales Master'!B$3:D$499,2,)</f>
        <v>#N/A</v>
      </c>
      <c r="E19" s="508"/>
      <c r="F19" s="508"/>
      <c r="G19" s="22">
        <v>1</v>
      </c>
      <c r="H19" s="68" t="str">
        <f>VLOOKUP(C19,'[2]Sales Master'!B$3:F$736,5,0)</f>
        <v>6 kgs</v>
      </c>
      <c r="I19" s="481" t="str">
        <f>VLOOKUP(C19,'[2]Sales Master'!B$3:E$736,4,0)</f>
        <v>Star</v>
      </c>
      <c r="J19" s="481"/>
      <c r="K19" s="35" t="e">
        <f>VLOOKUP(C19,'Sales Master'!$B$3:$J$583,9,0)</f>
        <v>#N/A</v>
      </c>
      <c r="L19" s="36" t="e">
        <f>K19*G19</f>
        <v>#N/A</v>
      </c>
    </row>
    <row r="20" spans="2:15" ht="20.149999999999999" customHeight="1" x14ac:dyDescent="0.45">
      <c r="B20" s="34"/>
      <c r="C20" s="22"/>
      <c r="D20" s="508"/>
      <c r="E20" s="508"/>
      <c r="F20" s="508"/>
      <c r="G20" s="22"/>
      <c r="H20" s="68"/>
      <c r="I20" s="481"/>
      <c r="J20" s="481"/>
      <c r="K20" s="35"/>
      <c r="L20" s="36"/>
    </row>
    <row r="21" spans="2:15" ht="20.149999999999999" customHeight="1" x14ac:dyDescent="0.45">
      <c r="B21" s="34"/>
      <c r="C21" s="22"/>
      <c r="D21" s="508"/>
      <c r="E21" s="508"/>
      <c r="F21" s="508"/>
      <c r="G21" s="22"/>
      <c r="H21" s="68"/>
      <c r="I21" s="450"/>
      <c r="J21" s="450"/>
      <c r="K21" s="35"/>
      <c r="L21" s="36"/>
    </row>
    <row r="22" spans="2:15" ht="20.149999999999999" customHeight="1" x14ac:dyDescent="0.45">
      <c r="B22" s="34"/>
      <c r="C22" s="22"/>
      <c r="G22" s="22"/>
      <c r="H22" s="68"/>
      <c r="I22" s="450"/>
      <c r="J22" s="450"/>
      <c r="K22" s="35"/>
      <c r="L22" s="36"/>
    </row>
    <row r="23" spans="2:15" ht="20.149999999999999" customHeight="1" x14ac:dyDescent="0.45">
      <c r="B23" s="34"/>
      <c r="C23" s="22"/>
      <c r="G23" s="22"/>
      <c r="H23" s="68"/>
      <c r="I23" s="450"/>
      <c r="J23" s="450"/>
      <c r="K23" s="35"/>
      <c r="L23" s="36"/>
    </row>
    <row r="24" spans="2:15" ht="20.149999999999999" customHeight="1" x14ac:dyDescent="0.45">
      <c r="B24" s="34"/>
      <c r="C24" s="22"/>
      <c r="G24" s="22"/>
      <c r="H24" s="68"/>
      <c r="I24" s="450"/>
      <c r="J24" s="450"/>
      <c r="K24" s="35"/>
      <c r="L24" s="36"/>
    </row>
    <row r="25" spans="2:15" ht="20.149999999999999" customHeight="1" x14ac:dyDescent="0.45">
      <c r="B25" s="34"/>
      <c r="C25" s="22"/>
      <c r="G25" s="22"/>
      <c r="H25" s="68"/>
      <c r="I25" s="450"/>
      <c r="J25" s="450"/>
      <c r="K25" s="35"/>
      <c r="L25" s="36"/>
    </row>
    <row r="26" spans="2:15" ht="20.149999999999999" customHeight="1" x14ac:dyDescent="0.45">
      <c r="B26" s="34"/>
      <c r="C26" s="22"/>
      <c r="G26" s="22"/>
      <c r="H26" s="68"/>
      <c r="I26" s="450"/>
      <c r="J26" s="450"/>
      <c r="K26" s="35"/>
      <c r="L26" s="36"/>
    </row>
    <row r="27" spans="2:15" ht="20.149999999999999" customHeight="1" x14ac:dyDescent="0.45">
      <c r="B27" s="34"/>
      <c r="C27" s="22"/>
      <c r="G27" s="22"/>
      <c r="H27" s="68"/>
      <c r="I27" s="450"/>
      <c r="J27" s="450"/>
      <c r="K27" s="35"/>
      <c r="L27" s="36"/>
    </row>
    <row r="28" spans="2:15" ht="20.149999999999999" customHeight="1" x14ac:dyDescent="0.45">
      <c r="B28" s="34"/>
      <c r="C28" s="22"/>
      <c r="G28" s="22"/>
      <c r="H28" s="68"/>
      <c r="I28" s="450"/>
      <c r="J28" s="450"/>
      <c r="K28" s="35"/>
      <c r="L28" s="36"/>
    </row>
    <row r="29" spans="2:15" ht="20.149999999999999" customHeight="1" x14ac:dyDescent="0.45">
      <c r="B29" s="34"/>
      <c r="C29" s="22"/>
      <c r="G29" s="22"/>
      <c r="H29" s="68"/>
      <c r="I29" s="450"/>
      <c r="J29" s="450"/>
      <c r="K29" s="35"/>
      <c r="L29" s="36"/>
    </row>
    <row r="30" spans="2:15" ht="20.149999999999999" customHeight="1" x14ac:dyDescent="0.45">
      <c r="B30" s="34"/>
      <c r="C30" s="22"/>
      <c r="G30" s="22"/>
      <c r="H30" s="68"/>
      <c r="I30" s="450"/>
      <c r="J30" s="450"/>
      <c r="K30" s="35"/>
      <c r="L30" s="36"/>
    </row>
    <row r="31" spans="2:15" ht="20.149999999999999" customHeight="1" x14ac:dyDescent="0.45">
      <c r="B31" s="34"/>
      <c r="C31" s="22"/>
      <c r="G31" s="22"/>
      <c r="H31" s="68"/>
      <c r="I31" s="22"/>
      <c r="J31" s="22"/>
      <c r="K31" s="35"/>
      <c r="L31" s="36"/>
    </row>
    <row r="32" spans="2:15" ht="20.149999999999999" customHeight="1" x14ac:dyDescent="0.45">
      <c r="B32" s="34"/>
      <c r="C32" s="22"/>
      <c r="G32" s="22"/>
      <c r="H32" s="68"/>
      <c r="I32" s="22"/>
      <c r="J32" s="22"/>
      <c r="K32" s="35"/>
      <c r="L32" s="36"/>
    </row>
    <row r="33" spans="2:12" ht="20.149999999999999" customHeight="1" x14ac:dyDescent="0.45">
      <c r="B33" s="34"/>
      <c r="C33" s="22"/>
      <c r="G33" s="22"/>
      <c r="H33" s="68"/>
      <c r="I33" s="22"/>
      <c r="J33" s="22"/>
      <c r="K33" s="35"/>
      <c r="L33" s="36"/>
    </row>
    <row r="34" spans="2:12" ht="20.149999999999999" customHeight="1" x14ac:dyDescent="0.45">
      <c r="B34" s="34"/>
      <c r="C34" s="22"/>
      <c r="D34" s="508"/>
      <c r="E34" s="508"/>
      <c r="F34" s="508"/>
      <c r="G34" s="22"/>
      <c r="H34" s="68"/>
      <c r="I34" s="68"/>
      <c r="J34" s="22"/>
      <c r="K34" s="35"/>
      <c r="L34" s="36"/>
    </row>
    <row r="35" spans="2:12" ht="20.149999999999999" customHeight="1" x14ac:dyDescent="0.45">
      <c r="B35" s="34"/>
      <c r="C35" s="22"/>
      <c r="D35" s="508"/>
      <c r="E35" s="508"/>
      <c r="F35" s="508"/>
      <c r="G35" s="22"/>
      <c r="H35" s="68"/>
      <c r="I35" s="68"/>
      <c r="J35" s="22"/>
      <c r="K35" s="35"/>
      <c r="L35" s="36"/>
    </row>
    <row r="36" spans="2:12" ht="20.149999999999999" customHeight="1" x14ac:dyDescent="0.45">
      <c r="B36" s="34"/>
      <c r="C36" s="22"/>
      <c r="D36" s="508"/>
      <c r="E36" s="508"/>
      <c r="F36" s="508"/>
      <c r="G36" s="22"/>
      <c r="H36" s="22"/>
      <c r="I36" s="22"/>
      <c r="J36" s="22"/>
      <c r="K36" s="35"/>
      <c r="L36" s="36"/>
    </row>
    <row r="37" spans="2:12" ht="20.149999999999999" customHeight="1" thickBot="1" x14ac:dyDescent="0.5">
      <c r="B37" s="37"/>
      <c r="C37" s="38"/>
      <c r="D37" s="509"/>
      <c r="E37" s="509"/>
      <c r="F37" s="509"/>
      <c r="G37" s="38"/>
      <c r="H37" s="38"/>
      <c r="I37" s="38"/>
      <c r="J37" s="38"/>
      <c r="K37" s="39"/>
      <c r="L37" s="40"/>
    </row>
    <row r="38" spans="2:12" ht="20.149999999999999" customHeight="1" thickBot="1" x14ac:dyDescent="0.5">
      <c r="B38" s="41"/>
      <c r="L38" s="42"/>
    </row>
    <row r="39" spans="2:12" ht="20.149999999999999" customHeight="1" x14ac:dyDescent="0.45">
      <c r="B39" s="11" t="s">
        <v>18</v>
      </c>
      <c r="C39" s="7"/>
      <c r="D39" s="7"/>
      <c r="E39" s="7"/>
      <c r="F39" s="7"/>
      <c r="G39" s="7"/>
      <c r="H39" s="7"/>
      <c r="I39" s="7"/>
      <c r="J39" s="510" t="s">
        <v>15</v>
      </c>
      <c r="K39" s="511"/>
      <c r="L39" s="43" t="e">
        <f>SUM(L17:L37)</f>
        <v>#N/A</v>
      </c>
    </row>
    <row r="40" spans="2:12" ht="20.149999999999999" customHeight="1" x14ac:dyDescent="0.45">
      <c r="B40" s="11" t="s">
        <v>19</v>
      </c>
      <c r="C40" s="7"/>
      <c r="D40" s="7"/>
      <c r="E40" s="7"/>
      <c r="F40" s="7"/>
      <c r="G40" s="7"/>
      <c r="H40" s="7"/>
      <c r="I40" s="7"/>
      <c r="J40" s="44" t="s">
        <v>22</v>
      </c>
      <c r="K40" s="45"/>
      <c r="L40" s="46" t="e">
        <f>L39*K40</f>
        <v>#N/A</v>
      </c>
    </row>
    <row r="41" spans="2:12" ht="20.149999999999999" customHeight="1" x14ac:dyDescent="0.45">
      <c r="B41" s="11" t="s">
        <v>20</v>
      </c>
      <c r="C41" s="7"/>
      <c r="D41" s="7"/>
      <c r="E41" s="7"/>
      <c r="F41" s="7"/>
      <c r="G41" s="7"/>
      <c r="H41" s="7"/>
      <c r="I41" s="7"/>
      <c r="J41" s="486" t="s">
        <v>21</v>
      </c>
      <c r="K41" s="487"/>
      <c r="L41" s="46" t="e">
        <f>L39-L40</f>
        <v>#N/A</v>
      </c>
    </row>
    <row r="42" spans="2:12" ht="20.149999999999999" customHeight="1" x14ac:dyDescent="0.45">
      <c r="B42" s="11" t="s">
        <v>24</v>
      </c>
      <c r="C42" s="7"/>
      <c r="D42" s="7"/>
      <c r="E42" s="7"/>
      <c r="F42" s="7"/>
      <c r="G42" s="7"/>
      <c r="H42" s="7"/>
      <c r="I42" s="7"/>
      <c r="J42" s="150" t="s">
        <v>17</v>
      </c>
      <c r="K42" s="151">
        <v>7.0000000000000007E-2</v>
      </c>
      <c r="L42" s="47" t="e">
        <f>L41*K42</f>
        <v>#N/A</v>
      </c>
    </row>
    <row r="43" spans="2:12" ht="20.149999999999999" customHeight="1" thickBot="1" x14ac:dyDescent="0.5">
      <c r="B43" s="11" t="s">
        <v>25</v>
      </c>
      <c r="C43" s="7"/>
      <c r="D43" s="7"/>
      <c r="E43" s="7"/>
      <c r="F43" s="7"/>
      <c r="G43" s="7"/>
      <c r="H43" s="7"/>
      <c r="I43" s="7"/>
      <c r="J43" s="488" t="s">
        <v>23</v>
      </c>
      <c r="K43" s="489"/>
      <c r="L43" s="48" t="e">
        <f>L41+L42</f>
        <v>#N/A</v>
      </c>
    </row>
    <row r="44" spans="2:12" ht="20.149999999999999" customHeight="1" x14ac:dyDescent="0.45">
      <c r="B44" s="11" t="s">
        <v>26</v>
      </c>
      <c r="C44" s="7"/>
      <c r="D44" s="7"/>
      <c r="E44" s="7"/>
      <c r="F44" s="7"/>
      <c r="G44" s="7"/>
      <c r="H44" s="7"/>
      <c r="I44" s="7"/>
      <c r="L44" s="42"/>
    </row>
    <row r="45" spans="2:12" ht="20.149999999999999" customHeight="1" x14ac:dyDescent="0.45">
      <c r="B45" s="41"/>
      <c r="L45" s="42"/>
    </row>
    <row r="46" spans="2:12" ht="20.149999999999999" customHeight="1" x14ac:dyDescent="0.45">
      <c r="B46" s="41"/>
      <c r="L46" s="42"/>
    </row>
    <row r="47" spans="2:12" ht="20.149999999999999" customHeight="1" x14ac:dyDescent="0.45">
      <c r="B47" s="41"/>
      <c r="L47" s="42"/>
    </row>
    <row r="48" spans="2:12" ht="20.149999999999999" customHeight="1" x14ac:dyDescent="0.45">
      <c r="B48" s="41"/>
      <c r="L48" s="42"/>
    </row>
    <row r="49" spans="2:12" ht="20.149999999999999" customHeight="1" x14ac:dyDescent="0.45">
      <c r="B49" s="49"/>
      <c r="C49" s="50"/>
      <c r="D49" s="50"/>
      <c r="J49" s="50"/>
      <c r="K49" s="50"/>
      <c r="L49" s="51"/>
    </row>
    <row r="50" spans="2:12" ht="20.149999999999999" customHeight="1" x14ac:dyDescent="0.45">
      <c r="B50" s="41" t="s">
        <v>27</v>
      </c>
      <c r="J50" s="24" t="s">
        <v>28</v>
      </c>
      <c r="L50" s="42"/>
    </row>
    <row r="51" spans="2:12" ht="19" thickBot="1" x14ac:dyDescent="0.5">
      <c r="B51" s="52"/>
      <c r="C51" s="53"/>
      <c r="D51" s="53"/>
      <c r="E51" s="53"/>
      <c r="F51" s="53"/>
      <c r="G51" s="53"/>
      <c r="H51" s="53"/>
      <c r="I51" s="53"/>
      <c r="J51" s="53"/>
      <c r="K51" s="53"/>
      <c r="L51" s="54"/>
    </row>
  </sheetData>
  <mergeCells count="38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D17:F17"/>
    <mergeCell ref="I17:J17"/>
    <mergeCell ref="D18:F18"/>
    <mergeCell ref="I18:J18"/>
    <mergeCell ref="I22:J22"/>
    <mergeCell ref="D19:F19"/>
    <mergeCell ref="I19:J19"/>
    <mergeCell ref="J41:K41"/>
    <mergeCell ref="J43:K43"/>
    <mergeCell ref="I30:J30"/>
    <mergeCell ref="D34:F34"/>
    <mergeCell ref="D35:F35"/>
    <mergeCell ref="D36:F36"/>
    <mergeCell ref="D37:F37"/>
    <mergeCell ref="J39:K39"/>
    <mergeCell ref="I29:J29"/>
    <mergeCell ref="D20:F20"/>
    <mergeCell ref="I20:J20"/>
    <mergeCell ref="D21:F21"/>
    <mergeCell ref="I21:J21"/>
    <mergeCell ref="I27:J27"/>
    <mergeCell ref="I28:J28"/>
    <mergeCell ref="I23:J23"/>
    <mergeCell ref="I24:J24"/>
    <mergeCell ref="I25:J25"/>
    <mergeCell ref="I26:J26"/>
  </mergeCells>
  <pageMargins left="0.70866141732283505" right="0.31496062992126" top="2.1653543307086598" bottom="0" header="0.31496062992126" footer="0.31496062992126"/>
  <pageSetup paperSize="9" scale="76" orientation="portrait" verticalDpi="300" r:id="rId1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08919E-B1F0-4D25-A0D5-C56F33A358D7}">
  <sheetPr codeName="Sheet164">
    <tabColor rgb="FFFFFF00"/>
    <pageSetUpPr fitToPage="1"/>
  </sheetPr>
  <dimension ref="B1:O50"/>
  <sheetViews>
    <sheetView workbookViewId="0">
      <selection activeCell="B1" sqref="B1:L50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4.54296875" style="24" customWidth="1"/>
    <col min="7" max="7" width="8.54296875" style="24" customWidth="1"/>
    <col min="8" max="8" width="12.54296875" style="24" customWidth="1"/>
    <col min="9" max="9" width="4.54296875" style="24" customWidth="1"/>
    <col min="10" max="10" width="15.54296875" style="24" customWidth="1"/>
    <col min="11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106</v>
      </c>
      <c r="J10" s="29" t="s">
        <v>29</v>
      </c>
      <c r="K10" s="452">
        <v>202001280</v>
      </c>
      <c r="L10" s="453"/>
    </row>
    <row r="11" spans="2:12" ht="20.149999999999999" customHeight="1" x14ac:dyDescent="0.45">
      <c r="B11" s="454" t="s">
        <v>503</v>
      </c>
      <c r="C11" s="455"/>
      <c r="D11" s="456"/>
      <c r="E11" s="30"/>
      <c r="F11" s="457" t="str">
        <f>VLOOKUP(H10,'Delivery Location'!A$4:N$416,2,0)</f>
        <v xml:space="preserve">Koufu - (Dessert)                                         6, Raffles Boulevard #04-101/102 Marina Square Singapore 039594              </v>
      </c>
      <c r="G11" s="458"/>
      <c r="H11" s="459"/>
      <c r="J11" s="31" t="s">
        <v>11</v>
      </c>
      <c r="K11" s="551" t="s">
        <v>917</v>
      </c>
      <c r="L11" s="472"/>
    </row>
    <row r="12" spans="2:12" ht="20.149999999999999" customHeight="1" x14ac:dyDescent="0.45">
      <c r="B12" s="468" t="s">
        <v>504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533</v>
      </c>
      <c r="L12" s="472"/>
    </row>
    <row r="13" spans="2:12" ht="20.149999999999999" customHeight="1" x14ac:dyDescent="0.45">
      <c r="B13" s="468" t="s">
        <v>505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14</v>
      </c>
      <c r="L13" s="472"/>
    </row>
    <row r="14" spans="2:12" ht="20.149999999999999" customHeight="1" x14ac:dyDescent="0.45">
      <c r="B14" s="468" t="s">
        <v>571</v>
      </c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55"/>
      <c r="C15" s="56"/>
      <c r="D15" s="57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15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3"/>
      <c r="O17" s="33"/>
    </row>
    <row r="18" spans="2:15" ht="20.149999999999999" customHeight="1" x14ac:dyDescent="0.45">
      <c r="B18" s="34"/>
      <c r="C18" s="22" t="s">
        <v>405</v>
      </c>
      <c r="D18" s="508" t="e">
        <f>VLOOKUP(C18,'Sales Master'!B$3:D$499,2,)</f>
        <v>#N/A</v>
      </c>
      <c r="E18" s="508"/>
      <c r="F18" s="508"/>
      <c r="G18" s="22">
        <v>3</v>
      </c>
      <c r="H18" s="68" t="str">
        <f>VLOOKUP(C18,'[2]Sales Master'!B$3:F$736,5,0)</f>
        <v>5 KGS</v>
      </c>
      <c r="I18" s="481" t="str">
        <f>VLOOKUP(C18,'[2]Sales Master'!B$3:E$736,4,0)</f>
        <v>-</v>
      </c>
      <c r="J18" s="481"/>
      <c r="K18" s="35" t="e">
        <f>VLOOKUP(C18,'Sales Master'!$B$3:$J$583,9,0)</f>
        <v>#N/A</v>
      </c>
      <c r="L18" s="36" t="e">
        <f>K18*G18</f>
        <v>#N/A</v>
      </c>
    </row>
    <row r="19" spans="2:15" ht="20.149999999999999" customHeight="1" x14ac:dyDescent="0.45">
      <c r="B19" s="34"/>
      <c r="C19" s="22" t="s">
        <v>407</v>
      </c>
      <c r="D19" s="508" t="e">
        <f>VLOOKUP(C19,'Sales Master'!B$3:D$499,2,)</f>
        <v>#N/A</v>
      </c>
      <c r="E19" s="508"/>
      <c r="F19" s="508"/>
      <c r="G19" s="22">
        <v>3</v>
      </c>
      <c r="H19" s="68" t="str">
        <f>VLOOKUP(C19,'[2]Sales Master'!B$3:F$736,5,0)</f>
        <v>5 kgs</v>
      </c>
      <c r="I19" s="481" t="str">
        <f>VLOOKUP(C19,'[2]Sales Master'!B$3:E$736,4,0)</f>
        <v>-</v>
      </c>
      <c r="J19" s="481"/>
      <c r="K19" s="35" t="e">
        <f>VLOOKUP(C19,'Sales Master'!$B$3:$J$583,9,0)</f>
        <v>#N/A</v>
      </c>
      <c r="L19" s="36" t="e">
        <f>K19*G19</f>
        <v>#N/A</v>
      </c>
    </row>
    <row r="20" spans="2:15" ht="20.149999999999999" customHeight="1" x14ac:dyDescent="0.45">
      <c r="B20" s="34"/>
      <c r="C20" s="22" t="s">
        <v>410</v>
      </c>
      <c r="D20" s="508" t="e">
        <f>VLOOKUP(C20,'Sales Master'!B$3:D$499,2,)</f>
        <v>#N/A</v>
      </c>
      <c r="E20" s="508"/>
      <c r="F20" s="508"/>
      <c r="G20" s="22">
        <v>1</v>
      </c>
      <c r="H20" s="68" t="str">
        <f>VLOOKUP(C20,'[2]Sales Master'!B$3:F$736,5,0)</f>
        <v>5 kgs</v>
      </c>
      <c r="I20" s="481" t="str">
        <f>VLOOKUP(C20,'[2]Sales Master'!B$3:E$736,4,0)</f>
        <v>-</v>
      </c>
      <c r="J20" s="481"/>
      <c r="K20" s="35" t="e">
        <f>VLOOKUP(C20,'Sales Master'!$B$3:$J$583,9,0)</f>
        <v>#N/A</v>
      </c>
      <c r="L20" s="36" t="e">
        <f>K20*G20</f>
        <v>#N/A</v>
      </c>
    </row>
    <row r="21" spans="2:15" ht="20.149999999999999" customHeight="1" x14ac:dyDescent="0.45">
      <c r="B21" s="34"/>
      <c r="C21" s="22" t="s">
        <v>907</v>
      </c>
      <c r="D21" s="508" t="e">
        <f>VLOOKUP(C21,'Sales Master'!B$3:D$499,2,)</f>
        <v>#N/A</v>
      </c>
      <c r="E21" s="508"/>
      <c r="F21" s="508"/>
      <c r="G21" s="22">
        <v>2</v>
      </c>
      <c r="H21" s="68" t="str">
        <f>VLOOKUP(C21,'[2]Sales Master'!B$3:F$736,5,0)</f>
        <v>1 Can X A10</v>
      </c>
      <c r="I21" s="481" t="str">
        <f>VLOOKUP(C21,'[2]Sales Master'!B$3:E$736,4,0)</f>
        <v>Golden boy</v>
      </c>
      <c r="J21" s="481"/>
      <c r="K21" s="35">
        <v>13</v>
      </c>
      <c r="L21" s="36">
        <f>K21*G21</f>
        <v>26</v>
      </c>
    </row>
    <row r="22" spans="2:15" ht="20.149999999999999" customHeight="1" x14ac:dyDescent="0.45">
      <c r="B22" s="34"/>
      <c r="C22" s="22" t="s">
        <v>453</v>
      </c>
      <c r="D22" s="508" t="e">
        <f>VLOOKUP(C22,'Sales Master'!B$3:D$499,2,)</f>
        <v>#N/A</v>
      </c>
      <c r="E22" s="508"/>
      <c r="F22" s="508"/>
      <c r="G22" s="22">
        <v>3</v>
      </c>
      <c r="H22" s="68" t="str">
        <f>VLOOKUP(C22,'[2]Sales Master'!B$3:F$736,5,0)</f>
        <v>(1L x 12bag)/箱</v>
      </c>
      <c r="I22" s="481" t="str">
        <f>VLOOKUP(C22,'[2]Sales Master'!B$3:E$736,4,0)</f>
        <v>Kara UHT</v>
      </c>
      <c r="J22" s="481"/>
      <c r="K22" s="35" t="e">
        <f>VLOOKUP(C22,'Sales Master'!$B$3:$J$583,9,0)</f>
        <v>#N/A</v>
      </c>
      <c r="L22" s="36" t="e">
        <f>K22*G22</f>
        <v>#N/A</v>
      </c>
    </row>
    <row r="23" spans="2:15" ht="20.149999999999999" customHeight="1" x14ac:dyDescent="0.45">
      <c r="B23" s="34"/>
      <c r="C23" s="22"/>
      <c r="G23" s="22"/>
      <c r="H23" s="68"/>
      <c r="I23" s="450"/>
      <c r="J23" s="450"/>
      <c r="K23" s="35"/>
      <c r="L23" s="36"/>
    </row>
    <row r="24" spans="2:15" ht="20.149999999999999" customHeight="1" x14ac:dyDescent="0.45">
      <c r="B24" s="34"/>
      <c r="C24" s="22"/>
      <c r="G24" s="22"/>
      <c r="H24" s="68"/>
      <c r="I24" s="450"/>
      <c r="J24" s="450"/>
      <c r="K24" s="35"/>
      <c r="L24" s="36"/>
    </row>
    <row r="25" spans="2:15" ht="20.149999999999999" customHeight="1" x14ac:dyDescent="0.45">
      <c r="B25" s="34"/>
      <c r="C25" s="22"/>
      <c r="G25" s="22"/>
      <c r="H25" s="68"/>
      <c r="I25" s="450"/>
      <c r="J25" s="450"/>
      <c r="K25" s="35"/>
      <c r="L25" s="36"/>
    </row>
    <row r="26" spans="2:15" ht="20.149999999999999" customHeight="1" x14ac:dyDescent="0.45">
      <c r="B26" s="34"/>
      <c r="C26" s="22"/>
      <c r="G26" s="22"/>
      <c r="H26" s="68"/>
      <c r="I26" s="450"/>
      <c r="J26" s="450"/>
      <c r="K26" s="35"/>
      <c r="L26" s="36"/>
    </row>
    <row r="27" spans="2:15" ht="20.149999999999999" customHeight="1" x14ac:dyDescent="0.45">
      <c r="B27" s="34"/>
      <c r="C27" s="22"/>
      <c r="G27" s="22"/>
      <c r="H27" s="68"/>
      <c r="I27" s="450"/>
      <c r="J27" s="450"/>
      <c r="K27" s="35"/>
      <c r="L27" s="36"/>
    </row>
    <row r="28" spans="2:15" ht="20.149999999999999" customHeight="1" x14ac:dyDescent="0.45">
      <c r="B28" s="34"/>
      <c r="C28" s="22"/>
      <c r="G28" s="22"/>
      <c r="H28" s="68"/>
      <c r="I28" s="450"/>
      <c r="J28" s="450"/>
      <c r="K28" s="35"/>
      <c r="L28" s="36"/>
    </row>
    <row r="29" spans="2:15" ht="20.149999999999999" customHeight="1" x14ac:dyDescent="0.45">
      <c r="B29" s="34"/>
      <c r="C29" s="22"/>
      <c r="G29" s="22"/>
      <c r="H29" s="68"/>
      <c r="I29" s="450"/>
      <c r="J29" s="450"/>
      <c r="K29" s="35"/>
      <c r="L29" s="36"/>
    </row>
    <row r="30" spans="2:15" ht="20.149999999999999" customHeight="1" x14ac:dyDescent="0.45">
      <c r="B30" s="34"/>
      <c r="C30" s="22"/>
      <c r="G30" s="22"/>
      <c r="H30" s="68"/>
      <c r="I30" s="22"/>
      <c r="J30" s="22"/>
      <c r="K30" s="35"/>
      <c r="L30" s="36"/>
    </row>
    <row r="31" spans="2:15" ht="20.149999999999999" customHeight="1" x14ac:dyDescent="0.45">
      <c r="B31" s="34"/>
      <c r="C31" s="22"/>
      <c r="G31" s="22"/>
      <c r="H31" s="68"/>
      <c r="I31" s="22"/>
      <c r="J31" s="22"/>
      <c r="K31" s="35"/>
      <c r="L31" s="36"/>
    </row>
    <row r="32" spans="2:15" ht="20.149999999999999" customHeight="1" x14ac:dyDescent="0.45">
      <c r="B32" s="34"/>
      <c r="C32" s="22"/>
      <c r="G32" s="22"/>
      <c r="H32" s="68"/>
      <c r="I32" s="22"/>
      <c r="J32" s="22"/>
      <c r="K32" s="35"/>
      <c r="L32" s="36"/>
    </row>
    <row r="33" spans="2:12" ht="20.149999999999999" customHeight="1" x14ac:dyDescent="0.45">
      <c r="B33" s="34"/>
      <c r="C33" s="22"/>
      <c r="D33" s="508"/>
      <c r="E33" s="508"/>
      <c r="F33" s="508"/>
      <c r="G33" s="22"/>
      <c r="H33" s="68"/>
      <c r="I33" s="68"/>
      <c r="J33" s="22"/>
      <c r="K33" s="35"/>
      <c r="L33" s="36"/>
    </row>
    <row r="34" spans="2:12" ht="20.149999999999999" customHeight="1" x14ac:dyDescent="0.45">
      <c r="B34" s="34"/>
      <c r="C34" s="22"/>
      <c r="D34" s="508"/>
      <c r="E34" s="508"/>
      <c r="F34" s="508"/>
      <c r="G34" s="22"/>
      <c r="H34" s="68"/>
      <c r="I34" s="68"/>
      <c r="J34" s="22"/>
      <c r="K34" s="35"/>
      <c r="L34" s="36"/>
    </row>
    <row r="35" spans="2:12" ht="20.149999999999999" customHeight="1" x14ac:dyDescent="0.45">
      <c r="B35" s="34"/>
      <c r="C35" s="22"/>
      <c r="D35" s="508"/>
      <c r="E35" s="508"/>
      <c r="F35" s="508"/>
      <c r="G35" s="22"/>
      <c r="H35" s="22"/>
      <c r="I35" s="22"/>
      <c r="J35" s="22"/>
      <c r="K35" s="35"/>
      <c r="L35" s="36"/>
    </row>
    <row r="36" spans="2:12" ht="20.149999999999999" customHeight="1" thickBot="1" x14ac:dyDescent="0.5">
      <c r="B36" s="37"/>
      <c r="C36" s="38"/>
      <c r="D36" s="509"/>
      <c r="E36" s="509"/>
      <c r="F36" s="509"/>
      <c r="G36" s="38"/>
      <c r="H36" s="38"/>
      <c r="I36" s="38"/>
      <c r="J36" s="38"/>
      <c r="K36" s="39"/>
      <c r="L36" s="40"/>
    </row>
    <row r="37" spans="2:12" ht="20.149999999999999" customHeight="1" thickBot="1" x14ac:dyDescent="0.5">
      <c r="B37" s="41"/>
      <c r="L37" s="42"/>
    </row>
    <row r="38" spans="2:12" ht="20.149999999999999" customHeight="1" x14ac:dyDescent="0.45">
      <c r="B38" s="11" t="s">
        <v>18</v>
      </c>
      <c r="C38" s="7"/>
      <c r="D38" s="7"/>
      <c r="E38" s="7"/>
      <c r="F38" s="7"/>
      <c r="G38" s="7"/>
      <c r="H38" s="7"/>
      <c r="I38" s="7"/>
      <c r="J38" s="510" t="s">
        <v>15</v>
      </c>
      <c r="K38" s="511"/>
      <c r="L38" s="43" t="e">
        <f>SUM(L16:L36)</f>
        <v>#N/A</v>
      </c>
    </row>
    <row r="39" spans="2:12" ht="20.149999999999999" customHeight="1" x14ac:dyDescent="0.45">
      <c r="B39" s="11" t="s">
        <v>19</v>
      </c>
      <c r="C39" s="7"/>
      <c r="D39" s="7"/>
      <c r="E39" s="7"/>
      <c r="F39" s="7"/>
      <c r="G39" s="7"/>
      <c r="H39" s="7"/>
      <c r="I39" s="7"/>
      <c r="J39" s="44" t="s">
        <v>22</v>
      </c>
      <c r="K39" s="45"/>
      <c r="L39" s="46" t="e">
        <f>L38*K39</f>
        <v>#N/A</v>
      </c>
    </row>
    <row r="40" spans="2:12" ht="20.149999999999999" customHeight="1" x14ac:dyDescent="0.45">
      <c r="B40" s="11" t="s">
        <v>20</v>
      </c>
      <c r="C40" s="7"/>
      <c r="D40" s="7"/>
      <c r="E40" s="7"/>
      <c r="F40" s="7"/>
      <c r="G40" s="7"/>
      <c r="H40" s="7"/>
      <c r="I40" s="7"/>
      <c r="J40" s="486" t="s">
        <v>21</v>
      </c>
      <c r="K40" s="487"/>
      <c r="L40" s="46" t="e">
        <f>L38-L39</f>
        <v>#N/A</v>
      </c>
    </row>
    <row r="41" spans="2:12" ht="20.149999999999999" customHeight="1" x14ac:dyDescent="0.45">
      <c r="B41" s="11" t="s">
        <v>24</v>
      </c>
      <c r="C41" s="7"/>
      <c r="D41" s="7"/>
      <c r="E41" s="7"/>
      <c r="F41" s="7"/>
      <c r="G41" s="7"/>
      <c r="H41" s="7"/>
      <c r="I41" s="7"/>
      <c r="J41" s="150" t="s">
        <v>17</v>
      </c>
      <c r="K41" s="151">
        <v>7.0000000000000007E-2</v>
      </c>
      <c r="L41" s="47" t="e">
        <f>L40*K41</f>
        <v>#N/A</v>
      </c>
    </row>
    <row r="42" spans="2:12" ht="20.149999999999999" customHeight="1" thickBot="1" x14ac:dyDescent="0.5">
      <c r="B42" s="11" t="s">
        <v>25</v>
      </c>
      <c r="C42" s="7"/>
      <c r="D42" s="7"/>
      <c r="E42" s="7"/>
      <c r="F42" s="7"/>
      <c r="G42" s="7"/>
      <c r="H42" s="7"/>
      <c r="I42" s="7"/>
      <c r="J42" s="488" t="s">
        <v>23</v>
      </c>
      <c r="K42" s="489"/>
      <c r="L42" s="48" t="e">
        <f>L40+L41</f>
        <v>#N/A</v>
      </c>
    </row>
    <row r="43" spans="2:12" ht="20.149999999999999" customHeight="1" x14ac:dyDescent="0.45">
      <c r="B43" s="11" t="s">
        <v>26</v>
      </c>
      <c r="C43" s="7"/>
      <c r="D43" s="7"/>
      <c r="E43" s="7"/>
      <c r="F43" s="7"/>
      <c r="G43" s="7"/>
      <c r="H43" s="7"/>
      <c r="I43" s="7"/>
      <c r="L43" s="42"/>
    </row>
    <row r="44" spans="2:12" ht="20.149999999999999" customHeight="1" x14ac:dyDescent="0.45">
      <c r="B44" s="41"/>
      <c r="L44" s="42"/>
    </row>
    <row r="45" spans="2:12" ht="20.149999999999999" customHeight="1" x14ac:dyDescent="0.45">
      <c r="B45" s="41"/>
      <c r="L45" s="42"/>
    </row>
    <row r="46" spans="2:12" ht="20.149999999999999" customHeight="1" x14ac:dyDescent="0.45">
      <c r="B46" s="41"/>
      <c r="L46" s="42"/>
    </row>
    <row r="47" spans="2:12" ht="20.149999999999999" customHeight="1" x14ac:dyDescent="0.45">
      <c r="B47" s="41"/>
      <c r="L47" s="42"/>
    </row>
    <row r="48" spans="2:12" ht="20.149999999999999" customHeight="1" x14ac:dyDescent="0.45">
      <c r="B48" s="49"/>
      <c r="C48" s="50"/>
      <c r="D48" s="50"/>
      <c r="J48" s="50"/>
      <c r="K48" s="50"/>
      <c r="L48" s="51"/>
    </row>
    <row r="49" spans="2:12" ht="20.149999999999999" customHeight="1" x14ac:dyDescent="0.45">
      <c r="B49" s="41" t="s">
        <v>27</v>
      </c>
      <c r="J49" s="24" t="s">
        <v>28</v>
      </c>
      <c r="L49" s="42"/>
    </row>
    <row r="50" spans="2:12" ht="19" thickBot="1" x14ac:dyDescent="0.5">
      <c r="B50" s="52"/>
      <c r="C50" s="53"/>
      <c r="D50" s="53"/>
      <c r="E50" s="53"/>
      <c r="F50" s="53"/>
      <c r="G50" s="53"/>
      <c r="H50" s="53"/>
      <c r="I50" s="53"/>
      <c r="J50" s="53"/>
      <c r="K50" s="53"/>
      <c r="L50" s="54"/>
    </row>
  </sheetData>
  <mergeCells count="38"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18:J18"/>
    <mergeCell ref="D20:F20"/>
    <mergeCell ref="I20:J20"/>
    <mergeCell ref="I22:J22"/>
    <mergeCell ref="D19:F19"/>
    <mergeCell ref="I19:J19"/>
    <mergeCell ref="D21:F21"/>
    <mergeCell ref="D22:F22"/>
    <mergeCell ref="J42:K42"/>
    <mergeCell ref="D33:F33"/>
    <mergeCell ref="D34:F34"/>
    <mergeCell ref="D35:F35"/>
    <mergeCell ref="D36:F36"/>
    <mergeCell ref="J38:K38"/>
    <mergeCell ref="J40:K40"/>
    <mergeCell ref="I29:J29"/>
    <mergeCell ref="I21:J21"/>
    <mergeCell ref="I24:J24"/>
    <mergeCell ref="I25:J25"/>
    <mergeCell ref="I26:J26"/>
    <mergeCell ref="I27:J27"/>
    <mergeCell ref="I28:J28"/>
    <mergeCell ref="I23:J23"/>
  </mergeCells>
  <pageMargins left="0.70866141732283505" right="0.31496062992126" top="2.1653543307086598" bottom="0" header="0.31496062992126" footer="0.31496062992126"/>
  <pageSetup paperSize="9" scale="76" orientation="portrait" verticalDpi="300" r:id="rId1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292241-4F44-441B-8089-655B11F5E098}">
  <sheetPr codeName="Sheet165">
    <tabColor rgb="FFFFFF00"/>
    <pageSetUpPr fitToPage="1"/>
  </sheetPr>
  <dimension ref="B5:O47"/>
  <sheetViews>
    <sheetView workbookViewId="0">
      <selection activeCell="K8" sqref="K8:L8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6.54296875" style="24" customWidth="1"/>
    <col min="7" max="7" width="8.54296875" style="24" customWidth="1"/>
    <col min="8" max="8" width="12.54296875" style="24" customWidth="1"/>
    <col min="9" max="9" width="2.54296875" style="24" customWidth="1"/>
    <col min="10" max="10" width="15.54296875" style="24" customWidth="1"/>
    <col min="11" max="12" width="12.54296875" style="24" customWidth="1"/>
    <col min="13" max="16384" width="12.54296875" style="24"/>
  </cols>
  <sheetData>
    <row r="5" spans="2:15" ht="19" thickBot="1" x14ac:dyDescent="0.5">
      <c r="B5" s="23"/>
    </row>
    <row r="6" spans="2:15" ht="18" customHeight="1" thickTop="1" thickBot="1" x14ac:dyDescent="0.5">
      <c r="B6" s="25" t="s">
        <v>9</v>
      </c>
      <c r="C6" s="25"/>
      <c r="D6" s="26"/>
      <c r="E6" s="26"/>
      <c r="F6" s="27" t="s">
        <v>10</v>
      </c>
      <c r="G6" s="28"/>
      <c r="H6" s="28" t="s">
        <v>147</v>
      </c>
      <c r="J6" s="29" t="s">
        <v>29</v>
      </c>
      <c r="K6" s="452">
        <v>202002465</v>
      </c>
      <c r="L6" s="453"/>
    </row>
    <row r="7" spans="2:15" ht="20.149999999999999" customHeight="1" x14ac:dyDescent="0.45">
      <c r="B7" s="454" t="s">
        <v>583</v>
      </c>
      <c r="C7" s="455"/>
      <c r="D7" s="456"/>
      <c r="E7" s="30"/>
      <c r="F7" s="457" t="str">
        <f>VLOOKUP(H6,'Delivery Location'!A$4:N$416,2,0)</f>
        <v xml:space="preserve">JNS 111 Food                                               Cuppage Plaza #B1-19/20. Singapore 228796 </v>
      </c>
      <c r="G7" s="458"/>
      <c r="H7" s="459"/>
      <c r="J7" s="31" t="s">
        <v>11</v>
      </c>
      <c r="K7" s="551" t="s">
        <v>979</v>
      </c>
      <c r="L7" s="472"/>
    </row>
    <row r="8" spans="2:15" ht="20.149999999999999" customHeight="1" x14ac:dyDescent="0.45">
      <c r="B8" s="468" t="s">
        <v>584</v>
      </c>
      <c r="C8" s="469"/>
      <c r="D8" s="470"/>
      <c r="E8" s="30"/>
      <c r="F8" s="460"/>
      <c r="G8" s="461"/>
      <c r="H8" s="462"/>
      <c r="J8" s="31" t="s">
        <v>171</v>
      </c>
      <c r="K8" s="471" t="s">
        <v>533</v>
      </c>
      <c r="L8" s="472"/>
    </row>
    <row r="9" spans="2:15" ht="20.149999999999999" customHeight="1" x14ac:dyDescent="0.45">
      <c r="B9" s="468" t="s">
        <v>890</v>
      </c>
      <c r="C9" s="469"/>
      <c r="D9" s="470"/>
      <c r="E9" s="30"/>
      <c r="F9" s="460"/>
      <c r="G9" s="461"/>
      <c r="H9" s="462"/>
      <c r="J9" s="31" t="s">
        <v>12</v>
      </c>
      <c r="K9" s="471" t="s">
        <v>14</v>
      </c>
      <c r="L9" s="472"/>
    </row>
    <row r="10" spans="2:15" ht="20.149999999999999" customHeight="1" x14ac:dyDescent="0.45">
      <c r="B10" s="468" t="s">
        <v>891</v>
      </c>
      <c r="C10" s="469"/>
      <c r="D10" s="470"/>
      <c r="E10" s="30"/>
      <c r="F10" s="460"/>
      <c r="G10" s="461"/>
      <c r="H10" s="462"/>
      <c r="J10" s="31" t="s">
        <v>30</v>
      </c>
      <c r="K10" s="471" t="s">
        <v>16</v>
      </c>
      <c r="L10" s="472"/>
    </row>
    <row r="11" spans="2:15" ht="18" customHeight="1" thickBot="1" x14ac:dyDescent="0.5">
      <c r="B11" s="552" t="s">
        <v>585</v>
      </c>
      <c r="C11" s="474"/>
      <c r="D11" s="475"/>
      <c r="E11" s="26"/>
      <c r="F11" s="463"/>
      <c r="G11" s="464"/>
      <c r="H11" s="465"/>
      <c r="J11" s="32" t="s">
        <v>13</v>
      </c>
      <c r="K11" s="476"/>
      <c r="L11" s="477"/>
    </row>
    <row r="12" spans="2:15" ht="19" thickBot="1" x14ac:dyDescent="0.5">
      <c r="J12" s="22"/>
    </row>
    <row r="13" spans="2:15" ht="30" customHeight="1" thickBot="1" x14ac:dyDescent="0.5">
      <c r="B13" s="8" t="s">
        <v>2</v>
      </c>
      <c r="C13" s="9" t="s">
        <v>3</v>
      </c>
      <c r="D13" s="478" t="s">
        <v>4</v>
      </c>
      <c r="E13" s="483"/>
      <c r="F13" s="479"/>
      <c r="G13" s="19" t="s">
        <v>620</v>
      </c>
      <c r="H13" s="9" t="s">
        <v>31</v>
      </c>
      <c r="I13" s="478" t="s">
        <v>60</v>
      </c>
      <c r="J13" s="479"/>
      <c r="K13" s="9" t="s">
        <v>6</v>
      </c>
      <c r="L13" s="10" t="s">
        <v>7</v>
      </c>
      <c r="M13" s="33"/>
      <c r="N13" s="33"/>
      <c r="O13" s="33"/>
    </row>
    <row r="14" spans="2:15" ht="20.149999999999999" customHeight="1" x14ac:dyDescent="0.45">
      <c r="B14" s="34"/>
      <c r="C14" s="22" t="s">
        <v>612</v>
      </c>
      <c r="D14" s="508" t="e">
        <f>VLOOKUP(C14,'Sales Master'!B$3:D$499,2,)</f>
        <v>#N/A</v>
      </c>
      <c r="E14" s="508"/>
      <c r="F14" s="508"/>
      <c r="G14" s="90">
        <v>1</v>
      </c>
      <c r="H14" s="68" t="str">
        <f>VLOOKUP(C14,'[2]Sales Master'!B$3:F$736,5,0)</f>
        <v>3 kgs</v>
      </c>
      <c r="I14" s="481" t="str">
        <f>VLOOKUP(C14,'[2]Sales Master'!B$3:E$736,4,0)</f>
        <v>DO!</v>
      </c>
      <c r="J14" s="481"/>
      <c r="K14" s="94" t="e">
        <f>VLOOKUP(C14,'Sales Master'!B$3:S$499,18,0)</f>
        <v>#N/A</v>
      </c>
      <c r="L14" s="77" t="e">
        <f>K14*G14</f>
        <v>#N/A</v>
      </c>
      <c r="M14" s="78"/>
    </row>
    <row r="15" spans="2:15" ht="20.149999999999999" customHeight="1" x14ac:dyDescent="0.45">
      <c r="B15" s="34"/>
      <c r="C15" s="22" t="s">
        <v>629</v>
      </c>
      <c r="D15" s="508" t="e">
        <f>VLOOKUP(C15,'Sales Master'!B$3:D$499,2,)</f>
        <v>#N/A</v>
      </c>
      <c r="E15" s="508"/>
      <c r="F15" s="508"/>
      <c r="G15" s="90">
        <v>1</v>
      </c>
      <c r="H15" s="68" t="str">
        <f>VLOOKUP(C15,'[2]Sales Master'!B$3:F$736,5,0)</f>
        <v>NET WT: 2.2 KGS</v>
      </c>
      <c r="I15" s="481" t="str">
        <f>VLOOKUP(C15,'[2]Sales Master'!B$3:E$736,4,0)</f>
        <v>-</v>
      </c>
      <c r="J15" s="481"/>
      <c r="K15" s="94" t="e">
        <f>VLOOKUP(C15,'Sales Master'!B$3:S$499,18,0)</f>
        <v>#N/A</v>
      </c>
      <c r="L15" s="77" t="e">
        <f>K15*G15</f>
        <v>#N/A</v>
      </c>
      <c r="M15" s="78"/>
    </row>
    <row r="16" spans="2:15" ht="20.149999999999999" customHeight="1" x14ac:dyDescent="0.45">
      <c r="B16" s="34"/>
      <c r="C16" s="22"/>
      <c r="D16" s="508"/>
      <c r="E16" s="508"/>
      <c r="F16" s="508"/>
      <c r="G16" s="90"/>
      <c r="H16" s="68"/>
      <c r="I16" s="481"/>
      <c r="J16" s="481"/>
      <c r="K16" s="94"/>
      <c r="L16" s="77"/>
      <c r="M16" s="78"/>
    </row>
    <row r="17" spans="2:13" ht="20.149999999999999" customHeight="1" x14ac:dyDescent="0.45">
      <c r="B17" s="34"/>
      <c r="C17" s="22"/>
      <c r="D17" s="508"/>
      <c r="E17" s="508"/>
      <c r="F17" s="508"/>
      <c r="G17" s="90"/>
      <c r="H17" s="68"/>
      <c r="I17" s="481"/>
      <c r="J17" s="481"/>
      <c r="K17" s="94"/>
      <c r="L17" s="77"/>
      <c r="M17" s="78"/>
    </row>
    <row r="18" spans="2:13" ht="20.149999999999999" customHeight="1" x14ac:dyDescent="0.45">
      <c r="B18" s="34"/>
      <c r="C18" s="22"/>
      <c r="D18" s="508"/>
      <c r="E18" s="508"/>
      <c r="F18" s="508"/>
      <c r="G18" s="90"/>
      <c r="H18" s="68"/>
      <c r="I18" s="481"/>
      <c r="J18" s="481"/>
      <c r="K18" s="94"/>
      <c r="L18" s="77"/>
      <c r="M18" s="78"/>
    </row>
    <row r="19" spans="2:13" ht="20.149999999999999" customHeight="1" x14ac:dyDescent="0.45">
      <c r="B19" s="34"/>
      <c r="C19" s="22"/>
      <c r="D19" s="508"/>
      <c r="E19" s="508"/>
      <c r="F19" s="508"/>
      <c r="G19" s="90"/>
      <c r="H19" s="68"/>
      <c r="I19" s="481"/>
      <c r="J19" s="481"/>
      <c r="K19" s="94"/>
      <c r="L19" s="77"/>
      <c r="M19" s="78"/>
    </row>
    <row r="20" spans="2:13" ht="20.149999999999999" customHeight="1" x14ac:dyDescent="0.45">
      <c r="B20" s="34"/>
      <c r="C20" s="22"/>
      <c r="D20" s="508"/>
      <c r="E20" s="508"/>
      <c r="F20" s="508"/>
      <c r="G20" s="90"/>
      <c r="H20" s="68"/>
      <c r="I20" s="481"/>
      <c r="J20" s="481"/>
      <c r="K20" s="94"/>
      <c r="L20" s="77"/>
      <c r="M20" s="78"/>
    </row>
    <row r="21" spans="2:13" ht="20.149999999999999" customHeight="1" x14ac:dyDescent="0.45">
      <c r="B21" s="34"/>
      <c r="C21" s="22"/>
      <c r="D21" s="508"/>
      <c r="E21" s="508"/>
      <c r="F21" s="508"/>
      <c r="G21" s="90"/>
      <c r="H21" s="68"/>
      <c r="I21" s="481"/>
      <c r="J21" s="481"/>
      <c r="K21" s="94"/>
      <c r="L21" s="77"/>
      <c r="M21" s="78"/>
    </row>
    <row r="22" spans="2:13" ht="20.149999999999999" customHeight="1" x14ac:dyDescent="0.45">
      <c r="B22" s="34"/>
      <c r="C22" s="22"/>
      <c r="D22" s="508"/>
      <c r="E22" s="508"/>
      <c r="F22" s="508"/>
      <c r="G22" s="90"/>
      <c r="H22" s="68"/>
      <c r="I22" s="481"/>
      <c r="J22" s="481"/>
      <c r="K22" s="94"/>
      <c r="L22" s="77"/>
      <c r="M22" s="78"/>
    </row>
    <row r="23" spans="2:13" ht="20.149999999999999" customHeight="1" x14ac:dyDescent="0.45">
      <c r="B23" s="34"/>
      <c r="C23" s="22"/>
      <c r="D23" s="508"/>
      <c r="E23" s="508"/>
      <c r="F23" s="508"/>
      <c r="G23" s="90"/>
      <c r="H23" s="68"/>
      <c r="I23" s="481"/>
      <c r="J23" s="481"/>
      <c r="K23" s="94"/>
      <c r="L23" s="77"/>
      <c r="M23" s="78"/>
    </row>
    <row r="24" spans="2:13" ht="20.149999999999999" customHeight="1" x14ac:dyDescent="0.45">
      <c r="B24" s="34"/>
      <c r="C24" s="22"/>
      <c r="G24" s="90"/>
      <c r="H24" s="68"/>
      <c r="I24" s="481"/>
      <c r="J24" s="481"/>
      <c r="K24" s="94"/>
      <c r="L24" s="77"/>
      <c r="M24" s="78"/>
    </row>
    <row r="25" spans="2:13" ht="20.149999999999999" customHeight="1" x14ac:dyDescent="0.45">
      <c r="B25" s="34"/>
      <c r="C25" s="22"/>
      <c r="G25" s="90"/>
      <c r="H25" s="68"/>
      <c r="I25" s="481"/>
      <c r="J25" s="481"/>
      <c r="K25" s="94"/>
      <c r="L25" s="77"/>
      <c r="M25" s="78"/>
    </row>
    <row r="26" spans="2:13" ht="20.149999999999999" customHeight="1" x14ac:dyDescent="0.45">
      <c r="B26" s="34"/>
      <c r="C26" s="22"/>
      <c r="G26" s="90"/>
      <c r="H26" s="68"/>
      <c r="I26" s="481"/>
      <c r="J26" s="481"/>
      <c r="K26" s="94"/>
      <c r="L26" s="77"/>
      <c r="M26" s="78"/>
    </row>
    <row r="27" spans="2:13" ht="20.149999999999999" customHeight="1" x14ac:dyDescent="0.45">
      <c r="B27" s="34"/>
      <c r="C27" s="22"/>
      <c r="G27" s="22"/>
      <c r="H27" s="68"/>
      <c r="I27" s="481"/>
      <c r="J27" s="481"/>
      <c r="K27" s="94"/>
      <c r="L27" s="77"/>
      <c r="M27" s="78"/>
    </row>
    <row r="28" spans="2:13" ht="20.149999999999999" customHeight="1" x14ac:dyDescent="0.45">
      <c r="B28" s="34"/>
      <c r="C28" s="22"/>
      <c r="D28" s="508"/>
      <c r="E28" s="508"/>
      <c r="F28" s="508"/>
      <c r="G28" s="22"/>
      <c r="H28" s="68"/>
      <c r="I28" s="481"/>
      <c r="J28" s="481"/>
      <c r="K28" s="94"/>
      <c r="L28" s="77"/>
      <c r="M28" s="78"/>
    </row>
    <row r="29" spans="2:13" ht="20.149999999999999" customHeight="1" x14ac:dyDescent="0.45">
      <c r="B29" s="34"/>
      <c r="C29" s="22"/>
      <c r="D29" s="508"/>
      <c r="E29" s="508"/>
      <c r="F29" s="508"/>
      <c r="G29" s="22"/>
      <c r="H29" s="68"/>
      <c r="I29" s="481"/>
      <c r="J29" s="481"/>
      <c r="K29" s="94"/>
      <c r="L29" s="77"/>
      <c r="M29" s="78"/>
    </row>
    <row r="30" spans="2:13" ht="20.149999999999999" customHeight="1" x14ac:dyDescent="0.45">
      <c r="B30" s="34"/>
      <c r="C30" s="22"/>
      <c r="D30" s="508"/>
      <c r="E30" s="508"/>
      <c r="F30" s="508"/>
      <c r="G30" s="22"/>
      <c r="H30" s="68"/>
      <c r="I30" s="481"/>
      <c r="J30" s="481"/>
      <c r="K30" s="94"/>
      <c r="L30" s="77"/>
      <c r="M30" s="78"/>
    </row>
    <row r="31" spans="2:13" ht="20.149999999999999" customHeight="1" x14ac:dyDescent="0.45">
      <c r="B31" s="34"/>
      <c r="C31" s="22"/>
      <c r="D31" s="508"/>
      <c r="E31" s="508"/>
      <c r="F31" s="508"/>
      <c r="G31" s="22"/>
      <c r="H31" s="68"/>
      <c r="I31" s="481"/>
      <c r="J31" s="481"/>
      <c r="K31" s="94"/>
      <c r="L31" s="77"/>
      <c r="M31" s="78"/>
    </row>
    <row r="32" spans="2:13" ht="20.149999999999999" customHeight="1" x14ac:dyDescent="0.45">
      <c r="B32" s="34"/>
      <c r="C32" s="22"/>
      <c r="D32" s="508"/>
      <c r="E32" s="508"/>
      <c r="F32" s="508"/>
      <c r="G32" s="22"/>
      <c r="H32" s="68"/>
      <c r="I32" s="481"/>
      <c r="J32" s="481"/>
      <c r="K32" s="94"/>
      <c r="L32" s="77"/>
    </row>
    <row r="33" spans="2:13" ht="20.149999999999999" customHeight="1" thickBot="1" x14ac:dyDescent="0.5">
      <c r="B33" s="37"/>
      <c r="C33" s="38"/>
      <c r="D33" s="509"/>
      <c r="E33" s="509"/>
      <c r="F33" s="509"/>
      <c r="G33" s="38"/>
      <c r="H33" s="69"/>
      <c r="I33" s="451"/>
      <c r="J33" s="451"/>
      <c r="K33" s="39"/>
      <c r="L33" s="40"/>
    </row>
    <row r="34" spans="2:13" ht="20.149999999999999" customHeight="1" thickBot="1" x14ac:dyDescent="0.5">
      <c r="B34" s="41"/>
      <c r="L34" s="42"/>
    </row>
    <row r="35" spans="2:13" ht="20.149999999999999" customHeight="1" x14ac:dyDescent="0.45">
      <c r="B35" s="11" t="s">
        <v>18</v>
      </c>
      <c r="C35" s="7"/>
      <c r="D35" s="7"/>
      <c r="E35" s="7"/>
      <c r="F35" s="7"/>
      <c r="G35" s="7"/>
      <c r="H35" s="7"/>
      <c r="I35" s="7"/>
      <c r="J35" s="510" t="s">
        <v>15</v>
      </c>
      <c r="K35" s="511"/>
      <c r="L35" s="43" t="e">
        <f>SUM(L13:L32)</f>
        <v>#N/A</v>
      </c>
      <c r="M35" s="76">
        <f>166+26</f>
        <v>192</v>
      </c>
    </row>
    <row r="36" spans="2:13" ht="20.149999999999999" customHeight="1" x14ac:dyDescent="0.45">
      <c r="B36" s="11" t="s">
        <v>19</v>
      </c>
      <c r="C36" s="7"/>
      <c r="D36" s="7"/>
      <c r="E36" s="7"/>
      <c r="F36" s="7"/>
      <c r="G36" s="7"/>
      <c r="H36" s="7"/>
      <c r="I36" s="7"/>
      <c r="J36" s="44" t="s">
        <v>22</v>
      </c>
      <c r="K36" s="45"/>
      <c r="L36" s="46" t="e">
        <f>L35*K36</f>
        <v>#N/A</v>
      </c>
    </row>
    <row r="37" spans="2:13" ht="20.149999999999999" customHeight="1" x14ac:dyDescent="0.45">
      <c r="B37" s="11" t="s">
        <v>20</v>
      </c>
      <c r="C37" s="7"/>
      <c r="D37" s="7"/>
      <c r="E37" s="7"/>
      <c r="F37" s="7"/>
      <c r="G37" s="7"/>
      <c r="H37" s="7"/>
      <c r="I37" s="7"/>
      <c r="J37" s="486" t="s">
        <v>21</v>
      </c>
      <c r="K37" s="487"/>
      <c r="L37" s="46" t="e">
        <f>L35-L36</f>
        <v>#N/A</v>
      </c>
    </row>
    <row r="38" spans="2:13" ht="20.149999999999999" customHeight="1" x14ac:dyDescent="0.45">
      <c r="B38" s="11" t="s">
        <v>24</v>
      </c>
      <c r="C38" s="7"/>
      <c r="D38" s="7"/>
      <c r="E38" s="7"/>
      <c r="F38" s="7"/>
      <c r="G38" s="7"/>
      <c r="H38" s="7"/>
      <c r="I38" s="7"/>
      <c r="J38" s="150" t="s">
        <v>17</v>
      </c>
      <c r="K38" s="151">
        <v>7.0000000000000007E-2</v>
      </c>
      <c r="L38" s="47" t="e">
        <f>L37*K38</f>
        <v>#N/A</v>
      </c>
    </row>
    <row r="39" spans="2:13" ht="20.149999999999999" customHeight="1" thickBot="1" x14ac:dyDescent="0.5">
      <c r="B39" s="11" t="s">
        <v>25</v>
      </c>
      <c r="C39" s="7"/>
      <c r="D39" s="7"/>
      <c r="E39" s="7"/>
      <c r="F39" s="7"/>
      <c r="G39" s="7"/>
      <c r="H39" s="7"/>
      <c r="I39" s="7"/>
      <c r="J39" s="488" t="s">
        <v>23</v>
      </c>
      <c r="K39" s="489"/>
      <c r="L39" s="48" t="e">
        <f>L37+L38</f>
        <v>#N/A</v>
      </c>
    </row>
    <row r="40" spans="2:13" ht="20.149999999999999" customHeight="1" x14ac:dyDescent="0.45">
      <c r="B40" s="11" t="s">
        <v>26</v>
      </c>
      <c r="C40" s="7"/>
      <c r="D40" s="7"/>
      <c r="E40" s="7"/>
      <c r="F40" s="7"/>
      <c r="G40" s="7"/>
      <c r="H40" s="7"/>
      <c r="I40" s="7"/>
      <c r="L40" s="42"/>
    </row>
    <row r="41" spans="2:13" ht="20.149999999999999" customHeight="1" x14ac:dyDescent="0.45">
      <c r="B41" s="41"/>
      <c r="L41" s="42"/>
    </row>
    <row r="42" spans="2:13" ht="20.149999999999999" customHeight="1" x14ac:dyDescent="0.45">
      <c r="B42" s="41"/>
      <c r="L42" s="42"/>
    </row>
    <row r="43" spans="2:13" ht="20.149999999999999" customHeight="1" x14ac:dyDescent="0.45">
      <c r="B43" s="41"/>
      <c r="L43" s="42"/>
    </row>
    <row r="44" spans="2:13" ht="20.149999999999999" customHeight="1" x14ac:dyDescent="0.45">
      <c r="B44" s="41"/>
      <c r="L44" s="42"/>
    </row>
    <row r="45" spans="2:13" ht="20.149999999999999" customHeight="1" x14ac:dyDescent="0.45">
      <c r="B45" s="49"/>
      <c r="C45" s="50"/>
      <c r="D45" s="50"/>
      <c r="J45" s="50"/>
      <c r="K45" s="50"/>
      <c r="L45" s="51"/>
    </row>
    <row r="46" spans="2:13" ht="20.149999999999999" customHeight="1" x14ac:dyDescent="0.45">
      <c r="B46" s="41" t="s">
        <v>27</v>
      </c>
      <c r="J46" s="24" t="s">
        <v>28</v>
      </c>
      <c r="L46" s="42"/>
    </row>
    <row r="47" spans="2:13" ht="19" thickBot="1" x14ac:dyDescent="0.5">
      <c r="B47" s="52"/>
      <c r="C47" s="53"/>
      <c r="D47" s="53"/>
      <c r="E47" s="53"/>
      <c r="F47" s="53"/>
      <c r="G47" s="53"/>
      <c r="H47" s="53"/>
      <c r="I47" s="53"/>
      <c r="J47" s="53"/>
      <c r="K47" s="53"/>
      <c r="L47" s="54"/>
    </row>
  </sheetData>
  <mergeCells count="53">
    <mergeCell ref="K6:L6"/>
    <mergeCell ref="B7:D7"/>
    <mergeCell ref="F7:H11"/>
    <mergeCell ref="K7:L7"/>
    <mergeCell ref="B8:D8"/>
    <mergeCell ref="K8:L8"/>
    <mergeCell ref="B9:D9"/>
    <mergeCell ref="K9:L9"/>
    <mergeCell ref="B10:D10"/>
    <mergeCell ref="K10:L10"/>
    <mergeCell ref="B11:D11"/>
    <mergeCell ref="K11:L11"/>
    <mergeCell ref="D13:F13"/>
    <mergeCell ref="I13:J13"/>
    <mergeCell ref="D14:F14"/>
    <mergeCell ref="I14:J14"/>
    <mergeCell ref="D15:F15"/>
    <mergeCell ref="I15:J15"/>
    <mergeCell ref="D16:F16"/>
    <mergeCell ref="I16:J16"/>
    <mergeCell ref="D17:F17"/>
    <mergeCell ref="I17:J17"/>
    <mergeCell ref="D18:F18"/>
    <mergeCell ref="I18:J18"/>
    <mergeCell ref="D19:F19"/>
    <mergeCell ref="I19:J19"/>
    <mergeCell ref="D20:F20"/>
    <mergeCell ref="I20:J20"/>
    <mergeCell ref="D21:F21"/>
    <mergeCell ref="I21:J21"/>
    <mergeCell ref="D22:F22"/>
    <mergeCell ref="I22:J22"/>
    <mergeCell ref="D23:F23"/>
    <mergeCell ref="I23:J23"/>
    <mergeCell ref="I24:J24"/>
    <mergeCell ref="I25:J25"/>
    <mergeCell ref="I26:J26"/>
    <mergeCell ref="I27:J27"/>
    <mergeCell ref="D28:F28"/>
    <mergeCell ref="I28:J28"/>
    <mergeCell ref="D29:F29"/>
    <mergeCell ref="I29:J29"/>
    <mergeCell ref="D30:F30"/>
    <mergeCell ref="I30:J30"/>
    <mergeCell ref="D31:F31"/>
    <mergeCell ref="I31:J31"/>
    <mergeCell ref="J39:K39"/>
    <mergeCell ref="D32:F32"/>
    <mergeCell ref="I32:J32"/>
    <mergeCell ref="D33:F33"/>
    <mergeCell ref="I33:J33"/>
    <mergeCell ref="J35:K35"/>
    <mergeCell ref="J37:K37"/>
  </mergeCells>
  <pageMargins left="0.70866141732283505" right="0.31496062992126" top="2.1653543307086598" bottom="0" header="0.31496062992126" footer="0.31496062992126"/>
  <pageSetup paperSize="9" scale="76" orientation="portrait" verticalDpi="300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6C2E9A-2958-4E74-9755-5D5B9F2A5594}">
  <sheetPr codeName="Sheet166">
    <tabColor rgb="FFFFFF00"/>
    <pageSetUpPr fitToPage="1"/>
  </sheetPr>
  <dimension ref="B5:O47"/>
  <sheetViews>
    <sheetView workbookViewId="0">
      <selection activeCell="B7" sqref="B7:D11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6.54296875" style="24" customWidth="1"/>
    <col min="7" max="7" width="8.54296875" style="24" customWidth="1"/>
    <col min="8" max="8" width="12.54296875" style="24" customWidth="1"/>
    <col min="9" max="9" width="2.54296875" style="24" customWidth="1"/>
    <col min="10" max="10" width="15.54296875" style="24" customWidth="1"/>
    <col min="11" max="12" width="12.54296875" style="24" customWidth="1"/>
    <col min="13" max="16384" width="12.54296875" style="24"/>
  </cols>
  <sheetData>
    <row r="5" spans="2:15" ht="19" thickBot="1" x14ac:dyDescent="0.5">
      <c r="B5" s="23"/>
    </row>
    <row r="6" spans="2:15" ht="18" customHeight="1" thickTop="1" thickBot="1" x14ac:dyDescent="0.5">
      <c r="B6" s="25" t="s">
        <v>9</v>
      </c>
      <c r="C6" s="25"/>
      <c r="D6" s="26"/>
      <c r="E6" s="26"/>
      <c r="F6" s="27" t="s">
        <v>10</v>
      </c>
      <c r="G6" s="28"/>
      <c r="H6" s="28" t="s">
        <v>149</v>
      </c>
      <c r="J6" s="29" t="s">
        <v>29</v>
      </c>
      <c r="K6" s="452">
        <v>201909130</v>
      </c>
      <c r="L6" s="453"/>
    </row>
    <row r="7" spans="2:15" ht="20.149999999999999" customHeight="1" x14ac:dyDescent="0.45">
      <c r="B7" s="454" t="s">
        <v>583</v>
      </c>
      <c r="C7" s="455"/>
      <c r="D7" s="456"/>
      <c r="E7" s="30"/>
      <c r="F7" s="457" t="str">
        <f>VLOOKUP(H6,'Delivery Location'!A$4:N$416,2,0)</f>
        <v>JNS 111 Food                                               River Vally Point #01-11 Singapore 248371.</v>
      </c>
      <c r="G7" s="458"/>
      <c r="H7" s="459"/>
      <c r="J7" s="31" t="s">
        <v>11</v>
      </c>
      <c r="K7" s="551">
        <v>43714</v>
      </c>
      <c r="L7" s="472"/>
    </row>
    <row r="8" spans="2:15" ht="20.149999999999999" customHeight="1" x14ac:dyDescent="0.45">
      <c r="B8" s="468" t="s">
        <v>584</v>
      </c>
      <c r="C8" s="469"/>
      <c r="D8" s="470"/>
      <c r="E8" s="30"/>
      <c r="F8" s="460"/>
      <c r="G8" s="461"/>
      <c r="H8" s="462"/>
      <c r="J8" s="31" t="s">
        <v>171</v>
      </c>
      <c r="K8" s="471" t="s">
        <v>533</v>
      </c>
      <c r="L8" s="472"/>
    </row>
    <row r="9" spans="2:15" ht="20.149999999999999" customHeight="1" x14ac:dyDescent="0.45">
      <c r="B9" s="468" t="s">
        <v>890</v>
      </c>
      <c r="C9" s="469"/>
      <c r="D9" s="470"/>
      <c r="E9" s="30"/>
      <c r="F9" s="460"/>
      <c r="G9" s="461"/>
      <c r="H9" s="462"/>
      <c r="J9" s="31" t="s">
        <v>12</v>
      </c>
      <c r="K9" s="471" t="s">
        <v>14</v>
      </c>
      <c r="L9" s="472"/>
    </row>
    <row r="10" spans="2:15" ht="20.149999999999999" customHeight="1" x14ac:dyDescent="0.45">
      <c r="B10" s="468" t="s">
        <v>891</v>
      </c>
      <c r="C10" s="469"/>
      <c r="D10" s="470"/>
      <c r="E10" s="30"/>
      <c r="F10" s="460"/>
      <c r="G10" s="461"/>
      <c r="H10" s="462"/>
      <c r="J10" s="31" t="s">
        <v>30</v>
      </c>
      <c r="K10" s="471" t="s">
        <v>16</v>
      </c>
      <c r="L10" s="472"/>
    </row>
    <row r="11" spans="2:15" ht="18" customHeight="1" thickBot="1" x14ac:dyDescent="0.5">
      <c r="B11" s="552" t="s">
        <v>585</v>
      </c>
      <c r="C11" s="474"/>
      <c r="D11" s="475"/>
      <c r="E11" s="26"/>
      <c r="F11" s="463"/>
      <c r="G11" s="464"/>
      <c r="H11" s="465"/>
      <c r="J11" s="32" t="s">
        <v>13</v>
      </c>
      <c r="K11" s="476"/>
      <c r="L11" s="477"/>
    </row>
    <row r="12" spans="2:15" ht="19" thickBot="1" x14ac:dyDescent="0.5">
      <c r="J12" s="22"/>
    </row>
    <row r="13" spans="2:15" ht="30" customHeight="1" thickBot="1" x14ac:dyDescent="0.5">
      <c r="B13" s="8" t="s">
        <v>2</v>
      </c>
      <c r="C13" s="9" t="s">
        <v>3</v>
      </c>
      <c r="D13" s="478" t="s">
        <v>4</v>
      </c>
      <c r="E13" s="483"/>
      <c r="F13" s="479"/>
      <c r="G13" s="19" t="s">
        <v>620</v>
      </c>
      <c r="H13" s="8" t="s">
        <v>622</v>
      </c>
      <c r="I13" s="478" t="s">
        <v>621</v>
      </c>
      <c r="J13" s="479"/>
      <c r="K13" s="9" t="s">
        <v>6</v>
      </c>
      <c r="L13" s="10" t="s">
        <v>7</v>
      </c>
      <c r="M13" s="33"/>
      <c r="N13" s="33"/>
      <c r="O13" s="33"/>
    </row>
    <row r="14" spans="2:15" ht="20.149999999999999" customHeight="1" x14ac:dyDescent="0.45">
      <c r="B14" s="34"/>
      <c r="C14" s="22" t="s">
        <v>612</v>
      </c>
      <c r="D14" s="508" t="e">
        <f>VLOOKUP(C14,'Sales Master'!B$3:D$499,2,)</f>
        <v>#N/A</v>
      </c>
      <c r="E14" s="508"/>
      <c r="F14" s="508"/>
      <c r="G14" s="90">
        <v>2</v>
      </c>
      <c r="H14" s="68" t="e">
        <f>VLOOKUP(C14,'Sales Master'!$B$3:$E$590,4,0)</f>
        <v>#N/A</v>
      </c>
      <c r="I14" s="481" t="e">
        <f>VLOOKUP(C14,'Sales Master'!$B$3:F$590,5,0)</f>
        <v>#N/A</v>
      </c>
      <c r="J14" s="481"/>
      <c r="K14" s="94" t="e">
        <f>VLOOKUP(C14,'Sales Master'!B$3:S$499,18,0)</f>
        <v>#N/A</v>
      </c>
      <c r="L14" s="77" t="e">
        <f t="shared" ref="L14:L27" si="0">K14*G14</f>
        <v>#N/A</v>
      </c>
      <c r="M14" s="78"/>
    </row>
    <row r="15" spans="2:15" ht="20.149999999999999" customHeight="1" x14ac:dyDescent="0.45">
      <c r="B15" s="34"/>
      <c r="C15" s="22" t="s">
        <v>629</v>
      </c>
      <c r="D15" s="508" t="e">
        <f>VLOOKUP(C15,'Sales Master'!B$3:D$499,2,)</f>
        <v>#N/A</v>
      </c>
      <c r="E15" s="508"/>
      <c r="F15" s="508"/>
      <c r="G15" s="90">
        <v>2</v>
      </c>
      <c r="H15" s="68" t="e">
        <f>VLOOKUP(C15,'Sales Master'!$B$3:$E$590,4,0)</f>
        <v>#N/A</v>
      </c>
      <c r="I15" s="481" t="e">
        <f>VLOOKUP(C15,'Sales Master'!$B$3:F$590,5,0)</f>
        <v>#N/A</v>
      </c>
      <c r="J15" s="481"/>
      <c r="K15" s="94" t="e">
        <f>VLOOKUP(C15,'Sales Master'!B$3:S$499,18,0)</f>
        <v>#N/A</v>
      </c>
      <c r="L15" s="77" t="e">
        <f t="shared" si="0"/>
        <v>#N/A</v>
      </c>
      <c r="M15" s="78"/>
    </row>
    <row r="16" spans="2:15" ht="20.149999999999999" customHeight="1" x14ac:dyDescent="0.45">
      <c r="B16" s="34"/>
      <c r="C16" s="22" t="s">
        <v>367</v>
      </c>
      <c r="D16" s="508" t="e">
        <f>VLOOKUP(C16,'Sales Master'!B$3:D$499,2,)</f>
        <v>#N/A</v>
      </c>
      <c r="E16" s="508"/>
      <c r="F16" s="508"/>
      <c r="G16" s="90">
        <v>1</v>
      </c>
      <c r="H16" s="68" t="e">
        <f>VLOOKUP(C16,'Sales Master'!$B$3:$E$590,4,0)</f>
        <v>#N/A</v>
      </c>
      <c r="I16" s="481" t="e">
        <f>VLOOKUP(C16,'Sales Master'!$B$3:F$590,5,0)</f>
        <v>#N/A</v>
      </c>
      <c r="J16" s="481"/>
      <c r="K16" s="94" t="e">
        <f>VLOOKUP(C16,'Sales Master'!B$3:S$499,18,0)</f>
        <v>#N/A</v>
      </c>
      <c r="L16" s="77" t="e">
        <f t="shared" si="0"/>
        <v>#N/A</v>
      </c>
      <c r="M16" s="78"/>
    </row>
    <row r="17" spans="2:13" ht="20.149999999999999" customHeight="1" x14ac:dyDescent="0.45">
      <c r="B17" s="34"/>
      <c r="C17" s="22" t="s">
        <v>400</v>
      </c>
      <c r="D17" s="508" t="e">
        <f>VLOOKUP(C17,'Sales Master'!B$3:D$499,2,)</f>
        <v>#N/A</v>
      </c>
      <c r="E17" s="508"/>
      <c r="F17" s="508"/>
      <c r="G17" s="90">
        <v>1</v>
      </c>
      <c r="H17" s="68" t="e">
        <f>VLOOKUP(C17,'Sales Master'!$B$3:$E$590,4,0)</f>
        <v>#N/A</v>
      </c>
      <c r="I17" s="481" t="e">
        <f>VLOOKUP(C17,'Sales Master'!$B$3:F$590,5,0)</f>
        <v>#N/A</v>
      </c>
      <c r="J17" s="481"/>
      <c r="K17" s="94" t="e">
        <f>VLOOKUP(C17,'Sales Master'!B$3:S$499,18,0)</f>
        <v>#N/A</v>
      </c>
      <c r="L17" s="77" t="e">
        <f t="shared" si="0"/>
        <v>#N/A</v>
      </c>
      <c r="M17" s="78"/>
    </row>
    <row r="18" spans="2:13" ht="20.149999999999999" customHeight="1" x14ac:dyDescent="0.45">
      <c r="B18" s="34"/>
      <c r="C18" s="22" t="s">
        <v>405</v>
      </c>
      <c r="D18" s="508" t="e">
        <f>VLOOKUP(C18,'Sales Master'!B$3:D$499,2,)</f>
        <v>#N/A</v>
      </c>
      <c r="E18" s="508"/>
      <c r="F18" s="508"/>
      <c r="G18" s="90">
        <v>1</v>
      </c>
      <c r="H18" s="68" t="e">
        <f>VLOOKUP(C18,'Sales Master'!$B$3:$E$590,4,0)</f>
        <v>#N/A</v>
      </c>
      <c r="I18" s="481" t="e">
        <f>VLOOKUP(C18,'Sales Master'!$B$3:F$590,5,0)</f>
        <v>#N/A</v>
      </c>
      <c r="J18" s="481"/>
      <c r="K18" s="94" t="e">
        <f>VLOOKUP(C18,'Sales Master'!B$3:S$499,18,0)</f>
        <v>#N/A</v>
      </c>
      <c r="L18" s="77" t="e">
        <f t="shared" si="0"/>
        <v>#N/A</v>
      </c>
      <c r="M18" s="78"/>
    </row>
    <row r="19" spans="2:13" ht="20.149999999999999" customHeight="1" x14ac:dyDescent="0.45">
      <c r="B19" s="34"/>
      <c r="C19" s="22" t="s">
        <v>406</v>
      </c>
      <c r="D19" s="508" t="e">
        <f>VLOOKUP(C19,'Sales Master'!B$3:D$499,2,)</f>
        <v>#N/A</v>
      </c>
      <c r="E19" s="508"/>
      <c r="F19" s="508"/>
      <c r="G19" s="90">
        <v>1</v>
      </c>
      <c r="H19" s="68" t="e">
        <f>VLOOKUP(C19,'Sales Master'!$B$3:$E$590,4,0)</f>
        <v>#N/A</v>
      </c>
      <c r="I19" s="481" t="e">
        <f>VLOOKUP(C19,'Sales Master'!$B$3:F$590,5,0)</f>
        <v>#N/A</v>
      </c>
      <c r="J19" s="481"/>
      <c r="K19" s="94" t="e">
        <f>VLOOKUP(C19,'Sales Master'!B$3:S$499,18,0)</f>
        <v>#N/A</v>
      </c>
      <c r="L19" s="77" t="e">
        <f t="shared" si="0"/>
        <v>#N/A</v>
      </c>
      <c r="M19" s="78"/>
    </row>
    <row r="20" spans="2:13" ht="20.149999999999999" customHeight="1" x14ac:dyDescent="0.45">
      <c r="B20" s="34"/>
      <c r="C20" s="22" t="s">
        <v>413</v>
      </c>
      <c r="D20" s="508" t="e">
        <f>VLOOKUP(C20,'Sales Master'!B$3:D$499,2,)</f>
        <v>#N/A</v>
      </c>
      <c r="E20" s="508"/>
      <c r="F20" s="508"/>
      <c r="G20" s="90">
        <v>2</v>
      </c>
      <c r="H20" s="68" t="e">
        <f>VLOOKUP(C20,'Sales Master'!$B$3:$E$590,4,0)</f>
        <v>#N/A</v>
      </c>
      <c r="I20" s="481" t="e">
        <f>VLOOKUP(C20,'Sales Master'!$B$3:F$590,5,0)</f>
        <v>#N/A</v>
      </c>
      <c r="J20" s="481"/>
      <c r="K20" s="94" t="e">
        <f>VLOOKUP(C20,'Sales Master'!B$3:S$499,18,0)</f>
        <v>#N/A</v>
      </c>
      <c r="L20" s="77" t="e">
        <f t="shared" si="0"/>
        <v>#N/A</v>
      </c>
      <c r="M20" s="78"/>
    </row>
    <row r="21" spans="2:13" ht="20.149999999999999" customHeight="1" x14ac:dyDescent="0.45">
      <c r="B21" s="34"/>
      <c r="C21" s="22" t="s">
        <v>422</v>
      </c>
      <c r="D21" s="508" t="e">
        <f>VLOOKUP(C21,'Sales Master'!B$3:D$499,2,)</f>
        <v>#N/A</v>
      </c>
      <c r="E21" s="508"/>
      <c r="F21" s="508"/>
      <c r="G21" s="90">
        <v>1</v>
      </c>
      <c r="H21" s="68" t="e">
        <f>VLOOKUP(C21,'Sales Master'!$B$3:$E$590,4,0)</f>
        <v>#N/A</v>
      </c>
      <c r="I21" s="481" t="e">
        <f>VLOOKUP(C21,'Sales Master'!$B$3:F$590,5,0)</f>
        <v>#N/A</v>
      </c>
      <c r="J21" s="481"/>
      <c r="K21" s="94" t="e">
        <f>VLOOKUP(C21,'Sales Master'!B$3:S$499,18,0)</f>
        <v>#N/A</v>
      </c>
      <c r="L21" s="77" t="e">
        <f t="shared" si="0"/>
        <v>#N/A</v>
      </c>
      <c r="M21" s="78"/>
    </row>
    <row r="22" spans="2:13" ht="20.149999999999999" customHeight="1" x14ac:dyDescent="0.45">
      <c r="B22" s="34"/>
      <c r="C22" s="22" t="s">
        <v>393</v>
      </c>
      <c r="D22" s="508" t="e">
        <f>VLOOKUP(C22,'Sales Master'!B$3:D$499,2,)</f>
        <v>#N/A</v>
      </c>
      <c r="E22" s="508"/>
      <c r="F22" s="508"/>
      <c r="G22" s="90">
        <v>1</v>
      </c>
      <c r="H22" s="68" t="e">
        <f>VLOOKUP(C22,'Sales Master'!$B$3:$E$590,4,0)</f>
        <v>#N/A</v>
      </c>
      <c r="I22" s="481" t="e">
        <f>VLOOKUP(C22,'Sales Master'!$B$3:F$590,5,0)</f>
        <v>#N/A</v>
      </c>
      <c r="J22" s="481"/>
      <c r="K22" s="94" t="e">
        <f>VLOOKUP(C22,'Sales Master'!B$3:S$499,18,0)</f>
        <v>#N/A</v>
      </c>
      <c r="L22" s="77" t="e">
        <f t="shared" si="0"/>
        <v>#N/A</v>
      </c>
      <c r="M22" s="78"/>
    </row>
    <row r="23" spans="2:13" ht="20.149999999999999" customHeight="1" x14ac:dyDescent="0.45">
      <c r="B23" s="34"/>
      <c r="C23" s="22" t="s">
        <v>381</v>
      </c>
      <c r="D23" s="508" t="e">
        <f>VLOOKUP(C23,'Sales Master'!B$3:D$499,2,)</f>
        <v>#N/A</v>
      </c>
      <c r="E23" s="508"/>
      <c r="F23" s="508"/>
      <c r="G23" s="90">
        <v>1</v>
      </c>
      <c r="H23" s="68" t="e">
        <f>VLOOKUP(C23,'Sales Master'!$B$3:$E$590,4,0)</f>
        <v>#N/A</v>
      </c>
      <c r="I23" s="481" t="e">
        <f>VLOOKUP(C23,'Sales Master'!$B$3:F$590,5,0)</f>
        <v>#N/A</v>
      </c>
      <c r="J23" s="481"/>
      <c r="K23" s="94" t="e">
        <f>VLOOKUP(C23,'Sales Master'!B$3:S$499,18,0)</f>
        <v>#N/A</v>
      </c>
      <c r="L23" s="77" t="e">
        <f t="shared" si="0"/>
        <v>#N/A</v>
      </c>
      <c r="M23" s="78"/>
    </row>
    <row r="24" spans="2:13" ht="20.149999999999999" customHeight="1" x14ac:dyDescent="0.45">
      <c r="B24" s="34"/>
      <c r="C24" s="22" t="s">
        <v>428</v>
      </c>
      <c r="D24" s="24" t="e">
        <f>VLOOKUP(C24,'Sales Master'!B$3:D$499,2,)</f>
        <v>#N/A</v>
      </c>
      <c r="G24" s="90">
        <v>2</v>
      </c>
      <c r="H24" s="68" t="e">
        <f>VLOOKUP(C24,'Sales Master'!$B$3:$E$590,4,0)</f>
        <v>#N/A</v>
      </c>
      <c r="I24" s="481" t="e">
        <f>VLOOKUP(C24,'Sales Master'!$B$3:F$590,5,0)</f>
        <v>#N/A</v>
      </c>
      <c r="J24" s="481"/>
      <c r="K24" s="94" t="e">
        <f>VLOOKUP(C24,'Sales Master'!B$3:S$499,18,0)</f>
        <v>#N/A</v>
      </c>
      <c r="L24" s="77" t="e">
        <f t="shared" si="0"/>
        <v>#N/A</v>
      </c>
      <c r="M24" s="78"/>
    </row>
    <row r="25" spans="2:13" ht="20.149999999999999" customHeight="1" x14ac:dyDescent="0.45">
      <c r="B25" s="34"/>
      <c r="C25" s="22" t="s">
        <v>453</v>
      </c>
      <c r="D25" s="24" t="e">
        <f>VLOOKUP(C25,'Sales Master'!B$3:D$499,2,)</f>
        <v>#N/A</v>
      </c>
      <c r="G25" s="90">
        <v>1</v>
      </c>
      <c r="H25" s="68" t="e">
        <f>VLOOKUP(C25,'Sales Master'!$B$3:$E$590,4,0)</f>
        <v>#N/A</v>
      </c>
      <c r="I25" s="481" t="e">
        <f>VLOOKUP(C25,'Sales Master'!$B$3:F$590,5,0)</f>
        <v>#N/A</v>
      </c>
      <c r="J25" s="481"/>
      <c r="K25" s="94" t="e">
        <f>VLOOKUP(C25,'Sales Master'!B$3:S$499,18,0)</f>
        <v>#N/A</v>
      </c>
      <c r="L25" s="77" t="e">
        <f t="shared" si="0"/>
        <v>#N/A</v>
      </c>
      <c r="M25" s="78"/>
    </row>
    <row r="26" spans="2:13" ht="20.149999999999999" customHeight="1" x14ac:dyDescent="0.45">
      <c r="B26" s="34"/>
      <c r="C26" s="22" t="s">
        <v>447</v>
      </c>
      <c r="D26" s="24" t="e">
        <f>VLOOKUP(C26,'Sales Master'!B$3:D$499,2,)</f>
        <v>#N/A</v>
      </c>
      <c r="G26" s="90">
        <v>1</v>
      </c>
      <c r="H26" s="68" t="e">
        <f>VLOOKUP(C26,'Sales Master'!$B$3:$E$590,4,0)</f>
        <v>#N/A</v>
      </c>
      <c r="I26" s="481" t="e">
        <f>VLOOKUP(C26,'Sales Master'!$B$3:F$590,5,0)</f>
        <v>#N/A</v>
      </c>
      <c r="J26" s="481"/>
      <c r="K26" s="94" t="e">
        <f>VLOOKUP(C26,'Sales Master'!B$3:S$499,18,0)</f>
        <v>#N/A</v>
      </c>
      <c r="L26" s="77" t="e">
        <f t="shared" si="0"/>
        <v>#N/A</v>
      </c>
      <c r="M26" s="78"/>
    </row>
    <row r="27" spans="2:13" ht="20.149999999999999" customHeight="1" x14ac:dyDescent="0.45">
      <c r="B27" s="34"/>
      <c r="C27" s="22" t="s">
        <v>443</v>
      </c>
      <c r="D27" s="24" t="e">
        <f>VLOOKUP(C27,'Sales Master'!B$3:D$499,2,)</f>
        <v>#N/A</v>
      </c>
      <c r="G27" s="22">
        <v>1</v>
      </c>
      <c r="H27" s="68" t="e">
        <f>VLOOKUP(C27,'Sales Master'!$B$3:$E$590,4,0)</f>
        <v>#N/A</v>
      </c>
      <c r="I27" s="481" t="e">
        <f>VLOOKUP(C27,'Sales Master'!$B$3:F$590,5,0)</f>
        <v>#N/A</v>
      </c>
      <c r="J27" s="481"/>
      <c r="K27" s="94" t="e">
        <f>VLOOKUP(C27,'Sales Master'!B$3:S$499,18,0)</f>
        <v>#N/A</v>
      </c>
      <c r="L27" s="77" t="e">
        <f t="shared" si="0"/>
        <v>#N/A</v>
      </c>
      <c r="M27" s="78"/>
    </row>
    <row r="28" spans="2:13" ht="20.149999999999999" customHeight="1" x14ac:dyDescent="0.45">
      <c r="B28" s="34"/>
      <c r="C28" s="22"/>
      <c r="D28" s="508"/>
      <c r="E28" s="508"/>
      <c r="F28" s="508"/>
      <c r="G28" s="22"/>
      <c r="H28" s="68"/>
      <c r="I28" s="481"/>
      <c r="J28" s="481"/>
      <c r="K28" s="94"/>
      <c r="L28" s="77"/>
      <c r="M28" s="78"/>
    </row>
    <row r="29" spans="2:13" ht="20.149999999999999" customHeight="1" x14ac:dyDescent="0.45">
      <c r="B29" s="34"/>
      <c r="C29" s="22"/>
      <c r="D29" s="508"/>
      <c r="E29" s="508"/>
      <c r="F29" s="508"/>
      <c r="G29" s="22"/>
      <c r="H29" s="68"/>
      <c r="I29" s="481"/>
      <c r="J29" s="481"/>
      <c r="K29" s="94"/>
      <c r="L29" s="77"/>
      <c r="M29" s="78"/>
    </row>
    <row r="30" spans="2:13" ht="20.149999999999999" customHeight="1" x14ac:dyDescent="0.45">
      <c r="B30" s="34"/>
      <c r="C30" s="22"/>
      <c r="D30" s="508"/>
      <c r="E30" s="508"/>
      <c r="F30" s="508"/>
      <c r="G30" s="22"/>
      <c r="H30" s="68"/>
      <c r="I30" s="481"/>
      <c r="J30" s="481"/>
      <c r="K30" s="94"/>
      <c r="L30" s="77"/>
      <c r="M30" s="78"/>
    </row>
    <row r="31" spans="2:13" ht="20.149999999999999" customHeight="1" x14ac:dyDescent="0.45">
      <c r="B31" s="34"/>
      <c r="C31" s="22"/>
      <c r="D31" s="508"/>
      <c r="E31" s="508"/>
      <c r="F31" s="508"/>
      <c r="G31" s="22"/>
      <c r="H31" s="68"/>
      <c r="I31" s="481"/>
      <c r="J31" s="481"/>
      <c r="K31" s="94"/>
      <c r="L31" s="77"/>
      <c r="M31" s="78"/>
    </row>
    <row r="32" spans="2:13" ht="20.149999999999999" customHeight="1" x14ac:dyDescent="0.45">
      <c r="B32" s="34"/>
      <c r="C32" s="22"/>
      <c r="D32" s="508"/>
      <c r="E32" s="508"/>
      <c r="F32" s="508"/>
      <c r="G32" s="22"/>
      <c r="H32" s="68"/>
      <c r="I32" s="481"/>
      <c r="J32" s="481"/>
      <c r="K32" s="94"/>
      <c r="L32" s="77"/>
    </row>
    <row r="33" spans="2:13" ht="20.149999999999999" customHeight="1" thickBot="1" x14ac:dyDescent="0.5">
      <c r="B33" s="37"/>
      <c r="C33" s="38"/>
      <c r="D33" s="509"/>
      <c r="E33" s="509"/>
      <c r="F33" s="509"/>
      <c r="G33" s="38"/>
      <c r="H33" s="69"/>
      <c r="I33" s="451"/>
      <c r="J33" s="451"/>
      <c r="K33" s="39"/>
      <c r="L33" s="40"/>
    </row>
    <row r="34" spans="2:13" ht="20.149999999999999" customHeight="1" thickBot="1" x14ac:dyDescent="0.5">
      <c r="B34" s="41"/>
      <c r="L34" s="42"/>
    </row>
    <row r="35" spans="2:13" ht="20.149999999999999" customHeight="1" x14ac:dyDescent="0.45">
      <c r="B35" s="11" t="s">
        <v>18</v>
      </c>
      <c r="C35" s="7"/>
      <c r="D35" s="7"/>
      <c r="E35" s="7"/>
      <c r="F35" s="7"/>
      <c r="G35" s="7"/>
      <c r="H35" s="7"/>
      <c r="I35" s="7"/>
      <c r="J35" s="510" t="s">
        <v>15</v>
      </c>
      <c r="K35" s="511"/>
      <c r="L35" s="43" t="e">
        <f>SUM(L13:L32)</f>
        <v>#N/A</v>
      </c>
      <c r="M35" s="76">
        <f>166+26</f>
        <v>192</v>
      </c>
    </row>
    <row r="36" spans="2:13" ht="20.149999999999999" customHeight="1" x14ac:dyDescent="0.45">
      <c r="B36" s="11" t="s">
        <v>19</v>
      </c>
      <c r="C36" s="7"/>
      <c r="D36" s="7"/>
      <c r="E36" s="7"/>
      <c r="F36" s="7"/>
      <c r="G36" s="7"/>
      <c r="H36" s="7"/>
      <c r="I36" s="7"/>
      <c r="J36" s="44" t="s">
        <v>22</v>
      </c>
      <c r="K36" s="45"/>
      <c r="L36" s="46" t="e">
        <f>L35*K36</f>
        <v>#N/A</v>
      </c>
    </row>
    <row r="37" spans="2:13" ht="20.149999999999999" customHeight="1" x14ac:dyDescent="0.45">
      <c r="B37" s="11" t="s">
        <v>20</v>
      </c>
      <c r="C37" s="7"/>
      <c r="D37" s="7"/>
      <c r="E37" s="7"/>
      <c r="F37" s="7"/>
      <c r="G37" s="7"/>
      <c r="H37" s="7"/>
      <c r="I37" s="7"/>
      <c r="J37" s="486" t="s">
        <v>21</v>
      </c>
      <c r="K37" s="487"/>
      <c r="L37" s="46" t="e">
        <f>L35-L36</f>
        <v>#N/A</v>
      </c>
    </row>
    <row r="38" spans="2:13" ht="20.149999999999999" customHeight="1" x14ac:dyDescent="0.45">
      <c r="B38" s="11" t="s">
        <v>24</v>
      </c>
      <c r="C38" s="7"/>
      <c r="D38" s="7"/>
      <c r="E38" s="7"/>
      <c r="F38" s="7"/>
      <c r="G38" s="7"/>
      <c r="H38" s="7"/>
      <c r="I38" s="7"/>
      <c r="J38" s="150" t="s">
        <v>17</v>
      </c>
      <c r="K38" s="151">
        <v>7.0000000000000007E-2</v>
      </c>
      <c r="L38" s="47" t="e">
        <f>L37*K38</f>
        <v>#N/A</v>
      </c>
    </row>
    <row r="39" spans="2:13" ht="20.149999999999999" customHeight="1" thickBot="1" x14ac:dyDescent="0.5">
      <c r="B39" s="11" t="s">
        <v>25</v>
      </c>
      <c r="C39" s="7"/>
      <c r="D39" s="7"/>
      <c r="E39" s="7"/>
      <c r="F39" s="7"/>
      <c r="G39" s="7"/>
      <c r="H39" s="7"/>
      <c r="I39" s="7"/>
      <c r="J39" s="488" t="s">
        <v>23</v>
      </c>
      <c r="K39" s="489"/>
      <c r="L39" s="48" t="e">
        <f>L37+L38</f>
        <v>#N/A</v>
      </c>
    </row>
    <row r="40" spans="2:13" ht="20.149999999999999" customHeight="1" x14ac:dyDescent="0.45">
      <c r="B40" s="11" t="s">
        <v>26</v>
      </c>
      <c r="C40" s="7"/>
      <c r="D40" s="7"/>
      <c r="E40" s="7"/>
      <c r="F40" s="7"/>
      <c r="G40" s="7"/>
      <c r="H40" s="7"/>
      <c r="I40" s="7"/>
      <c r="L40" s="42"/>
    </row>
    <row r="41" spans="2:13" ht="20.149999999999999" customHeight="1" x14ac:dyDescent="0.45">
      <c r="B41" s="41"/>
      <c r="L41" s="42"/>
    </row>
    <row r="42" spans="2:13" ht="20.149999999999999" customHeight="1" x14ac:dyDescent="0.45">
      <c r="B42" s="41"/>
      <c r="L42" s="42"/>
    </row>
    <row r="43" spans="2:13" ht="20.149999999999999" customHeight="1" x14ac:dyDescent="0.45">
      <c r="B43" s="41"/>
      <c r="L43" s="42"/>
    </row>
    <row r="44" spans="2:13" ht="20.149999999999999" customHeight="1" x14ac:dyDescent="0.45">
      <c r="B44" s="41"/>
      <c r="L44" s="42"/>
    </row>
    <row r="45" spans="2:13" ht="20.149999999999999" customHeight="1" x14ac:dyDescent="0.45">
      <c r="B45" s="49"/>
      <c r="C45" s="50"/>
      <c r="D45" s="50"/>
      <c r="J45" s="50"/>
      <c r="K45" s="50"/>
      <c r="L45" s="51"/>
    </row>
    <row r="46" spans="2:13" ht="20.149999999999999" customHeight="1" x14ac:dyDescent="0.45">
      <c r="B46" s="41" t="s">
        <v>27</v>
      </c>
      <c r="J46" s="24" t="s">
        <v>28</v>
      </c>
      <c r="L46" s="42"/>
    </row>
    <row r="47" spans="2:13" ht="19" thickBot="1" x14ac:dyDescent="0.5">
      <c r="B47" s="52"/>
      <c r="C47" s="53"/>
      <c r="D47" s="53"/>
      <c r="E47" s="53"/>
      <c r="F47" s="53"/>
      <c r="G47" s="53"/>
      <c r="H47" s="53"/>
      <c r="I47" s="53"/>
      <c r="J47" s="53"/>
      <c r="K47" s="53"/>
      <c r="L47" s="54"/>
    </row>
  </sheetData>
  <mergeCells count="53">
    <mergeCell ref="K6:L6"/>
    <mergeCell ref="B7:D7"/>
    <mergeCell ref="F7:H11"/>
    <mergeCell ref="K7:L7"/>
    <mergeCell ref="B8:D8"/>
    <mergeCell ref="K8:L8"/>
    <mergeCell ref="B9:D9"/>
    <mergeCell ref="K9:L9"/>
    <mergeCell ref="B10:D10"/>
    <mergeCell ref="K10:L10"/>
    <mergeCell ref="B11:D11"/>
    <mergeCell ref="K11:L11"/>
    <mergeCell ref="D13:F13"/>
    <mergeCell ref="I13:J13"/>
    <mergeCell ref="D14:F14"/>
    <mergeCell ref="I14:J14"/>
    <mergeCell ref="D15:F15"/>
    <mergeCell ref="I15:J15"/>
    <mergeCell ref="D16:F16"/>
    <mergeCell ref="I16:J16"/>
    <mergeCell ref="D17:F17"/>
    <mergeCell ref="I17:J17"/>
    <mergeCell ref="D18:F18"/>
    <mergeCell ref="I18:J18"/>
    <mergeCell ref="D19:F19"/>
    <mergeCell ref="I19:J19"/>
    <mergeCell ref="D20:F20"/>
    <mergeCell ref="I20:J20"/>
    <mergeCell ref="D21:F21"/>
    <mergeCell ref="I21:J21"/>
    <mergeCell ref="D22:F22"/>
    <mergeCell ref="I22:J22"/>
    <mergeCell ref="D23:F23"/>
    <mergeCell ref="I23:J23"/>
    <mergeCell ref="I24:J24"/>
    <mergeCell ref="I25:J25"/>
    <mergeCell ref="I26:J26"/>
    <mergeCell ref="I27:J27"/>
    <mergeCell ref="D28:F28"/>
    <mergeCell ref="I28:J28"/>
    <mergeCell ref="D29:F29"/>
    <mergeCell ref="I29:J29"/>
    <mergeCell ref="D30:F30"/>
    <mergeCell ref="I30:J30"/>
    <mergeCell ref="D31:F31"/>
    <mergeCell ref="I31:J31"/>
    <mergeCell ref="J39:K39"/>
    <mergeCell ref="D32:F32"/>
    <mergeCell ref="I32:J32"/>
    <mergeCell ref="D33:F33"/>
    <mergeCell ref="I33:J33"/>
    <mergeCell ref="J35:K35"/>
    <mergeCell ref="J37:K37"/>
  </mergeCells>
  <pageMargins left="0.70866141732283472" right="0.31496062992125984" top="2.1653543307086616" bottom="0" header="0.31496062992125984" footer="0.31496062992125984"/>
  <pageSetup paperSize="9" scale="76" orientation="portrait" verticalDpi="3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80E912-0DD0-4802-85BF-1AA7A6F62535}">
  <sheetPr codeName="Sheet5">
    <pageSetUpPr fitToPage="1"/>
  </sheetPr>
  <dimension ref="B2:R42"/>
  <sheetViews>
    <sheetView workbookViewId="0">
      <selection activeCell="F32" sqref="F32"/>
    </sheetView>
  </sheetViews>
  <sheetFormatPr defaultRowHeight="14.5" x14ac:dyDescent="0.35"/>
  <cols>
    <col min="2" max="2" width="10.1796875" customWidth="1"/>
    <col min="3" max="3" width="23.54296875" customWidth="1"/>
    <col min="4" max="4" width="11.1796875" customWidth="1"/>
    <col min="5" max="5" width="19.453125" customWidth="1"/>
    <col min="6" max="6" width="13.26953125" style="340" customWidth="1"/>
  </cols>
  <sheetData>
    <row r="2" spans="2:18" ht="23.5" x14ac:dyDescent="0.55000000000000004">
      <c r="B2" s="132" t="s">
        <v>810</v>
      </c>
      <c r="C2" s="132"/>
    </row>
    <row r="3" spans="2:18" ht="20.149999999999999" customHeight="1" x14ac:dyDescent="0.35">
      <c r="B3" s="518" t="s">
        <v>806</v>
      </c>
      <c r="C3" s="528" t="s">
        <v>4</v>
      </c>
      <c r="D3" s="518" t="s">
        <v>807</v>
      </c>
      <c r="E3" s="520" t="s">
        <v>808</v>
      </c>
      <c r="F3" s="522" t="s">
        <v>6</v>
      </c>
      <c r="G3" s="524" t="s">
        <v>2378</v>
      </c>
      <c r="H3" s="524"/>
      <c r="I3" s="524"/>
      <c r="J3" s="524"/>
      <c r="K3" s="524"/>
      <c r="L3" s="524"/>
      <c r="M3" s="524"/>
      <c r="N3" s="524"/>
      <c r="O3" s="524"/>
      <c r="P3" s="524"/>
      <c r="Q3" s="524"/>
      <c r="R3" s="524"/>
    </row>
    <row r="4" spans="2:18" ht="20.149999999999999" customHeight="1" x14ac:dyDescent="0.35">
      <c r="B4" s="519"/>
      <c r="C4" s="529"/>
      <c r="D4" s="519"/>
      <c r="E4" s="521"/>
      <c r="F4" s="523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</row>
    <row r="5" spans="2:18" ht="25" customHeight="1" x14ac:dyDescent="0.35">
      <c r="B5" s="6" t="s">
        <v>1457</v>
      </c>
      <c r="C5" s="1" t="str">
        <f>VLOOKUP(B5,'Sales Master'!$B$3:$D$3255,2,0)</f>
        <v>Bobo ChaCha Cubes 摩摩喳喳</v>
      </c>
      <c r="D5" s="129" t="str">
        <f>VLOOKUP(B5,'Sales Master'!$B$3:$E$3255,4,0)</f>
        <v>DO!</v>
      </c>
      <c r="E5" s="1" t="str">
        <f>VLOOKUP(B5,'Sales Master'!$B$3:$F$3255,5,0)</f>
        <v>800 GM/BAG</v>
      </c>
      <c r="F5" s="152">
        <v>6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</row>
    <row r="6" spans="2:18" ht="25" customHeight="1" x14ac:dyDescent="0.35">
      <c r="B6" s="6" t="s">
        <v>1458</v>
      </c>
      <c r="C6" s="1" t="str">
        <f>VLOOKUP(B6,'Sales Master'!$B$3:$D$3255,2,0)</f>
        <v>Chendol浆咯</v>
      </c>
      <c r="D6" s="129" t="str">
        <f>VLOOKUP(B6,'Sales Master'!$B$3:$E$3255,4,0)</f>
        <v>DO!</v>
      </c>
      <c r="E6" s="1" t="str">
        <f>VLOOKUP(B6,'Sales Master'!$B$3:$F$3255,5,0)</f>
        <v>NW(2.2:0.8) 3 KG/BAG</v>
      </c>
      <c r="F6" s="152">
        <v>7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</row>
    <row r="7" spans="2:18" ht="25" customHeight="1" x14ac:dyDescent="0.35">
      <c r="B7" s="6" t="s">
        <v>1460</v>
      </c>
      <c r="C7" s="1" t="str">
        <f>VLOOKUP(B7,'Sales Master'!$B$3:$D$3255,2,0)</f>
        <v>Coconut Sugar Syrup 椰糖浆</v>
      </c>
      <c r="D7" s="129" t="str">
        <f>VLOOKUP(B7,'Sales Master'!$B$3:$E$3255,4,0)</f>
        <v>DO!</v>
      </c>
      <c r="E7" s="1" t="str">
        <f>VLOOKUP(B7,'Sales Master'!$B$3:$F$3255,5,0)</f>
        <v>4L/BTL</v>
      </c>
      <c r="F7" s="152">
        <v>13</v>
      </c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</row>
    <row r="8" spans="2:18" ht="25" customHeight="1" x14ac:dyDescent="0.35">
      <c r="B8" s="6" t="s">
        <v>1462</v>
      </c>
      <c r="C8" s="1" t="str">
        <f>VLOOKUP(B8,'Sales Master'!$B$3:$D$3255,2,0)</f>
        <v>Pong Thai Hai (Wet) 碰大海</v>
      </c>
      <c r="D8" s="129" t="str">
        <f>VLOOKUP(B8,'Sales Master'!$B$3:$E$3255,4,0)</f>
        <v>DO!</v>
      </c>
      <c r="E8" s="1" t="str">
        <f>VLOOKUP(B8,'Sales Master'!$B$3:$F$3255,5,0)</f>
        <v>1KG</v>
      </c>
      <c r="F8" s="152">
        <v>5</v>
      </c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</row>
    <row r="9" spans="2:18" ht="25" customHeight="1" x14ac:dyDescent="0.35">
      <c r="B9" s="6" t="s">
        <v>1499</v>
      </c>
      <c r="C9" s="1" t="str">
        <f>VLOOKUP(B9,'Sales Master'!$B$3:$D$3255,2,0)</f>
        <v>Almond Powder - 杏仁粉- Yellow- Jelly A</v>
      </c>
      <c r="D9" s="129" t="str">
        <f>VLOOKUP(B9,'Sales Master'!$B$3:$E$3255,4,0)</f>
        <v>500/4000</v>
      </c>
      <c r="E9" s="1" t="str">
        <f>VLOOKUP(B9,'Sales Master'!$B$3:$F$3255,5,0)</f>
        <v>30gm/pkt x 10PKT</v>
      </c>
      <c r="F9" s="152">
        <v>28</v>
      </c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</row>
    <row r="10" spans="2:18" ht="25" customHeight="1" x14ac:dyDescent="0.35">
      <c r="B10" s="131" t="s">
        <v>1502</v>
      </c>
      <c r="C10" s="1" t="str">
        <f>VLOOKUP(B10,'Sales Master'!$B$3:$D$3255,2,0)</f>
        <v>Agar Powder菜燕粉</v>
      </c>
      <c r="D10" s="129" t="str">
        <f>VLOOKUP(B10,'Sales Master'!$B$3:$E$3255,4,0)</f>
        <v>No 1</v>
      </c>
      <c r="E10" s="1" t="str">
        <f>VLOOKUP(B10,'Sales Master'!$B$3:$F$3255,5,0)</f>
        <v>43 gms x 10PKT/Bag</v>
      </c>
      <c r="F10" s="152">
        <v>30</v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</row>
    <row r="11" spans="2:18" ht="25" customHeight="1" x14ac:dyDescent="0.35">
      <c r="B11" s="6" t="s">
        <v>1564</v>
      </c>
      <c r="C11" s="1" t="str">
        <f>VLOOKUP(B11,'Sales Master'!$B$3:$D$3255,2,0)</f>
        <v>Atap Seeds in Syrup亚嗒子</v>
      </c>
      <c r="D11" s="129" t="str">
        <f>VLOOKUP(B11,'Sales Master'!$B$3:$E$3255,4,0)</f>
        <v>DO!</v>
      </c>
      <c r="E11" s="1" t="str">
        <f>VLOOKUP(B11,'Sales Master'!$B$3:$F$3255,5,0)</f>
        <v>NW (1.6:0.6) 2.2 kgs</v>
      </c>
      <c r="F11" s="152">
        <v>9.8000000000000007</v>
      </c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</row>
    <row r="12" spans="2:18" ht="25" customHeight="1" x14ac:dyDescent="0.35">
      <c r="B12" s="6" t="s">
        <v>1622</v>
      </c>
      <c r="C12" s="1" t="str">
        <f>VLOOKUP(B12,'Sales Master'!$B$3:$D$3255,2,0)</f>
        <v>Fungus 黄木耳</v>
      </c>
      <c r="D12" s="129" t="str">
        <f>VLOOKUP(B12,'Sales Master'!$B$3:$E$3255,4,0)</f>
        <v>黄</v>
      </c>
      <c r="E12" s="1" t="str">
        <f>VLOOKUP(B12,'Sales Master'!$B$3:$F$3255,5,0)</f>
        <v>1 kg</v>
      </c>
      <c r="F12" s="152">
        <v>16</v>
      </c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</row>
    <row r="13" spans="2:18" ht="25" customHeight="1" x14ac:dyDescent="0.35">
      <c r="B13" s="6" t="s">
        <v>1636</v>
      </c>
      <c r="C13" s="1" t="str">
        <f>VLOOKUP(B13,'Sales Master'!$B$3:$D$3255,2,0)</f>
        <v>Bean Curd Sheet 腐竹</v>
      </c>
      <c r="D13" s="129" t="str">
        <f>VLOOKUP(B13,'Sales Master'!$B$3:$E$3255,4,0)</f>
        <v>丰</v>
      </c>
      <c r="E13" s="1" t="str">
        <f>VLOOKUP(B13,'Sales Master'!$B$3:$F$3255,5,0)</f>
        <v xml:space="preserve">150g/pkt </v>
      </c>
      <c r="F13" s="152">
        <v>2.6</v>
      </c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</row>
    <row r="14" spans="2:18" ht="25" customHeight="1" x14ac:dyDescent="0.35">
      <c r="B14" s="6" t="s">
        <v>1639</v>
      </c>
      <c r="C14" s="1" t="str">
        <f>VLOOKUP(B14,'Sales Master'!$B$3:$D$3255,2,0)</f>
        <v>Bean Curd Sheet 腐竹</v>
      </c>
      <c r="D14" s="129" t="str">
        <f>VLOOKUP(B14,'Sales Master'!$B$3:$E$3255,4,0)</f>
        <v>生记</v>
      </c>
      <c r="E14" s="1" t="str">
        <f>VLOOKUP(B14,'Sales Master'!$B$3:$F$3255,5,0)</f>
        <v xml:space="preserve">150g/pkt </v>
      </c>
      <c r="F14" s="152">
        <v>3</v>
      </c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</row>
    <row r="15" spans="2:18" ht="25" customHeight="1" x14ac:dyDescent="0.35">
      <c r="B15" s="131" t="s">
        <v>1683</v>
      </c>
      <c r="C15" s="1" t="str">
        <f>VLOOKUP(B15,'Sales Master'!$B$3:$D$3255,2,0)</f>
        <v>Sea Coconut海底椰</v>
      </c>
      <c r="D15" s="129" t="str">
        <f>VLOOKUP(B15,'Sales Master'!$B$3:$E$3255,4,0)</f>
        <v>MiLi</v>
      </c>
      <c r="E15" s="1" t="str">
        <f>VLOOKUP(B15,'Sales Master'!$B$3:$F$3255,5,0)</f>
        <v>(565gm x 12)/箱</v>
      </c>
      <c r="F15" s="152">
        <v>30</v>
      </c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</row>
    <row r="16" spans="2:18" ht="25" customHeight="1" x14ac:dyDescent="0.35">
      <c r="B16" s="131" t="s">
        <v>1689</v>
      </c>
      <c r="C16" s="1" t="str">
        <f>VLOOKUP(B16,'Sales Master'!$B$3:$D$3255,2,0)</f>
        <v>Sea Coconut海底椰</v>
      </c>
      <c r="D16" s="129" t="str">
        <f>VLOOKUP(B16,'Sales Master'!$B$3:$E$3255,4,0)</f>
        <v>Chefs</v>
      </c>
      <c r="E16" s="1" t="str">
        <f>VLOOKUP(B16,'Sales Master'!$B$3:$F$3255,5,0)</f>
        <v>1 Can X A10</v>
      </c>
      <c r="F16" s="152">
        <v>18</v>
      </c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</row>
    <row r="17" spans="2:18" ht="25" customHeight="1" x14ac:dyDescent="0.35">
      <c r="B17" s="131" t="s">
        <v>1696</v>
      </c>
      <c r="C17" s="1" t="str">
        <f>VLOOKUP(B17,'Sales Master'!$B$3:$D$3255,2,0)</f>
        <v>Longan in Syrup龙眼</v>
      </c>
      <c r="D17" s="129" t="str">
        <f>VLOOKUP(B17,'Sales Master'!$B$3:$E$3255,4,0)</f>
        <v>YiFong</v>
      </c>
      <c r="E17" s="1" t="str">
        <f>VLOOKUP(B17,'Sales Master'!$B$3:$F$3255,5,0)</f>
        <v>(565gm x 12)/箱</v>
      </c>
      <c r="F17" s="152">
        <v>23</v>
      </c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</row>
    <row r="18" spans="2:18" ht="25" customHeight="1" x14ac:dyDescent="0.35">
      <c r="B18" s="131" t="s">
        <v>1705</v>
      </c>
      <c r="C18" s="1" t="str">
        <f>VLOOKUP(B18,'Sales Master'!$B$3:$D$3255,2,0)</f>
        <v>Fruit Cocktail杂果</v>
      </c>
      <c r="D18" s="129" t="str">
        <f>VLOOKUP(B18,'Sales Master'!$B$3:$E$3255,4,0)</f>
        <v>Statue</v>
      </c>
      <c r="E18" s="1" t="str">
        <f>VLOOKUP(B18,'Sales Master'!$B$3:$F$3255,5,0)</f>
        <v>(820gm x 12)/箱</v>
      </c>
      <c r="F18" s="152">
        <v>34</v>
      </c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</row>
    <row r="19" spans="2:18" ht="25" customHeight="1" x14ac:dyDescent="0.35">
      <c r="B19" s="131" t="s">
        <v>1712</v>
      </c>
      <c r="C19" s="1" t="str">
        <f>VLOOKUP(B19,'Sales Master'!$B$3:$D$3255,2,0)</f>
        <v>Canned Red Bean 罐头 红豆</v>
      </c>
      <c r="D19" s="129" t="str">
        <f>VLOOKUP(B19,'Sales Master'!$B$3:$E$3255,4,0)</f>
        <v>Joy</v>
      </c>
      <c r="E19" s="1" t="str">
        <f>VLOOKUP(B19,'Sales Master'!$B$3:$F$3255,5,0)</f>
        <v xml:space="preserve">3.3KG/Can </v>
      </c>
      <c r="F19" s="152">
        <v>10.5</v>
      </c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</row>
    <row r="20" spans="2:18" ht="25" customHeight="1" x14ac:dyDescent="0.35">
      <c r="B20" s="131" t="s">
        <v>1715</v>
      </c>
      <c r="C20" s="1" t="str">
        <f>VLOOKUP(B20,'Sales Master'!$B$3:$D$3255,2,0)</f>
        <v>Carnation Milk三花淡奶水</v>
      </c>
      <c r="D20" s="129" t="str">
        <f>VLOOKUP(B20,'Sales Master'!$B$3:$E$3255,4,0)</f>
        <v>Threeflower</v>
      </c>
      <c r="E20" s="1" t="str">
        <f>VLOOKUP(B20,'Sales Master'!$B$3:$F$3255,5,0)</f>
        <v>405 gm x48 can/Ctn</v>
      </c>
      <c r="F20" s="152">
        <v>56</v>
      </c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</row>
    <row r="21" spans="2:18" ht="25" customHeight="1" x14ac:dyDescent="0.35">
      <c r="B21" s="6" t="s">
        <v>1726</v>
      </c>
      <c r="C21" s="1" t="str">
        <f>VLOOKUP(B21,'Sales Master'!$B$3:$D$3255,2,0)</f>
        <v>GingKo Nut白果罐</v>
      </c>
      <c r="D21" s="129" t="str">
        <f>VLOOKUP(B21,'Sales Master'!$B$3:$E$3255,4,0)</f>
        <v>MiLi</v>
      </c>
      <c r="E21" s="1" t="str">
        <f>VLOOKUP(B21,'Sales Master'!$B$3:$F$3255,5,0)</f>
        <v>(397gm x 24)/箱</v>
      </c>
      <c r="F21" s="152">
        <v>30</v>
      </c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</row>
    <row r="22" spans="2:18" ht="25" customHeight="1" x14ac:dyDescent="0.35">
      <c r="B22" s="131" t="s">
        <v>1709</v>
      </c>
      <c r="C22" s="1" t="str">
        <f>VLOOKUP(B22,'Sales Master'!$B$3:$D$3255,2,0)</f>
        <v>Whole Corn玉米粒</v>
      </c>
      <c r="D22" s="129" t="s">
        <v>2281</v>
      </c>
      <c r="E22" s="1" t="str">
        <f>VLOOKUP(B22,'Sales Master'!$B$3:$F$3255,5,0)</f>
        <v>(410gm x 24)/箱</v>
      </c>
      <c r="F22" s="152">
        <v>24</v>
      </c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</row>
    <row r="23" spans="2:18" ht="25" customHeight="1" x14ac:dyDescent="0.35">
      <c r="B23" s="131" t="s">
        <v>1736</v>
      </c>
      <c r="C23" s="1" t="str">
        <f>VLOOKUP(B23,'Sales Master'!$B$3:$D$3255,2,0)</f>
        <v>Coconut Milk 椰浆</v>
      </c>
      <c r="D23" s="129" t="str">
        <f>VLOOKUP(B23,'Sales Master'!$B$3:$E$3255,4,0)</f>
        <v>Kara UHT</v>
      </c>
      <c r="E23" s="1" t="str">
        <f>VLOOKUP(B23,'Sales Master'!$B$3:$F$3255,5,0)</f>
        <v>(1L x 12bag)/箱</v>
      </c>
      <c r="F23" s="152">
        <v>41</v>
      </c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</row>
    <row r="24" spans="2:18" ht="25" customHeight="1" x14ac:dyDescent="0.35">
      <c r="B24" s="131" t="s">
        <v>1741</v>
      </c>
      <c r="C24" s="1" t="str">
        <f>VLOOKUP(B24,'Sales Master'!$B$3:$D$3255,2,0)</f>
        <v>Coconut Milk 椰浆</v>
      </c>
      <c r="D24" s="129" t="str">
        <f>VLOOKUP(B24,'Sales Master'!$B$3:$E$3255,4,0)</f>
        <v>Sin-ind</v>
      </c>
      <c r="E24" s="1" t="str">
        <f>VLOOKUP(B24,'Sales Master'!$B$3:$F$3255,5,0)</f>
        <v>(1L x 12bag)/箱</v>
      </c>
      <c r="F24" s="152">
        <v>38</v>
      </c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</row>
    <row r="25" spans="2:18" ht="25" customHeight="1" x14ac:dyDescent="0.35">
      <c r="B25" s="131" t="s">
        <v>2258</v>
      </c>
      <c r="C25" s="1" t="str">
        <f>VLOOKUP(B25,'Sales Master'!$B$3:$D$3255,2,0)</f>
        <v>Brown Sugar 黑糖</v>
      </c>
      <c r="D25" s="129" t="str">
        <f>VLOOKUP(B25,'Sales Master'!$B$3:$E$3255,4,0)</f>
        <v>Thailand</v>
      </c>
      <c r="E25" s="1" t="str">
        <f>VLOOKUP(B25,'Sales Master'!$B$3:$F$3255,5,0)</f>
        <v>6 kgs</v>
      </c>
      <c r="F25" s="152">
        <v>13.5</v>
      </c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</row>
    <row r="26" spans="2:18" ht="25" customHeight="1" x14ac:dyDescent="0.35">
      <c r="B26" s="131" t="s">
        <v>1771</v>
      </c>
      <c r="C26" s="1" t="str">
        <f>VLOOKUP(B26,'Sales Master'!$B$3:$D$3255,2,0)</f>
        <v>Fine Sugar 白糖</v>
      </c>
      <c r="D26" s="129" t="str">
        <f>VLOOKUP(B26,'Sales Master'!$B$3:$E$3255,4,0)</f>
        <v>MITRPHOL</v>
      </c>
      <c r="E26" s="1" t="str">
        <f>VLOOKUP(B26,'Sales Master'!$B$3:$F$3255,5,0)</f>
        <v>25 KGS</v>
      </c>
      <c r="F26" s="152">
        <v>30</v>
      </c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</row>
    <row r="27" spans="2:18" ht="25" customHeight="1" x14ac:dyDescent="0.35">
      <c r="B27" s="131" t="s">
        <v>1772</v>
      </c>
      <c r="C27" s="1" t="str">
        <f>VLOOKUP(B27,'Sales Master'!$B$3:$D$3255,2,0)</f>
        <v>Fine Sugar 白糖</v>
      </c>
      <c r="D27" s="129" t="str">
        <f>VLOOKUP(B27,'Sales Master'!$B$3:$E$3255,4,0)</f>
        <v>SUN</v>
      </c>
      <c r="E27" s="1" t="str">
        <f>VLOOKUP(B27,'Sales Master'!$B$3:$F$3255,5,0)</f>
        <v>25 KGS</v>
      </c>
      <c r="F27" s="152">
        <v>29</v>
      </c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</row>
    <row r="28" spans="2:18" ht="25" customHeight="1" x14ac:dyDescent="0.35">
      <c r="B28" s="131" t="s">
        <v>1789</v>
      </c>
      <c r="C28" s="1" t="str">
        <f>VLOOKUP(B28,'Sales Master'!$B$3:$D$3255,2,0)</f>
        <v>Sweet Potato 番薯</v>
      </c>
      <c r="D28" s="129" t="str">
        <f>VLOOKUP(B28,'Sales Master'!$B$3:$E$3255,4,0)</f>
        <v>Malaysia</v>
      </c>
      <c r="E28" s="1" t="str">
        <f>VLOOKUP(B28,'Sales Master'!$B$3:$F$3255,5,0)</f>
        <v>1 KG</v>
      </c>
      <c r="F28" s="152">
        <v>2.5</v>
      </c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</row>
    <row r="29" spans="2:18" ht="25" customHeight="1" x14ac:dyDescent="0.35">
      <c r="B29" s="131" t="s">
        <v>1791</v>
      </c>
      <c r="C29" s="1" t="str">
        <f>VLOOKUP(B29,'Sales Master'!$B$3:$D$3255,2,0)</f>
        <v>Yam 芋头</v>
      </c>
      <c r="D29" s="129" t="str">
        <f>VLOOKUP(B29,'Sales Master'!$B$3:$E$3255,4,0)</f>
        <v>Thailand</v>
      </c>
      <c r="E29" s="1" t="str">
        <f>VLOOKUP(B29,'Sales Master'!$B$3:$F$3255,5,0)</f>
        <v>1 KG</v>
      </c>
      <c r="F29" s="152">
        <v>4.8</v>
      </c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</row>
    <row r="30" spans="2:18" ht="25" customHeight="1" x14ac:dyDescent="0.35">
      <c r="B30" s="131" t="s">
        <v>1794</v>
      </c>
      <c r="C30" s="1" t="str">
        <f>VLOOKUP(B30,'Sales Master'!$B$3:$D$3255,2,0)</f>
        <v>Pandan Leaf 班兰叶</v>
      </c>
      <c r="D30" s="129" t="str">
        <f>VLOOKUP(B30,'Sales Master'!$B$3:$E$3255,4,0)</f>
        <v>-</v>
      </c>
      <c r="E30" s="1" t="str">
        <f>VLOOKUP(B30,'Sales Master'!$B$3:$F$3255,5,0)</f>
        <v>1 kg</v>
      </c>
      <c r="F30" s="152">
        <v>1.8</v>
      </c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</row>
    <row r="31" spans="2:18" ht="25" customHeight="1" x14ac:dyDescent="0.35">
      <c r="B31" s="131" t="s">
        <v>1805</v>
      </c>
      <c r="C31" s="1" t="str">
        <f>VLOOKUP(B31,'Sales Master'!$B$3:$D$3255,2,0)</f>
        <v>Food Coloring - Liquid)颜色-水</v>
      </c>
      <c r="D31" s="129" t="str">
        <f>VLOOKUP(B31,'Sales Master'!$B$3:$E$3255,4,0)</f>
        <v>Red/红</v>
      </c>
      <c r="E31" s="1" t="str">
        <f>VLOOKUP(B31,'Sales Master'!$B$3:$F$3255,5,0)</f>
        <v>500 ML/BTL</v>
      </c>
      <c r="F31" s="152">
        <v>2.8</v>
      </c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</row>
    <row r="32" spans="2:18" ht="25" customHeight="1" x14ac:dyDescent="0.35">
      <c r="B32" s="131"/>
      <c r="C32" s="1"/>
      <c r="D32" s="129"/>
      <c r="E32" s="1"/>
      <c r="F32" s="152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</row>
    <row r="33" spans="2:18" ht="25" customHeight="1" x14ac:dyDescent="0.35">
      <c r="B33" s="131"/>
      <c r="C33" s="1"/>
      <c r="D33" s="129"/>
      <c r="E33" s="1"/>
      <c r="F33" s="152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</row>
    <row r="34" spans="2:18" ht="25" customHeight="1" x14ac:dyDescent="0.35">
      <c r="B34" s="525" t="s">
        <v>809</v>
      </c>
      <c r="C34" s="526"/>
      <c r="D34" s="526"/>
      <c r="E34" s="527"/>
      <c r="F34" s="425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</row>
    <row r="35" spans="2:18" ht="25" customHeight="1" x14ac:dyDescent="0.35"/>
    <row r="36" spans="2:18" ht="25" customHeight="1" x14ac:dyDescent="0.35"/>
    <row r="37" spans="2:18" ht="25" customHeight="1" x14ac:dyDescent="0.35"/>
    <row r="38" spans="2:18" ht="25" customHeight="1" x14ac:dyDescent="0.35"/>
    <row r="39" spans="2:18" ht="25" customHeight="1" x14ac:dyDescent="0.35"/>
    <row r="40" spans="2:18" ht="25" customHeight="1" x14ac:dyDescent="0.35"/>
    <row r="41" spans="2:18" ht="25" customHeight="1" x14ac:dyDescent="0.35"/>
    <row r="42" spans="2:18" ht="25" customHeight="1" x14ac:dyDescent="0.35"/>
  </sheetData>
  <sortState xmlns:xlrd2="http://schemas.microsoft.com/office/spreadsheetml/2017/richdata2" ref="B5:F30">
    <sortCondition ref="B5:B30"/>
  </sortState>
  <mergeCells count="7">
    <mergeCell ref="G3:R3"/>
    <mergeCell ref="B34:E34"/>
    <mergeCell ref="B3:B4"/>
    <mergeCell ref="C3:C4"/>
    <mergeCell ref="D3:D4"/>
    <mergeCell ref="E3:E4"/>
    <mergeCell ref="F3:F4"/>
  </mergeCells>
  <pageMargins left="0.51181102362204722" right="0.51181102362204722" top="0.51181102362204722" bottom="0.23622047244094491" header="0.31496062992125984" footer="0.31496062992125984"/>
  <pageSetup paperSize="9" scale="67" orientation="landscape" horizontalDpi="300" verticalDpi="300"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2A499B-7450-4BD0-84E0-C151A49F29D6}">
  <sheetPr codeName="Sheet167">
    <tabColor rgb="FFFFFF00"/>
    <pageSetUpPr fitToPage="1"/>
  </sheetPr>
  <dimension ref="B5:T47"/>
  <sheetViews>
    <sheetView topLeftCell="A5" workbookViewId="0">
      <selection activeCell="M8" sqref="M8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6.7265625" style="24" customWidth="1"/>
    <col min="7" max="7" width="8.54296875" style="24" customWidth="1"/>
    <col min="8" max="8" width="12.54296875" style="24" customWidth="1"/>
    <col min="9" max="9" width="2" style="24" customWidth="1"/>
    <col min="10" max="10" width="15.54296875" style="24" customWidth="1"/>
    <col min="11" max="12" width="12.54296875" style="24" customWidth="1"/>
    <col min="13" max="16384" width="12.54296875" style="24"/>
  </cols>
  <sheetData>
    <row r="5" spans="2:20" ht="19" thickBot="1" x14ac:dyDescent="0.5">
      <c r="B5" s="23"/>
    </row>
    <row r="6" spans="2:20" ht="18" customHeight="1" thickTop="1" thickBot="1" x14ac:dyDescent="0.5">
      <c r="B6" s="25" t="s">
        <v>9</v>
      </c>
      <c r="C6" s="25"/>
      <c r="D6" s="26"/>
      <c r="E6" s="26"/>
      <c r="F6" s="27" t="s">
        <v>10</v>
      </c>
      <c r="G6" s="28"/>
      <c r="H6" s="28" t="s">
        <v>154</v>
      </c>
      <c r="J6" s="29" t="s">
        <v>29</v>
      </c>
      <c r="K6" s="452">
        <v>202002500</v>
      </c>
      <c r="L6" s="453"/>
    </row>
    <row r="7" spans="2:20" ht="20.149999999999999" customHeight="1" x14ac:dyDescent="0.45">
      <c r="B7" s="454" t="s">
        <v>132</v>
      </c>
      <c r="C7" s="455"/>
      <c r="D7" s="456"/>
      <c r="E7" s="30"/>
      <c r="F7" s="457" t="str">
        <f>VLOOKUP(H6,'Delivery Location'!A$4:N$416,2,0)</f>
        <v>Toast Junction                                         United Square Stall #07.                                       101 Thomson Road United Square. Singapore 307591</v>
      </c>
      <c r="G7" s="458"/>
      <c r="H7" s="459"/>
      <c r="J7" s="31" t="s">
        <v>11</v>
      </c>
      <c r="K7" s="551" t="s">
        <v>981</v>
      </c>
      <c r="L7" s="472"/>
    </row>
    <row r="8" spans="2:20" ht="20.149999999999999" customHeight="1" x14ac:dyDescent="0.45">
      <c r="B8" s="468" t="s">
        <v>187</v>
      </c>
      <c r="C8" s="469"/>
      <c r="D8" s="470"/>
      <c r="E8" s="30"/>
      <c r="F8" s="460"/>
      <c r="G8" s="461"/>
      <c r="H8" s="462"/>
      <c r="J8" s="31" t="s">
        <v>171</v>
      </c>
      <c r="K8" s="471" t="s">
        <v>982</v>
      </c>
      <c r="L8" s="472"/>
    </row>
    <row r="9" spans="2:20" ht="20.149999999999999" customHeight="1" x14ac:dyDescent="0.45">
      <c r="B9" s="468" t="s">
        <v>188</v>
      </c>
      <c r="C9" s="469"/>
      <c r="D9" s="470"/>
      <c r="E9" s="30"/>
      <c r="F9" s="460"/>
      <c r="G9" s="461"/>
      <c r="H9" s="462"/>
      <c r="J9" s="31" t="s">
        <v>12</v>
      </c>
      <c r="K9" s="471" t="s">
        <v>14</v>
      </c>
      <c r="L9" s="472"/>
    </row>
    <row r="10" spans="2:20" ht="20.149999999999999" customHeight="1" x14ac:dyDescent="0.45">
      <c r="B10" s="468" t="s">
        <v>8</v>
      </c>
      <c r="C10" s="469"/>
      <c r="D10" s="470"/>
      <c r="E10" s="30"/>
      <c r="F10" s="460"/>
      <c r="G10" s="461"/>
      <c r="H10" s="462"/>
      <c r="J10" s="31" t="s">
        <v>30</v>
      </c>
      <c r="K10" s="471" t="s">
        <v>16</v>
      </c>
      <c r="L10" s="472"/>
    </row>
    <row r="11" spans="2:20" ht="18" customHeight="1" thickBot="1" x14ac:dyDescent="0.5">
      <c r="B11" s="552" t="s">
        <v>570</v>
      </c>
      <c r="C11" s="474"/>
      <c r="D11" s="475"/>
      <c r="E11" s="26"/>
      <c r="F11" s="463"/>
      <c r="G11" s="464"/>
      <c r="H11" s="465"/>
      <c r="J11" s="32" t="s">
        <v>13</v>
      </c>
      <c r="K11" s="476"/>
      <c r="L11" s="477"/>
    </row>
    <row r="12" spans="2:20" ht="19" thickBot="1" x14ac:dyDescent="0.5">
      <c r="J12" s="22"/>
    </row>
    <row r="13" spans="2:20" ht="30" customHeight="1" thickBot="1" x14ac:dyDescent="0.5">
      <c r="B13" s="8" t="s">
        <v>2</v>
      </c>
      <c r="C13" s="9" t="s">
        <v>3</v>
      </c>
      <c r="D13" s="478" t="s">
        <v>4</v>
      </c>
      <c r="E13" s="483"/>
      <c r="F13" s="479"/>
      <c r="G13" s="19" t="s">
        <v>620</v>
      </c>
      <c r="H13" s="9" t="s">
        <v>31</v>
      </c>
      <c r="I13" s="478" t="s">
        <v>60</v>
      </c>
      <c r="J13" s="479"/>
      <c r="K13" s="9" t="s">
        <v>6</v>
      </c>
      <c r="L13" s="10" t="s">
        <v>7</v>
      </c>
      <c r="M13" s="33"/>
      <c r="N13" s="33"/>
      <c r="O13" s="33"/>
    </row>
    <row r="14" spans="2:20" ht="20.149999999999999" customHeight="1" x14ac:dyDescent="0.45">
      <c r="B14" s="70" t="s">
        <v>63</v>
      </c>
      <c r="C14" s="22" t="str">
        <f>VLOOKUP(B14,'Sales Master'!A$3:B$581,2,0)</f>
        <v>P3016A</v>
      </c>
      <c r="D14" s="508" t="str">
        <f>VLOOKUP(C14,'Sales Master'!B$3:D$499,2,)</f>
        <v>Pearl Barley 薏米</v>
      </c>
      <c r="E14" s="508"/>
      <c r="F14" s="508"/>
      <c r="G14" s="22">
        <v>2</v>
      </c>
      <c r="H14" s="68" t="e">
        <f>VLOOKUP(C14,'[2]Sales Master'!B$3:F$736,5,0)</f>
        <v>#N/A</v>
      </c>
      <c r="I14" s="481" t="e">
        <f>VLOOKUP(C14,'[2]Sales Master'!B$3:E$736,4,0)</f>
        <v>#N/A</v>
      </c>
      <c r="J14" s="481"/>
      <c r="K14" s="35">
        <f>VLOOKUP(C14,'Sales Master'!B$3:I$581,8,0)</f>
        <v>8.5</v>
      </c>
      <c r="L14" s="77">
        <f>K14*G14</f>
        <v>17</v>
      </c>
      <c r="M14" s="78"/>
      <c r="N14" s="24" t="s">
        <v>372</v>
      </c>
      <c r="O14" s="24" t="s">
        <v>273</v>
      </c>
      <c r="R14" s="24">
        <v>2</v>
      </c>
      <c r="S14" s="24" t="s">
        <v>61</v>
      </c>
      <c r="T14" s="24" t="s">
        <v>656</v>
      </c>
    </row>
    <row r="15" spans="2:20" ht="20.149999999999999" customHeight="1" x14ac:dyDescent="0.45">
      <c r="B15" s="70"/>
      <c r="C15" s="22"/>
      <c r="D15" s="508"/>
      <c r="E15" s="508"/>
      <c r="F15" s="508"/>
      <c r="G15" s="22"/>
      <c r="H15" s="68"/>
      <c r="I15" s="481"/>
      <c r="J15" s="481"/>
      <c r="K15" s="35"/>
      <c r="L15" s="77"/>
      <c r="M15" s="78"/>
      <c r="N15" s="24" t="s">
        <v>371</v>
      </c>
      <c r="O15" s="24" t="s">
        <v>272</v>
      </c>
      <c r="R15" s="24">
        <v>1</v>
      </c>
      <c r="S15" s="24" t="s">
        <v>61</v>
      </c>
      <c r="T15" s="24" t="s">
        <v>656</v>
      </c>
    </row>
    <row r="16" spans="2:20" ht="20.149999999999999" customHeight="1" x14ac:dyDescent="0.45">
      <c r="B16" s="34"/>
      <c r="C16" s="22"/>
      <c r="D16" s="508"/>
      <c r="E16" s="508"/>
      <c r="F16" s="508"/>
      <c r="G16" s="22"/>
      <c r="H16" s="68"/>
      <c r="I16" s="481"/>
      <c r="J16" s="481"/>
      <c r="K16" s="35"/>
      <c r="L16" s="77"/>
      <c r="M16" s="78"/>
      <c r="N16" s="24" t="s">
        <v>629</v>
      </c>
      <c r="O16" s="24" t="s">
        <v>295</v>
      </c>
      <c r="R16" s="24">
        <v>2</v>
      </c>
      <c r="S16" s="24" t="s">
        <v>61</v>
      </c>
      <c r="T16" s="24" t="s">
        <v>529</v>
      </c>
    </row>
    <row r="17" spans="2:20" ht="20.149999999999999" customHeight="1" x14ac:dyDescent="0.45">
      <c r="B17" s="34"/>
      <c r="C17" s="22"/>
      <c r="G17" s="22"/>
      <c r="H17" s="68"/>
      <c r="I17" s="481"/>
      <c r="J17" s="481"/>
      <c r="K17" s="35"/>
      <c r="L17" s="77"/>
      <c r="M17" s="78"/>
      <c r="N17" s="24" t="s">
        <v>405</v>
      </c>
      <c r="O17" s="24" t="s">
        <v>304</v>
      </c>
      <c r="R17" s="24">
        <v>2</v>
      </c>
      <c r="S17" s="24" t="s">
        <v>36</v>
      </c>
      <c r="T17" s="24" t="s">
        <v>54</v>
      </c>
    </row>
    <row r="18" spans="2:20" ht="20.149999999999999" customHeight="1" x14ac:dyDescent="0.45">
      <c r="B18" s="34"/>
      <c r="C18" s="22"/>
      <c r="G18" s="22"/>
      <c r="H18" s="68"/>
      <c r="I18" s="481"/>
      <c r="J18" s="481"/>
      <c r="K18" s="35"/>
      <c r="L18" s="77"/>
      <c r="M18" s="78"/>
      <c r="N18" s="24" t="s">
        <v>407</v>
      </c>
      <c r="O18" s="24" t="s">
        <v>306</v>
      </c>
      <c r="R18" s="24">
        <v>2</v>
      </c>
      <c r="S18" s="24" t="s">
        <v>36</v>
      </c>
      <c r="T18" s="24" t="s">
        <v>54</v>
      </c>
    </row>
    <row r="19" spans="2:20" ht="20.149999999999999" customHeight="1" x14ac:dyDescent="0.45">
      <c r="B19" s="34"/>
      <c r="C19" s="22"/>
      <c r="D19" s="480"/>
      <c r="E19" s="480"/>
      <c r="F19" s="480"/>
      <c r="G19" s="22"/>
      <c r="H19" s="68"/>
      <c r="I19" s="481"/>
      <c r="J19" s="481"/>
      <c r="K19" s="35"/>
      <c r="L19" s="77"/>
      <c r="M19" s="78"/>
      <c r="N19" s="24" t="s">
        <v>428</v>
      </c>
      <c r="O19" s="24" t="s">
        <v>280</v>
      </c>
      <c r="R19" s="24">
        <v>2</v>
      </c>
      <c r="S19" s="24" t="s">
        <v>36</v>
      </c>
      <c r="T19" s="24" t="s">
        <v>71</v>
      </c>
    </row>
    <row r="20" spans="2:20" ht="20.149999999999999" customHeight="1" x14ac:dyDescent="0.45">
      <c r="B20" s="34"/>
      <c r="C20" s="22"/>
      <c r="G20" s="22"/>
      <c r="H20" s="68"/>
      <c r="I20" s="481"/>
      <c r="J20" s="481"/>
      <c r="K20" s="35"/>
      <c r="L20" s="77"/>
      <c r="M20" s="78"/>
      <c r="N20" s="24" t="s">
        <v>429</v>
      </c>
      <c r="O20" s="24" t="s">
        <v>316</v>
      </c>
      <c r="R20" s="24">
        <v>1</v>
      </c>
      <c r="S20" s="24" t="s">
        <v>610</v>
      </c>
      <c r="T20" s="24" t="s">
        <v>530</v>
      </c>
    </row>
    <row r="21" spans="2:20" ht="20.149999999999999" customHeight="1" x14ac:dyDescent="0.45">
      <c r="B21" s="34"/>
      <c r="C21" s="22"/>
      <c r="G21" s="22"/>
      <c r="H21" s="68"/>
      <c r="I21" s="481"/>
      <c r="J21" s="481"/>
      <c r="K21" s="35"/>
      <c r="L21" s="77"/>
      <c r="M21" s="78"/>
      <c r="N21" s="24" t="s">
        <v>517</v>
      </c>
      <c r="O21" s="24" t="s">
        <v>279</v>
      </c>
      <c r="R21" s="24">
        <v>10</v>
      </c>
      <c r="S21" s="24" t="s">
        <v>36</v>
      </c>
      <c r="T21" s="24" t="s">
        <v>34</v>
      </c>
    </row>
    <row r="22" spans="2:20" ht="20.149999999999999" customHeight="1" x14ac:dyDescent="0.45">
      <c r="B22" s="34"/>
      <c r="C22" s="22"/>
      <c r="D22" s="508"/>
      <c r="E22" s="508"/>
      <c r="F22" s="508"/>
      <c r="G22" s="22"/>
      <c r="H22" s="68"/>
      <c r="I22" s="450"/>
      <c r="J22" s="450"/>
      <c r="K22" s="35"/>
      <c r="L22" s="77"/>
      <c r="M22" s="78"/>
      <c r="N22" s="24" t="s">
        <v>518</v>
      </c>
      <c r="O22" s="24" t="s">
        <v>323</v>
      </c>
      <c r="R22" s="24">
        <v>20</v>
      </c>
      <c r="S22" s="24" t="s">
        <v>36</v>
      </c>
      <c r="T22" s="24" t="s">
        <v>75</v>
      </c>
    </row>
    <row r="23" spans="2:20" ht="20.149999999999999" customHeight="1" x14ac:dyDescent="0.45">
      <c r="B23" s="34"/>
      <c r="C23" s="22"/>
      <c r="D23" s="508"/>
      <c r="E23" s="508"/>
      <c r="F23" s="508"/>
      <c r="G23" s="22"/>
      <c r="H23" s="68"/>
      <c r="I23" s="450"/>
      <c r="J23" s="450"/>
      <c r="K23" s="35"/>
      <c r="L23" s="77"/>
      <c r="M23" s="78"/>
      <c r="N23" s="24" t="s">
        <v>520</v>
      </c>
      <c r="O23" s="24" t="s">
        <v>326</v>
      </c>
      <c r="R23" s="24">
        <v>5</v>
      </c>
      <c r="S23" s="24" t="s">
        <v>36</v>
      </c>
      <c r="T23" s="24" t="s">
        <v>34</v>
      </c>
    </row>
    <row r="24" spans="2:20" ht="20.149999999999999" customHeight="1" x14ac:dyDescent="0.45">
      <c r="B24" s="34"/>
      <c r="C24" s="22"/>
      <c r="D24" s="508"/>
      <c r="E24" s="508"/>
      <c r="F24" s="508"/>
      <c r="G24" s="22"/>
      <c r="H24" s="68"/>
      <c r="I24" s="450"/>
      <c r="J24" s="450"/>
      <c r="K24" s="35"/>
      <c r="L24" s="77"/>
      <c r="M24" s="78"/>
      <c r="N24" s="24" t="s">
        <v>425</v>
      </c>
      <c r="O24" s="24" t="s">
        <v>321</v>
      </c>
      <c r="R24" s="24">
        <v>1</v>
      </c>
      <c r="S24" s="24" t="s">
        <v>257</v>
      </c>
      <c r="T24" s="24" t="s">
        <v>416</v>
      </c>
    </row>
    <row r="25" spans="2:20" ht="20.149999999999999" customHeight="1" x14ac:dyDescent="0.45">
      <c r="B25" s="34"/>
      <c r="C25" s="22"/>
      <c r="D25" s="508"/>
      <c r="E25" s="508"/>
      <c r="F25" s="508"/>
      <c r="G25" s="22"/>
      <c r="H25" s="68"/>
      <c r="I25" s="450"/>
      <c r="J25" s="450"/>
      <c r="K25" s="35"/>
      <c r="L25" s="77"/>
      <c r="M25" s="78"/>
      <c r="N25" s="24" t="s">
        <v>453</v>
      </c>
      <c r="O25" s="24" t="s">
        <v>328</v>
      </c>
      <c r="R25" s="24">
        <v>1</v>
      </c>
      <c r="S25" s="24" t="s">
        <v>59</v>
      </c>
      <c r="T25" s="24" t="s">
        <v>485</v>
      </c>
    </row>
    <row r="26" spans="2:20" ht="20.149999999999999" customHeight="1" x14ac:dyDescent="0.45">
      <c r="B26" s="34"/>
      <c r="C26" s="22"/>
      <c r="D26" s="508"/>
      <c r="E26" s="508"/>
      <c r="F26" s="508"/>
      <c r="G26" s="22"/>
      <c r="H26" s="68"/>
      <c r="I26" s="450"/>
      <c r="J26" s="450"/>
      <c r="K26" s="35"/>
      <c r="L26" s="77"/>
      <c r="M26" s="78"/>
    </row>
    <row r="27" spans="2:20" ht="20.149999999999999" customHeight="1" x14ac:dyDescent="0.45">
      <c r="B27" s="34"/>
      <c r="C27" s="22"/>
      <c r="D27" s="508"/>
      <c r="E27" s="508"/>
      <c r="F27" s="508"/>
      <c r="G27" s="22"/>
      <c r="H27" s="68"/>
      <c r="I27" s="450"/>
      <c r="J27" s="450"/>
      <c r="K27" s="35"/>
      <c r="L27" s="77"/>
      <c r="M27" s="78"/>
    </row>
    <row r="28" spans="2:20" ht="20.149999999999999" customHeight="1" x14ac:dyDescent="0.45">
      <c r="B28" s="34"/>
      <c r="C28" s="22"/>
      <c r="D28" s="508"/>
      <c r="E28" s="508"/>
      <c r="F28" s="508"/>
      <c r="G28" s="22"/>
      <c r="H28" s="68"/>
      <c r="I28" s="450"/>
      <c r="J28" s="450"/>
      <c r="K28" s="35"/>
      <c r="L28" s="77"/>
      <c r="M28" s="78"/>
    </row>
    <row r="29" spans="2:20" ht="20.149999999999999" customHeight="1" x14ac:dyDescent="0.45">
      <c r="B29" s="34"/>
      <c r="C29" s="22"/>
      <c r="D29" s="508"/>
      <c r="E29" s="508"/>
      <c r="F29" s="508"/>
      <c r="G29" s="22"/>
      <c r="H29" s="68"/>
      <c r="I29" s="450"/>
      <c r="J29" s="450"/>
      <c r="K29" s="35"/>
      <c r="L29" s="77"/>
      <c r="M29" s="78"/>
    </row>
    <row r="30" spans="2:20" ht="20.149999999999999" customHeight="1" x14ac:dyDescent="0.45">
      <c r="B30" s="34"/>
      <c r="C30" s="22"/>
      <c r="D30" s="508"/>
      <c r="E30" s="508"/>
      <c r="F30" s="508"/>
      <c r="G30" s="22"/>
      <c r="H30" s="68"/>
      <c r="I30" s="450"/>
      <c r="J30" s="450"/>
      <c r="K30" s="35"/>
      <c r="L30" s="77"/>
      <c r="M30" s="78"/>
    </row>
    <row r="31" spans="2:20" ht="20.149999999999999" customHeight="1" x14ac:dyDescent="0.45">
      <c r="B31" s="34"/>
      <c r="C31" s="22"/>
      <c r="D31" s="508"/>
      <c r="E31" s="508"/>
      <c r="F31" s="508"/>
      <c r="G31" s="22"/>
      <c r="H31" s="68"/>
      <c r="I31" s="450"/>
      <c r="J31" s="450"/>
      <c r="K31" s="35"/>
      <c r="L31" s="77"/>
      <c r="M31" s="78"/>
    </row>
    <row r="32" spans="2:20" ht="20.149999999999999" customHeight="1" x14ac:dyDescent="0.45">
      <c r="B32" s="34"/>
      <c r="C32" s="22"/>
      <c r="D32" s="508"/>
      <c r="E32" s="508"/>
      <c r="F32" s="508"/>
      <c r="G32" s="22"/>
      <c r="H32" s="68"/>
      <c r="I32" s="450"/>
      <c r="J32" s="450"/>
      <c r="K32" s="35"/>
      <c r="L32" s="36"/>
    </row>
    <row r="33" spans="2:13" ht="20.149999999999999" customHeight="1" thickBot="1" x14ac:dyDescent="0.5">
      <c r="B33" s="37"/>
      <c r="C33" s="38"/>
      <c r="D33" s="509"/>
      <c r="E33" s="509"/>
      <c r="F33" s="509"/>
      <c r="G33" s="38"/>
      <c r="H33" s="69"/>
      <c r="I33" s="451"/>
      <c r="J33" s="451"/>
      <c r="K33" s="39"/>
      <c r="L33" s="40"/>
    </row>
    <row r="34" spans="2:13" ht="20.149999999999999" customHeight="1" thickBot="1" x14ac:dyDescent="0.5">
      <c r="B34" s="41"/>
      <c r="L34" s="42"/>
    </row>
    <row r="35" spans="2:13" ht="20.149999999999999" customHeight="1" x14ac:dyDescent="0.45">
      <c r="B35" s="11" t="s">
        <v>18</v>
      </c>
      <c r="C35" s="7"/>
      <c r="D35" s="7"/>
      <c r="E35" s="7"/>
      <c r="F35" s="7"/>
      <c r="G35" s="7"/>
      <c r="H35" s="7"/>
      <c r="I35" s="7"/>
      <c r="J35" s="510" t="s">
        <v>15</v>
      </c>
      <c r="K35" s="511"/>
      <c r="L35" s="43">
        <f>SUM(L13:L32)</f>
        <v>17</v>
      </c>
      <c r="M35" s="76">
        <f>166+26</f>
        <v>192</v>
      </c>
    </row>
    <row r="36" spans="2:13" ht="20.149999999999999" customHeight="1" x14ac:dyDescent="0.45">
      <c r="B36" s="11" t="s">
        <v>19</v>
      </c>
      <c r="C36" s="7"/>
      <c r="D36" s="7"/>
      <c r="E36" s="7"/>
      <c r="F36" s="7"/>
      <c r="G36" s="7"/>
      <c r="H36" s="7"/>
      <c r="I36" s="7"/>
      <c r="J36" s="44" t="s">
        <v>22</v>
      </c>
      <c r="K36" s="45"/>
      <c r="L36" s="46">
        <f>L35*K36</f>
        <v>0</v>
      </c>
    </row>
    <row r="37" spans="2:13" ht="20.149999999999999" customHeight="1" x14ac:dyDescent="0.45">
      <c r="B37" s="11" t="s">
        <v>20</v>
      </c>
      <c r="C37" s="7"/>
      <c r="D37" s="7"/>
      <c r="E37" s="7"/>
      <c r="F37" s="7"/>
      <c r="G37" s="7"/>
      <c r="H37" s="7"/>
      <c r="I37" s="7"/>
      <c r="J37" s="486" t="s">
        <v>21</v>
      </c>
      <c r="K37" s="487"/>
      <c r="L37" s="46">
        <f>L35-L36</f>
        <v>17</v>
      </c>
    </row>
    <row r="38" spans="2:13" ht="20.149999999999999" customHeight="1" x14ac:dyDescent="0.45">
      <c r="B38" s="11" t="s">
        <v>24</v>
      </c>
      <c r="C38" s="7"/>
      <c r="D38" s="7"/>
      <c r="E38" s="7"/>
      <c r="F38" s="7"/>
      <c r="G38" s="7"/>
      <c r="H38" s="7"/>
      <c r="I38" s="7"/>
      <c r="J38" s="150" t="s">
        <v>17</v>
      </c>
      <c r="K38" s="151">
        <v>7.0000000000000007E-2</v>
      </c>
      <c r="L38" s="47">
        <f>L37*K38</f>
        <v>1.1900000000000002</v>
      </c>
    </row>
    <row r="39" spans="2:13" ht="20.149999999999999" customHeight="1" thickBot="1" x14ac:dyDescent="0.5">
      <c r="B39" s="11" t="s">
        <v>25</v>
      </c>
      <c r="C39" s="7"/>
      <c r="D39" s="7"/>
      <c r="E39" s="7"/>
      <c r="F39" s="7"/>
      <c r="G39" s="7"/>
      <c r="H39" s="7"/>
      <c r="I39" s="7"/>
      <c r="J39" s="488" t="s">
        <v>23</v>
      </c>
      <c r="K39" s="489"/>
      <c r="L39" s="48">
        <f>L37+L38</f>
        <v>18.190000000000001</v>
      </c>
    </row>
    <row r="40" spans="2:13" ht="20.149999999999999" customHeight="1" x14ac:dyDescent="0.45">
      <c r="B40" s="11" t="s">
        <v>26</v>
      </c>
      <c r="C40" s="7"/>
      <c r="D40" s="7"/>
      <c r="E40" s="7"/>
      <c r="F40" s="7"/>
      <c r="G40" s="7"/>
      <c r="H40" s="7"/>
      <c r="I40" s="7"/>
      <c r="L40" s="42"/>
    </row>
    <row r="41" spans="2:13" ht="20.149999999999999" customHeight="1" x14ac:dyDescent="0.45">
      <c r="B41" s="41"/>
      <c r="L41" s="42"/>
    </row>
    <row r="42" spans="2:13" ht="20.149999999999999" customHeight="1" x14ac:dyDescent="0.45">
      <c r="B42" s="41"/>
      <c r="L42" s="42"/>
    </row>
    <row r="43" spans="2:13" ht="20.149999999999999" customHeight="1" x14ac:dyDescent="0.45">
      <c r="B43" s="41"/>
      <c r="L43" s="42"/>
    </row>
    <row r="44" spans="2:13" ht="20.149999999999999" customHeight="1" x14ac:dyDescent="0.45">
      <c r="B44" s="41"/>
      <c r="L44" s="42"/>
    </row>
    <row r="45" spans="2:13" ht="20.149999999999999" customHeight="1" x14ac:dyDescent="0.45">
      <c r="B45" s="49"/>
      <c r="C45" s="50"/>
      <c r="D45" s="50"/>
      <c r="J45" s="50"/>
      <c r="K45" s="50"/>
      <c r="L45" s="51"/>
    </row>
    <row r="46" spans="2:13" ht="20.149999999999999" customHeight="1" x14ac:dyDescent="0.45">
      <c r="B46" s="41" t="s">
        <v>27</v>
      </c>
      <c r="J46" s="24" t="s">
        <v>28</v>
      </c>
      <c r="L46" s="42"/>
    </row>
    <row r="47" spans="2:13" ht="19" thickBot="1" x14ac:dyDescent="0.5">
      <c r="B47" s="52"/>
      <c r="C47" s="53"/>
      <c r="D47" s="53"/>
      <c r="E47" s="53"/>
      <c r="F47" s="53"/>
      <c r="G47" s="53"/>
      <c r="H47" s="53"/>
      <c r="I47" s="53"/>
      <c r="J47" s="53"/>
      <c r="K47" s="53"/>
      <c r="L47" s="54"/>
    </row>
  </sheetData>
  <mergeCells count="53">
    <mergeCell ref="D29:F29"/>
    <mergeCell ref="I29:J29"/>
    <mergeCell ref="J39:K39"/>
    <mergeCell ref="D30:F30"/>
    <mergeCell ref="I30:J30"/>
    <mergeCell ref="D31:F31"/>
    <mergeCell ref="I31:J31"/>
    <mergeCell ref="D32:F32"/>
    <mergeCell ref="I32:J32"/>
    <mergeCell ref="D33:F33"/>
    <mergeCell ref="I33:J33"/>
    <mergeCell ref="J35:K35"/>
    <mergeCell ref="J37:K37"/>
    <mergeCell ref="D26:F26"/>
    <mergeCell ref="I26:J26"/>
    <mergeCell ref="D27:F27"/>
    <mergeCell ref="I27:J27"/>
    <mergeCell ref="D28:F28"/>
    <mergeCell ref="I28:J28"/>
    <mergeCell ref="D23:F23"/>
    <mergeCell ref="I23:J23"/>
    <mergeCell ref="D24:F24"/>
    <mergeCell ref="I24:J24"/>
    <mergeCell ref="D25:F25"/>
    <mergeCell ref="I25:J25"/>
    <mergeCell ref="D19:F19"/>
    <mergeCell ref="I19:J19"/>
    <mergeCell ref="I20:J20"/>
    <mergeCell ref="I21:J21"/>
    <mergeCell ref="D22:F22"/>
    <mergeCell ref="I22:J22"/>
    <mergeCell ref="D16:F16"/>
    <mergeCell ref="I16:J16"/>
    <mergeCell ref="I17:J17"/>
    <mergeCell ref="I18:J18"/>
    <mergeCell ref="D15:F15"/>
    <mergeCell ref="I15:J15"/>
    <mergeCell ref="D13:F13"/>
    <mergeCell ref="I13:J13"/>
    <mergeCell ref="D14:F14"/>
    <mergeCell ref="K6:L6"/>
    <mergeCell ref="B7:D7"/>
    <mergeCell ref="F7:H11"/>
    <mergeCell ref="K7:L7"/>
    <mergeCell ref="B8:D8"/>
    <mergeCell ref="K8:L8"/>
    <mergeCell ref="B9:D9"/>
    <mergeCell ref="K9:L9"/>
    <mergeCell ref="B10:D10"/>
    <mergeCell ref="K10:L10"/>
    <mergeCell ref="K11:L11"/>
    <mergeCell ref="I14:J14"/>
    <mergeCell ref="B11:D11"/>
  </mergeCells>
  <pageMargins left="0.70866141732283505" right="0.31496062992126" top="2.1653543307086598" bottom="0" header="0.31496062992126" footer="0.31496062992126"/>
  <pageSetup paperSize="9" scale="76" orientation="portrait" verticalDpi="300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F9936B-7AC3-44AB-BC01-94B788240715}">
  <sheetPr codeName="Sheet168">
    <tabColor rgb="FFFFFF00"/>
    <pageSetUpPr fitToPage="1"/>
  </sheetPr>
  <dimension ref="B5:O47"/>
  <sheetViews>
    <sheetView topLeftCell="B2" workbookViewId="0">
      <selection activeCell="F7" sqref="F7:H11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6.54296875" style="24" customWidth="1"/>
    <col min="7" max="7" width="8.54296875" style="24" customWidth="1"/>
    <col min="8" max="8" width="12.54296875" style="24" customWidth="1"/>
    <col min="9" max="9" width="2.54296875" style="24" customWidth="1"/>
    <col min="10" max="10" width="15.54296875" style="24" customWidth="1"/>
    <col min="11" max="12" width="12.54296875" style="24" customWidth="1"/>
    <col min="13" max="16384" width="12.54296875" style="24"/>
  </cols>
  <sheetData>
    <row r="5" spans="2:15" ht="19" thickBot="1" x14ac:dyDescent="0.5">
      <c r="B5" s="23"/>
    </row>
    <row r="6" spans="2:15" ht="18" customHeight="1" thickTop="1" thickBot="1" x14ac:dyDescent="0.5">
      <c r="B6" s="25" t="s">
        <v>9</v>
      </c>
      <c r="C6" s="25"/>
      <c r="D6" s="26"/>
      <c r="E6" s="26"/>
      <c r="F6" s="27" t="s">
        <v>10</v>
      </c>
      <c r="G6" s="28"/>
      <c r="H6" s="28" t="s">
        <v>157</v>
      </c>
      <c r="J6" s="29" t="s">
        <v>29</v>
      </c>
      <c r="K6" s="452">
        <v>201909473</v>
      </c>
      <c r="L6" s="453"/>
    </row>
    <row r="7" spans="2:15" ht="20.149999999999999" customHeight="1" x14ac:dyDescent="0.45">
      <c r="B7" s="454" t="s">
        <v>547</v>
      </c>
      <c r="C7" s="455"/>
      <c r="D7" s="456"/>
      <c r="E7" s="30"/>
      <c r="F7" s="457" t="str">
        <f>VLOOKUP(H6,'Delivery Location'!A$4:N$416,2,0)</f>
        <v>Ally McBean's Food Supply                       Block 115 Aljunied Ave 2 #01-53B Singapore 380115</v>
      </c>
      <c r="G7" s="458"/>
      <c r="H7" s="459"/>
      <c r="J7" s="31" t="s">
        <v>11</v>
      </c>
      <c r="K7" s="551">
        <v>43732</v>
      </c>
      <c r="L7" s="472"/>
    </row>
    <row r="8" spans="2:15" ht="20.149999999999999" customHeight="1" x14ac:dyDescent="0.45">
      <c r="B8" s="468" t="s">
        <v>548</v>
      </c>
      <c r="C8" s="469"/>
      <c r="D8" s="470"/>
      <c r="E8" s="30"/>
      <c r="F8" s="460"/>
      <c r="G8" s="461"/>
      <c r="H8" s="462"/>
      <c r="J8" s="31" t="s">
        <v>171</v>
      </c>
      <c r="K8" s="471" t="s">
        <v>533</v>
      </c>
      <c r="L8" s="472"/>
    </row>
    <row r="9" spans="2:15" ht="20.149999999999999" customHeight="1" x14ac:dyDescent="0.45">
      <c r="B9" s="468" t="s">
        <v>549</v>
      </c>
      <c r="C9" s="469"/>
      <c r="D9" s="470"/>
      <c r="E9" s="30"/>
      <c r="F9" s="460"/>
      <c r="G9" s="461"/>
      <c r="H9" s="462"/>
      <c r="J9" s="31" t="s">
        <v>12</v>
      </c>
      <c r="K9" s="471" t="s">
        <v>14</v>
      </c>
      <c r="L9" s="472"/>
    </row>
    <row r="10" spans="2:15" ht="20.149999999999999" customHeight="1" x14ac:dyDescent="0.45">
      <c r="B10" s="468"/>
      <c r="C10" s="469"/>
      <c r="D10" s="470"/>
      <c r="E10" s="30"/>
      <c r="F10" s="460"/>
      <c r="G10" s="461"/>
      <c r="H10" s="462"/>
      <c r="J10" s="31" t="s">
        <v>30</v>
      </c>
      <c r="K10" s="471" t="s">
        <v>16</v>
      </c>
      <c r="L10" s="472"/>
    </row>
    <row r="11" spans="2:15" ht="18" customHeight="1" thickBot="1" x14ac:dyDescent="0.5">
      <c r="B11" s="55"/>
      <c r="C11" s="56"/>
      <c r="D11" s="57"/>
      <c r="E11" s="26"/>
      <c r="F11" s="463"/>
      <c r="G11" s="464"/>
      <c r="H11" s="465"/>
      <c r="J11" s="32" t="s">
        <v>13</v>
      </c>
      <c r="K11" s="476"/>
      <c r="L11" s="477"/>
    </row>
    <row r="12" spans="2:15" ht="19" thickBot="1" x14ac:dyDescent="0.5">
      <c r="J12" s="22"/>
    </row>
    <row r="13" spans="2:15" ht="30" customHeight="1" thickBot="1" x14ac:dyDescent="0.5">
      <c r="B13" s="8" t="s">
        <v>2</v>
      </c>
      <c r="C13" s="9" t="s">
        <v>3</v>
      </c>
      <c r="D13" s="478" t="s">
        <v>4</v>
      </c>
      <c r="E13" s="483"/>
      <c r="F13" s="479"/>
      <c r="G13" s="19" t="s">
        <v>620</v>
      </c>
      <c r="H13" s="9" t="s">
        <v>31</v>
      </c>
      <c r="I13" s="478" t="s">
        <v>60</v>
      </c>
      <c r="J13" s="479"/>
      <c r="K13" s="9" t="s">
        <v>6</v>
      </c>
      <c r="L13" s="10" t="s">
        <v>7</v>
      </c>
      <c r="M13" s="33"/>
      <c r="N13" s="33"/>
      <c r="O13" s="33"/>
    </row>
    <row r="14" spans="2:15" ht="20.149999999999999" customHeight="1" x14ac:dyDescent="0.45">
      <c r="B14" s="34"/>
      <c r="C14" s="22" t="s">
        <v>394</v>
      </c>
      <c r="D14" s="508" t="e">
        <f>VLOOKUP(C14,'Sales Master'!B$3:D$499,2,)</f>
        <v>#N/A</v>
      </c>
      <c r="E14" s="508"/>
      <c r="F14" s="508"/>
      <c r="G14" s="22">
        <v>24</v>
      </c>
      <c r="H14" s="68" t="str">
        <f>VLOOKUP(C14,'[2]Sales Master'!B$3:F$736,5,0)</f>
        <v>1 Can X A10</v>
      </c>
      <c r="I14" s="481" t="str">
        <f>VLOOKUP(C14,'[2]Sales Master'!B$3:E$736,4,0)</f>
        <v>Coco</v>
      </c>
      <c r="J14" s="481"/>
      <c r="K14" s="94" t="e">
        <f>VLOOKUP(C14,'Sales Master'!B$3:$AA$499,26,0)</f>
        <v>#N/A</v>
      </c>
      <c r="L14" s="77" t="e">
        <f>K14*G14</f>
        <v>#N/A</v>
      </c>
      <c r="M14" s="78"/>
    </row>
    <row r="15" spans="2:15" ht="20.149999999999999" customHeight="1" x14ac:dyDescent="0.45">
      <c r="B15" s="34"/>
      <c r="C15" s="22"/>
      <c r="D15" s="508"/>
      <c r="E15" s="508"/>
      <c r="F15" s="508"/>
      <c r="G15" s="22"/>
      <c r="H15" s="68" t="e">
        <f>VLOOKUP(C15,'[2]Sales Master'!B$3:F$736,5,0)</f>
        <v>#N/A</v>
      </c>
      <c r="I15" s="481" t="e">
        <f>VLOOKUP(C15,'[2]Sales Master'!B$3:E$736,4,0)</f>
        <v>#N/A</v>
      </c>
      <c r="J15" s="481"/>
      <c r="K15" s="94"/>
      <c r="L15" s="77"/>
      <c r="M15" s="78"/>
    </row>
    <row r="16" spans="2:15" ht="20.149999999999999" customHeight="1" x14ac:dyDescent="0.45">
      <c r="B16" s="34"/>
      <c r="C16" s="22"/>
      <c r="D16" s="508"/>
      <c r="E16" s="508"/>
      <c r="F16" s="508"/>
      <c r="G16" s="22"/>
      <c r="H16" s="68" t="e">
        <f>VLOOKUP(C16,'[2]Sales Master'!B$3:F$736,5,0)</f>
        <v>#N/A</v>
      </c>
      <c r="I16" s="481" t="e">
        <f>VLOOKUP(C16,'[2]Sales Master'!B$3:E$736,4,0)</f>
        <v>#N/A</v>
      </c>
      <c r="J16" s="481"/>
      <c r="K16" s="94"/>
      <c r="L16" s="77"/>
      <c r="M16" s="78"/>
    </row>
    <row r="17" spans="2:13" ht="20.149999999999999" customHeight="1" x14ac:dyDescent="0.45">
      <c r="B17" s="34"/>
      <c r="C17" s="22"/>
      <c r="D17" s="508"/>
      <c r="E17" s="508"/>
      <c r="F17" s="508"/>
      <c r="G17" s="22"/>
      <c r="H17" s="68"/>
      <c r="I17" s="481"/>
      <c r="J17" s="481"/>
      <c r="K17" s="94"/>
      <c r="L17" s="77"/>
      <c r="M17" s="78"/>
    </row>
    <row r="18" spans="2:13" ht="20.149999999999999" customHeight="1" x14ac:dyDescent="0.45">
      <c r="B18" s="34"/>
      <c r="C18" s="22"/>
      <c r="D18" s="508"/>
      <c r="E18" s="508"/>
      <c r="F18" s="508"/>
      <c r="G18" s="22"/>
      <c r="H18" s="68"/>
      <c r="I18" s="481"/>
      <c r="J18" s="481"/>
      <c r="K18" s="94"/>
      <c r="L18" s="77"/>
      <c r="M18" s="78"/>
    </row>
    <row r="19" spans="2:13" ht="20.149999999999999" customHeight="1" x14ac:dyDescent="0.45">
      <c r="B19" s="34"/>
      <c r="C19" s="22"/>
      <c r="D19" s="508"/>
      <c r="E19" s="508"/>
      <c r="F19" s="508"/>
      <c r="G19" s="22"/>
      <c r="H19" s="68"/>
      <c r="I19" s="481"/>
      <c r="J19" s="481"/>
      <c r="K19" s="94"/>
      <c r="L19" s="77"/>
      <c r="M19" s="78"/>
    </row>
    <row r="20" spans="2:13" ht="20.149999999999999" customHeight="1" x14ac:dyDescent="0.45">
      <c r="B20" s="34"/>
      <c r="C20" s="22"/>
      <c r="D20" s="508"/>
      <c r="E20" s="508"/>
      <c r="F20" s="508"/>
      <c r="G20" s="22"/>
      <c r="H20" s="68"/>
      <c r="I20" s="481"/>
      <c r="J20" s="481"/>
      <c r="K20" s="94"/>
      <c r="L20" s="77"/>
      <c r="M20" s="78"/>
    </row>
    <row r="21" spans="2:13" ht="20.149999999999999" customHeight="1" x14ac:dyDescent="0.45">
      <c r="B21" s="34"/>
      <c r="C21" s="22"/>
      <c r="D21" s="508"/>
      <c r="E21" s="508"/>
      <c r="F21" s="508"/>
      <c r="G21" s="22"/>
      <c r="H21" s="68"/>
      <c r="I21" s="481"/>
      <c r="J21" s="481"/>
      <c r="K21" s="94"/>
      <c r="L21" s="77"/>
      <c r="M21" s="78"/>
    </row>
    <row r="22" spans="2:13" ht="20.149999999999999" customHeight="1" x14ac:dyDescent="0.45">
      <c r="B22" s="34"/>
      <c r="C22" s="22"/>
      <c r="D22" s="508"/>
      <c r="E22" s="508"/>
      <c r="F22" s="508"/>
      <c r="G22" s="22"/>
      <c r="H22" s="68"/>
      <c r="I22" s="481"/>
      <c r="J22" s="481"/>
      <c r="K22" s="94"/>
      <c r="L22" s="77"/>
      <c r="M22" s="78"/>
    </row>
    <row r="23" spans="2:13" ht="20.149999999999999" customHeight="1" x14ac:dyDescent="0.45">
      <c r="B23" s="34"/>
      <c r="C23" s="22"/>
      <c r="D23" s="508"/>
      <c r="E23" s="508"/>
      <c r="F23" s="508"/>
      <c r="G23" s="22"/>
      <c r="H23" s="68"/>
      <c r="I23" s="481"/>
      <c r="J23" s="481"/>
      <c r="K23" s="94"/>
      <c r="L23" s="77"/>
      <c r="M23" s="78"/>
    </row>
    <row r="24" spans="2:13" ht="20.149999999999999" customHeight="1" x14ac:dyDescent="0.45">
      <c r="B24" s="34"/>
      <c r="C24" s="22"/>
      <c r="D24" s="508"/>
      <c r="E24" s="508"/>
      <c r="F24" s="508"/>
      <c r="G24" s="22"/>
      <c r="H24" s="68"/>
      <c r="I24" s="481"/>
      <c r="J24" s="481"/>
      <c r="K24" s="94"/>
      <c r="L24" s="77"/>
      <c r="M24" s="78"/>
    </row>
    <row r="25" spans="2:13" ht="20.149999999999999" customHeight="1" x14ac:dyDescent="0.45">
      <c r="B25" s="34"/>
      <c r="C25" s="22"/>
      <c r="D25" s="508"/>
      <c r="E25" s="508"/>
      <c r="F25" s="508"/>
      <c r="G25" s="22"/>
      <c r="H25" s="68"/>
      <c r="I25" s="481"/>
      <c r="J25" s="481"/>
      <c r="K25" s="94"/>
      <c r="L25" s="77"/>
      <c r="M25" s="78"/>
    </row>
    <row r="26" spans="2:13" ht="20.149999999999999" customHeight="1" x14ac:dyDescent="0.45">
      <c r="B26" s="34"/>
      <c r="C26" s="22"/>
      <c r="D26" s="508"/>
      <c r="E26" s="508"/>
      <c r="F26" s="508"/>
      <c r="G26" s="22"/>
      <c r="H26" s="68"/>
      <c r="I26" s="481"/>
      <c r="J26" s="481"/>
      <c r="K26" s="94"/>
      <c r="L26" s="77"/>
      <c r="M26" s="78"/>
    </row>
    <row r="27" spans="2:13" ht="20.149999999999999" customHeight="1" x14ac:dyDescent="0.45">
      <c r="B27" s="34"/>
      <c r="C27" s="22"/>
      <c r="D27" s="508"/>
      <c r="E27" s="508"/>
      <c r="F27" s="508"/>
      <c r="G27" s="22"/>
      <c r="H27" s="68"/>
      <c r="I27" s="481"/>
      <c r="J27" s="481"/>
      <c r="K27" s="94"/>
      <c r="L27" s="77"/>
      <c r="M27" s="78"/>
    </row>
    <row r="28" spans="2:13" ht="20.149999999999999" customHeight="1" x14ac:dyDescent="0.45">
      <c r="B28" s="34"/>
      <c r="C28" s="22"/>
      <c r="D28" s="508"/>
      <c r="E28" s="508"/>
      <c r="F28" s="508"/>
      <c r="G28" s="22"/>
      <c r="H28" s="68"/>
      <c r="I28" s="481"/>
      <c r="J28" s="481"/>
      <c r="K28" s="94"/>
      <c r="L28" s="77"/>
      <c r="M28" s="78"/>
    </row>
    <row r="29" spans="2:13" ht="20.149999999999999" customHeight="1" x14ac:dyDescent="0.45">
      <c r="B29" s="34"/>
      <c r="C29" s="22"/>
      <c r="D29" s="508"/>
      <c r="E29" s="508"/>
      <c r="F29" s="508"/>
      <c r="G29" s="22"/>
      <c r="H29" s="68"/>
      <c r="I29" s="481"/>
      <c r="J29" s="481"/>
      <c r="K29" s="94"/>
      <c r="L29" s="77"/>
      <c r="M29" s="78"/>
    </row>
    <row r="30" spans="2:13" ht="20.149999999999999" customHeight="1" x14ac:dyDescent="0.45">
      <c r="B30" s="34"/>
      <c r="C30" s="22"/>
      <c r="D30" s="508"/>
      <c r="E30" s="508"/>
      <c r="F30" s="508"/>
      <c r="G30" s="22"/>
      <c r="H30" s="68"/>
      <c r="I30" s="481"/>
      <c r="J30" s="481"/>
      <c r="K30" s="94"/>
      <c r="L30" s="77"/>
      <c r="M30" s="78"/>
    </row>
    <row r="31" spans="2:13" ht="20.149999999999999" customHeight="1" x14ac:dyDescent="0.45">
      <c r="B31" s="34"/>
      <c r="C31" s="22"/>
      <c r="D31" s="508"/>
      <c r="E31" s="508"/>
      <c r="F31" s="508"/>
      <c r="G31" s="22"/>
      <c r="H31" s="68"/>
      <c r="I31" s="481"/>
      <c r="J31" s="481"/>
      <c r="K31" s="94"/>
      <c r="L31" s="77"/>
      <c r="M31" s="78"/>
    </row>
    <row r="32" spans="2:13" ht="20.149999999999999" customHeight="1" x14ac:dyDescent="0.45">
      <c r="B32" s="34"/>
      <c r="C32" s="22"/>
      <c r="D32" s="508"/>
      <c r="E32" s="508"/>
      <c r="F32" s="508"/>
      <c r="G32" s="22"/>
      <c r="H32" s="68"/>
      <c r="I32" s="481"/>
      <c r="J32" s="481"/>
      <c r="K32" s="94"/>
      <c r="L32" s="77"/>
    </row>
    <row r="33" spans="2:13" ht="20.149999999999999" customHeight="1" thickBot="1" x14ac:dyDescent="0.5">
      <c r="B33" s="37"/>
      <c r="C33" s="38"/>
      <c r="D33" s="509"/>
      <c r="E33" s="509"/>
      <c r="F33" s="509"/>
      <c r="G33" s="38"/>
      <c r="H33" s="69"/>
      <c r="I33" s="451"/>
      <c r="J33" s="451"/>
      <c r="K33" s="39"/>
      <c r="L33" s="40"/>
    </row>
    <row r="34" spans="2:13" ht="20.149999999999999" customHeight="1" thickBot="1" x14ac:dyDescent="0.5">
      <c r="B34" s="41"/>
      <c r="L34" s="42"/>
    </row>
    <row r="35" spans="2:13" ht="20.149999999999999" customHeight="1" x14ac:dyDescent="0.45">
      <c r="B35" s="11" t="s">
        <v>18</v>
      </c>
      <c r="C35" s="7"/>
      <c r="D35" s="7"/>
      <c r="E35" s="7"/>
      <c r="F35" s="7"/>
      <c r="G35" s="7"/>
      <c r="H35" s="7"/>
      <c r="I35" s="7"/>
      <c r="J35" s="510" t="s">
        <v>15</v>
      </c>
      <c r="K35" s="511"/>
      <c r="L35" s="43" t="e">
        <f>SUM(L13:L32)</f>
        <v>#N/A</v>
      </c>
      <c r="M35" s="76">
        <f>166+26</f>
        <v>192</v>
      </c>
    </row>
    <row r="36" spans="2:13" ht="20.149999999999999" customHeight="1" x14ac:dyDescent="0.45">
      <c r="B36" s="11" t="s">
        <v>19</v>
      </c>
      <c r="C36" s="7"/>
      <c r="D36" s="7"/>
      <c r="E36" s="7"/>
      <c r="F36" s="7"/>
      <c r="G36" s="7"/>
      <c r="H36" s="7"/>
      <c r="I36" s="7"/>
      <c r="J36" s="44" t="s">
        <v>22</v>
      </c>
      <c r="K36" s="45"/>
      <c r="L36" s="46" t="e">
        <f>L35*K36</f>
        <v>#N/A</v>
      </c>
    </row>
    <row r="37" spans="2:13" ht="20.149999999999999" customHeight="1" x14ac:dyDescent="0.45">
      <c r="B37" s="11" t="s">
        <v>20</v>
      </c>
      <c r="C37" s="7"/>
      <c r="D37" s="7"/>
      <c r="E37" s="7"/>
      <c r="F37" s="7"/>
      <c r="G37" s="7"/>
      <c r="H37" s="7"/>
      <c r="I37" s="7"/>
      <c r="J37" s="486" t="s">
        <v>21</v>
      </c>
      <c r="K37" s="487"/>
      <c r="L37" s="46" t="e">
        <f>L35-L36</f>
        <v>#N/A</v>
      </c>
    </row>
    <row r="38" spans="2:13" ht="20.149999999999999" customHeight="1" x14ac:dyDescent="0.45">
      <c r="B38" s="11" t="s">
        <v>24</v>
      </c>
      <c r="C38" s="7"/>
      <c r="D38" s="7"/>
      <c r="E38" s="7"/>
      <c r="F38" s="7"/>
      <c r="G38" s="7"/>
      <c r="H38" s="7"/>
      <c r="I38" s="7"/>
      <c r="J38" s="150" t="s">
        <v>17</v>
      </c>
      <c r="K38" s="151">
        <v>7.0000000000000007E-2</v>
      </c>
      <c r="L38" s="47" t="e">
        <f>L37*K38</f>
        <v>#N/A</v>
      </c>
    </row>
    <row r="39" spans="2:13" ht="20.149999999999999" customHeight="1" thickBot="1" x14ac:dyDescent="0.5">
      <c r="B39" s="11" t="s">
        <v>25</v>
      </c>
      <c r="C39" s="7"/>
      <c r="D39" s="7"/>
      <c r="E39" s="7"/>
      <c r="F39" s="7"/>
      <c r="G39" s="7"/>
      <c r="H39" s="7"/>
      <c r="I39" s="7"/>
      <c r="J39" s="488" t="s">
        <v>23</v>
      </c>
      <c r="K39" s="489"/>
      <c r="L39" s="48" t="e">
        <f>L37+L38</f>
        <v>#N/A</v>
      </c>
    </row>
    <row r="40" spans="2:13" ht="20.149999999999999" customHeight="1" x14ac:dyDescent="0.45">
      <c r="B40" s="11" t="s">
        <v>26</v>
      </c>
      <c r="C40" s="7"/>
      <c r="D40" s="7"/>
      <c r="E40" s="7"/>
      <c r="F40" s="7"/>
      <c r="G40" s="7"/>
      <c r="H40" s="7"/>
      <c r="I40" s="7"/>
      <c r="L40" s="42"/>
    </row>
    <row r="41" spans="2:13" ht="20.149999999999999" customHeight="1" x14ac:dyDescent="0.45">
      <c r="B41" s="41"/>
      <c r="L41" s="42"/>
    </row>
    <row r="42" spans="2:13" ht="20.149999999999999" customHeight="1" x14ac:dyDescent="0.45">
      <c r="B42" s="41"/>
      <c r="L42" s="42"/>
    </row>
    <row r="43" spans="2:13" ht="20.149999999999999" customHeight="1" x14ac:dyDescent="0.45">
      <c r="B43" s="41"/>
      <c r="L43" s="42"/>
    </row>
    <row r="44" spans="2:13" ht="20.149999999999999" customHeight="1" x14ac:dyDescent="0.45">
      <c r="B44" s="41"/>
      <c r="L44" s="42"/>
    </row>
    <row r="45" spans="2:13" ht="20.149999999999999" customHeight="1" x14ac:dyDescent="0.45">
      <c r="B45" s="49"/>
      <c r="C45" s="50"/>
      <c r="D45" s="50"/>
      <c r="J45" s="50"/>
      <c r="K45" s="50"/>
      <c r="L45" s="51"/>
    </row>
    <row r="46" spans="2:13" ht="20.149999999999999" customHeight="1" x14ac:dyDescent="0.45">
      <c r="B46" s="41" t="s">
        <v>27</v>
      </c>
      <c r="J46" s="24" t="s">
        <v>28</v>
      </c>
      <c r="L46" s="42"/>
    </row>
    <row r="47" spans="2:13" ht="19" thickBot="1" x14ac:dyDescent="0.5">
      <c r="B47" s="52"/>
      <c r="C47" s="53"/>
      <c r="D47" s="53"/>
      <c r="E47" s="53"/>
      <c r="F47" s="53"/>
      <c r="G47" s="53"/>
      <c r="H47" s="53"/>
      <c r="I47" s="53"/>
      <c r="J47" s="53"/>
      <c r="K47" s="53"/>
      <c r="L47" s="54"/>
    </row>
  </sheetData>
  <mergeCells count="56">
    <mergeCell ref="J39:K39"/>
    <mergeCell ref="D31:F31"/>
    <mergeCell ref="I31:J31"/>
    <mergeCell ref="D32:F32"/>
    <mergeCell ref="I32:J32"/>
    <mergeCell ref="D33:F33"/>
    <mergeCell ref="I33:J33"/>
    <mergeCell ref="D30:F30"/>
    <mergeCell ref="I30:J30"/>
    <mergeCell ref="J35:K35"/>
    <mergeCell ref="J37:K37"/>
    <mergeCell ref="D27:F27"/>
    <mergeCell ref="I27:J27"/>
    <mergeCell ref="D28:F28"/>
    <mergeCell ref="I28:J28"/>
    <mergeCell ref="D29:F29"/>
    <mergeCell ref="I29:J29"/>
    <mergeCell ref="D24:F24"/>
    <mergeCell ref="I24:J24"/>
    <mergeCell ref="D25:F25"/>
    <mergeCell ref="I25:J25"/>
    <mergeCell ref="D26:F26"/>
    <mergeCell ref="I26:J26"/>
    <mergeCell ref="D21:F21"/>
    <mergeCell ref="I21:J21"/>
    <mergeCell ref="D22:F22"/>
    <mergeCell ref="I22:J22"/>
    <mergeCell ref="D23:F23"/>
    <mergeCell ref="I23:J23"/>
    <mergeCell ref="D18:F18"/>
    <mergeCell ref="I18:J18"/>
    <mergeCell ref="D19:F19"/>
    <mergeCell ref="I19:J19"/>
    <mergeCell ref="D20:F20"/>
    <mergeCell ref="I20:J20"/>
    <mergeCell ref="D16:F16"/>
    <mergeCell ref="I16:J16"/>
    <mergeCell ref="D17:F17"/>
    <mergeCell ref="I17:J17"/>
    <mergeCell ref="D15:F15"/>
    <mergeCell ref="I15:J15"/>
    <mergeCell ref="D13:F13"/>
    <mergeCell ref="I13:J13"/>
    <mergeCell ref="D14:F14"/>
    <mergeCell ref="K6:L6"/>
    <mergeCell ref="B7:D7"/>
    <mergeCell ref="F7:H11"/>
    <mergeCell ref="K7:L7"/>
    <mergeCell ref="B8:D8"/>
    <mergeCell ref="K8:L8"/>
    <mergeCell ref="B9:D9"/>
    <mergeCell ref="K9:L9"/>
    <mergeCell ref="B10:D10"/>
    <mergeCell ref="K10:L10"/>
    <mergeCell ref="K11:L11"/>
    <mergeCell ref="I14:J14"/>
  </mergeCells>
  <pageMargins left="0.70866141732283472" right="0.31496062992125984" top="2.1653543307086616" bottom="0" header="0.31496062992125984" footer="0.31496062992125984"/>
  <pageSetup paperSize="9" scale="76" orientation="portrait" verticalDpi="300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CDE1A4-AAAE-44A2-86A8-BD092B9D269D}">
  <sheetPr codeName="Sheet169">
    <tabColor rgb="FFFFFF00"/>
    <pageSetUpPr fitToPage="1"/>
  </sheetPr>
  <dimension ref="B4:O47"/>
  <sheetViews>
    <sheetView workbookViewId="0">
      <selection activeCell="F7" sqref="F7:H11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4.54296875" style="24" customWidth="1"/>
    <col min="7" max="7" width="8.54296875" style="24" customWidth="1"/>
    <col min="8" max="8" width="12.54296875" style="24" customWidth="1"/>
    <col min="9" max="9" width="4.54296875" style="24" customWidth="1"/>
    <col min="10" max="10" width="15.54296875" style="24" customWidth="1"/>
    <col min="11" max="12" width="12.54296875" style="24" customWidth="1"/>
    <col min="13" max="16384" width="12.54296875" style="24"/>
  </cols>
  <sheetData>
    <row r="4" spans="2:15" x14ac:dyDescent="0.45">
      <c r="B4" s="23"/>
    </row>
    <row r="5" spans="2:15" ht="8.5" customHeight="1" thickBot="1" x14ac:dyDescent="0.5">
      <c r="B5" s="23"/>
    </row>
    <row r="6" spans="2:15" ht="18" customHeight="1" thickTop="1" thickBot="1" x14ac:dyDescent="0.5">
      <c r="B6" s="25" t="s">
        <v>9</v>
      </c>
      <c r="C6" s="25"/>
      <c r="D6" s="26"/>
      <c r="E6" s="26"/>
      <c r="F6" s="27" t="s">
        <v>10</v>
      </c>
      <c r="G6" s="28"/>
      <c r="H6" s="28" t="s">
        <v>170</v>
      </c>
      <c r="J6" s="29" t="s">
        <v>29</v>
      </c>
      <c r="K6" s="452">
        <v>201910049</v>
      </c>
      <c r="L6" s="453"/>
    </row>
    <row r="7" spans="2:15" ht="20.149999999999999" customHeight="1" x14ac:dyDescent="0.45">
      <c r="B7" s="454" t="s">
        <v>503</v>
      </c>
      <c r="C7" s="455"/>
      <c r="D7" s="456"/>
      <c r="E7" s="30"/>
      <c r="F7" s="457" t="str">
        <f>VLOOKUP(H6,'Delivery Location'!A$4:N$416,2,0)</f>
        <v>Fusionoplis one.                                           1 Fusionopolis Way Basement 2 #B2-02 Singapore 138632                                   (Fruit)</v>
      </c>
      <c r="G7" s="458"/>
      <c r="H7" s="459"/>
      <c r="J7" s="31" t="s">
        <v>11</v>
      </c>
      <c r="K7" s="551">
        <v>43740</v>
      </c>
      <c r="L7" s="472"/>
    </row>
    <row r="8" spans="2:15" ht="20.149999999999999" customHeight="1" x14ac:dyDescent="0.45">
      <c r="B8" s="468" t="s">
        <v>504</v>
      </c>
      <c r="C8" s="469"/>
      <c r="D8" s="470"/>
      <c r="E8" s="30"/>
      <c r="F8" s="460"/>
      <c r="G8" s="461"/>
      <c r="H8" s="462"/>
      <c r="J8" s="31" t="s">
        <v>171</v>
      </c>
      <c r="K8" s="471" t="s">
        <v>533</v>
      </c>
      <c r="L8" s="472"/>
    </row>
    <row r="9" spans="2:15" ht="20.149999999999999" customHeight="1" x14ac:dyDescent="0.45">
      <c r="B9" s="468" t="s">
        <v>505</v>
      </c>
      <c r="C9" s="469"/>
      <c r="D9" s="470"/>
      <c r="E9" s="30"/>
      <c r="F9" s="460"/>
      <c r="G9" s="461"/>
      <c r="H9" s="462"/>
      <c r="J9" s="31" t="s">
        <v>12</v>
      </c>
      <c r="K9" s="471" t="s">
        <v>14</v>
      </c>
      <c r="L9" s="472"/>
    </row>
    <row r="10" spans="2:15" ht="20.149999999999999" customHeight="1" x14ac:dyDescent="0.45">
      <c r="B10" s="468" t="s">
        <v>571</v>
      </c>
      <c r="C10" s="469"/>
      <c r="D10" s="470"/>
      <c r="E10" s="30"/>
      <c r="F10" s="460"/>
      <c r="G10" s="461"/>
      <c r="H10" s="462"/>
      <c r="J10" s="31" t="s">
        <v>30</v>
      </c>
      <c r="K10" s="471" t="s">
        <v>16</v>
      </c>
      <c r="L10" s="472"/>
    </row>
    <row r="11" spans="2:15" ht="18" customHeight="1" thickBot="1" x14ac:dyDescent="0.5">
      <c r="B11" s="55"/>
      <c r="C11" s="56"/>
      <c r="D11" s="57"/>
      <c r="E11" s="26"/>
      <c r="F11" s="463"/>
      <c r="G11" s="464"/>
      <c r="H11" s="465"/>
      <c r="J11" s="32" t="s">
        <v>13</v>
      </c>
      <c r="K11" s="476"/>
      <c r="L11" s="477"/>
    </row>
    <row r="12" spans="2:15" ht="19" thickBot="1" x14ac:dyDescent="0.5">
      <c r="J12" s="22"/>
    </row>
    <row r="13" spans="2:15" ht="30" customHeight="1" thickBot="1" x14ac:dyDescent="0.5">
      <c r="B13" s="8" t="s">
        <v>2</v>
      </c>
      <c r="C13" s="9" t="s">
        <v>3</v>
      </c>
      <c r="D13" s="478" t="s">
        <v>4</v>
      </c>
      <c r="E13" s="483"/>
      <c r="F13" s="479"/>
      <c r="G13" s="19" t="s">
        <v>620</v>
      </c>
      <c r="H13" s="9" t="s">
        <v>31</v>
      </c>
      <c r="I13" s="478" t="s">
        <v>60</v>
      </c>
      <c r="J13" s="479"/>
      <c r="K13" s="9" t="s">
        <v>6</v>
      </c>
      <c r="L13" s="10" t="s">
        <v>7</v>
      </c>
      <c r="M13" s="33"/>
      <c r="N13" s="33"/>
      <c r="O13" s="33"/>
    </row>
    <row r="14" spans="2:15" ht="20.149999999999999" customHeight="1" x14ac:dyDescent="0.45">
      <c r="B14" s="34"/>
      <c r="C14" s="22" t="s">
        <v>369</v>
      </c>
      <c r="D14" s="508" t="e">
        <f>VLOOKUP(C14,'Sales Master'!B$3:D$499,2,)</f>
        <v>#N/A</v>
      </c>
      <c r="E14" s="508"/>
      <c r="F14" s="508"/>
      <c r="G14" s="22">
        <v>3</v>
      </c>
      <c r="H14" s="68" t="str">
        <f>VLOOKUP(C14,'[2]Sales Master'!B$3:F$736,5,0)</f>
        <v>5 KGS/桶</v>
      </c>
      <c r="I14" s="481" t="str">
        <f>VLOOKUP(C14,'[2]Sales Master'!B$3:E$736,4,0)</f>
        <v>DO!</v>
      </c>
      <c r="J14" s="481"/>
      <c r="K14" s="35" t="e">
        <f>VLOOKUP(C14,'Sales Master'!$B$3:$J$583,9,0)</f>
        <v>#N/A</v>
      </c>
      <c r="L14" s="36" t="e">
        <f>K14*G14</f>
        <v>#N/A</v>
      </c>
    </row>
    <row r="15" spans="2:15" ht="20.149999999999999" customHeight="1" x14ac:dyDescent="0.45">
      <c r="B15" s="34"/>
      <c r="C15" s="22"/>
      <c r="D15" s="508"/>
      <c r="E15" s="508"/>
      <c r="F15" s="508"/>
      <c r="G15" s="22"/>
      <c r="H15" s="68" t="e">
        <f>VLOOKUP(C15,'[2]Sales Master'!B$3:F$736,5,0)</f>
        <v>#N/A</v>
      </c>
      <c r="I15" s="481" t="e">
        <f>VLOOKUP(C15,'[2]Sales Master'!B$3:E$736,4,0)</f>
        <v>#N/A</v>
      </c>
      <c r="J15" s="481"/>
      <c r="K15" s="35"/>
      <c r="L15" s="36"/>
    </row>
    <row r="16" spans="2:15" ht="20.149999999999999" customHeight="1" x14ac:dyDescent="0.45">
      <c r="B16" s="34"/>
      <c r="C16" s="22"/>
      <c r="D16" s="508"/>
      <c r="E16" s="508"/>
      <c r="F16" s="508"/>
      <c r="G16" s="22"/>
      <c r="H16" s="68" t="e">
        <f>VLOOKUP(C16,'[2]Sales Master'!B$3:F$736,5,0)</f>
        <v>#N/A</v>
      </c>
      <c r="I16" s="481" t="e">
        <f>VLOOKUP(C16,'[2]Sales Master'!B$3:E$736,4,0)</f>
        <v>#N/A</v>
      </c>
      <c r="J16" s="481"/>
      <c r="K16" s="35"/>
      <c r="L16" s="36"/>
    </row>
    <row r="17" spans="2:12" ht="20.149999999999999" customHeight="1" x14ac:dyDescent="0.45">
      <c r="B17" s="34"/>
      <c r="C17" s="22"/>
      <c r="G17" s="22"/>
      <c r="H17" s="68"/>
      <c r="I17" s="450"/>
      <c r="J17" s="450"/>
      <c r="K17" s="35"/>
      <c r="L17" s="36"/>
    </row>
    <row r="18" spans="2:12" ht="20.149999999999999" customHeight="1" x14ac:dyDescent="0.45">
      <c r="B18" s="34"/>
      <c r="C18" s="22"/>
      <c r="G18" s="22"/>
      <c r="H18" s="68"/>
      <c r="I18" s="450"/>
      <c r="J18" s="450"/>
      <c r="K18" s="35"/>
      <c r="L18" s="36"/>
    </row>
    <row r="19" spans="2:12" ht="20.149999999999999" customHeight="1" x14ac:dyDescent="0.45">
      <c r="B19" s="34"/>
      <c r="C19" s="22"/>
      <c r="G19" s="22"/>
      <c r="H19" s="68"/>
      <c r="I19" s="450"/>
      <c r="J19" s="450"/>
      <c r="K19" s="35"/>
      <c r="L19" s="36"/>
    </row>
    <row r="20" spans="2:12" ht="20.149999999999999" customHeight="1" x14ac:dyDescent="0.45">
      <c r="B20" s="34"/>
      <c r="C20" s="22"/>
      <c r="G20" s="22"/>
      <c r="H20" s="68"/>
      <c r="I20" s="450"/>
      <c r="J20" s="450"/>
      <c r="K20" s="35"/>
      <c r="L20" s="36"/>
    </row>
    <row r="21" spans="2:12" ht="20.149999999999999" customHeight="1" x14ac:dyDescent="0.45">
      <c r="B21" s="34"/>
      <c r="C21" s="22"/>
      <c r="G21" s="22"/>
      <c r="H21" s="68"/>
      <c r="I21" s="450"/>
      <c r="J21" s="450"/>
      <c r="K21" s="35"/>
      <c r="L21" s="36"/>
    </row>
    <row r="22" spans="2:12" ht="20.149999999999999" customHeight="1" x14ac:dyDescent="0.45">
      <c r="B22" s="34"/>
      <c r="C22" s="22"/>
      <c r="G22" s="22"/>
      <c r="H22" s="68"/>
      <c r="I22" s="450"/>
      <c r="J22" s="450"/>
      <c r="K22" s="35"/>
      <c r="L22" s="36"/>
    </row>
    <row r="23" spans="2:12" ht="20.149999999999999" customHeight="1" x14ac:dyDescent="0.45">
      <c r="B23" s="34"/>
      <c r="C23" s="22"/>
      <c r="G23" s="22"/>
      <c r="H23" s="68"/>
      <c r="I23" s="450"/>
      <c r="J23" s="450"/>
      <c r="K23" s="35"/>
      <c r="L23" s="36"/>
    </row>
    <row r="24" spans="2:12" ht="20.149999999999999" customHeight="1" x14ac:dyDescent="0.45">
      <c r="B24" s="34"/>
      <c r="C24" s="22"/>
      <c r="G24" s="22"/>
      <c r="H24" s="68"/>
      <c r="I24" s="450"/>
      <c r="J24" s="450"/>
      <c r="K24" s="35"/>
      <c r="L24" s="36"/>
    </row>
    <row r="25" spans="2:12" ht="20.149999999999999" customHeight="1" x14ac:dyDescent="0.45">
      <c r="B25" s="34"/>
      <c r="C25" s="22"/>
      <c r="G25" s="22"/>
      <c r="H25" s="68"/>
      <c r="I25" s="450"/>
      <c r="J25" s="450"/>
      <c r="K25" s="35"/>
      <c r="L25" s="36"/>
    </row>
    <row r="26" spans="2:12" ht="20.149999999999999" customHeight="1" x14ac:dyDescent="0.45">
      <c r="B26" s="34"/>
      <c r="C26" s="22"/>
      <c r="G26" s="22"/>
      <c r="H26" s="68"/>
      <c r="I26" s="450"/>
      <c r="J26" s="450"/>
      <c r="K26" s="35"/>
      <c r="L26" s="36"/>
    </row>
    <row r="27" spans="2:12" ht="20.149999999999999" customHeight="1" x14ac:dyDescent="0.45">
      <c r="B27" s="34"/>
      <c r="C27" s="22"/>
      <c r="G27" s="22"/>
      <c r="H27" s="68"/>
      <c r="I27" s="450"/>
      <c r="J27" s="450"/>
      <c r="K27" s="35"/>
      <c r="L27" s="36"/>
    </row>
    <row r="28" spans="2:12" ht="20.149999999999999" customHeight="1" x14ac:dyDescent="0.45">
      <c r="B28" s="34"/>
      <c r="C28" s="22"/>
      <c r="G28" s="22"/>
      <c r="H28" s="68"/>
      <c r="I28" s="450"/>
      <c r="J28" s="450"/>
      <c r="K28" s="35"/>
      <c r="L28" s="36"/>
    </row>
    <row r="29" spans="2:12" ht="20.149999999999999" customHeight="1" x14ac:dyDescent="0.45">
      <c r="B29" s="34"/>
      <c r="C29" s="22"/>
      <c r="G29" s="22"/>
      <c r="H29" s="68"/>
      <c r="I29" s="450"/>
      <c r="J29" s="450"/>
      <c r="K29" s="35"/>
      <c r="L29" s="36"/>
    </row>
    <row r="30" spans="2:12" ht="20.149999999999999" customHeight="1" x14ac:dyDescent="0.45">
      <c r="B30" s="34"/>
      <c r="C30" s="22"/>
      <c r="G30" s="22"/>
      <c r="H30" s="68"/>
      <c r="I30" s="450"/>
      <c r="J30" s="450"/>
      <c r="K30" s="35"/>
      <c r="L30" s="36"/>
    </row>
    <row r="31" spans="2:12" ht="20.149999999999999" customHeight="1" x14ac:dyDescent="0.45">
      <c r="B31" s="34"/>
      <c r="C31" s="22"/>
      <c r="D31" s="508"/>
      <c r="E31" s="508"/>
      <c r="F31" s="508"/>
      <c r="G31" s="22"/>
      <c r="H31" s="68"/>
      <c r="I31" s="68"/>
      <c r="J31" s="22"/>
      <c r="K31" s="35"/>
      <c r="L31" s="36"/>
    </row>
    <row r="32" spans="2:12" ht="20.149999999999999" customHeight="1" x14ac:dyDescent="0.45">
      <c r="B32" s="34"/>
      <c r="C32" s="22"/>
      <c r="D32" s="508"/>
      <c r="E32" s="508"/>
      <c r="F32" s="508"/>
      <c r="G32" s="22"/>
      <c r="H32" s="22"/>
      <c r="I32" s="22"/>
      <c r="J32" s="22"/>
      <c r="K32" s="35"/>
      <c r="L32" s="36"/>
    </row>
    <row r="33" spans="2:12" ht="20.149999999999999" customHeight="1" thickBot="1" x14ac:dyDescent="0.5">
      <c r="B33" s="37"/>
      <c r="C33" s="38"/>
      <c r="D33" s="509"/>
      <c r="E33" s="509"/>
      <c r="F33" s="509"/>
      <c r="G33" s="38"/>
      <c r="H33" s="38"/>
      <c r="I33" s="38"/>
      <c r="J33" s="38"/>
      <c r="K33" s="39"/>
      <c r="L33" s="40"/>
    </row>
    <row r="34" spans="2:12" ht="20.149999999999999" customHeight="1" thickBot="1" x14ac:dyDescent="0.5">
      <c r="B34" s="41"/>
      <c r="L34" s="42"/>
    </row>
    <row r="35" spans="2:12" ht="20.149999999999999" customHeight="1" x14ac:dyDescent="0.45">
      <c r="B35" s="11" t="s">
        <v>18</v>
      </c>
      <c r="C35" s="7"/>
      <c r="D35" s="7"/>
      <c r="E35" s="7"/>
      <c r="F35" s="7"/>
      <c r="G35" s="7"/>
      <c r="H35" s="7"/>
      <c r="I35" s="7"/>
      <c r="J35" s="510" t="s">
        <v>15</v>
      </c>
      <c r="K35" s="511"/>
      <c r="L35" s="43" t="e">
        <f>SUM(L13:L32)</f>
        <v>#N/A</v>
      </c>
    </row>
    <row r="36" spans="2:12" ht="20.149999999999999" customHeight="1" x14ac:dyDescent="0.45">
      <c r="B36" s="11" t="s">
        <v>19</v>
      </c>
      <c r="C36" s="7"/>
      <c r="D36" s="7"/>
      <c r="E36" s="7"/>
      <c r="F36" s="7"/>
      <c r="G36" s="7"/>
      <c r="H36" s="7"/>
      <c r="I36" s="7"/>
      <c r="J36" s="44" t="s">
        <v>22</v>
      </c>
      <c r="K36" s="45"/>
      <c r="L36" s="46" t="e">
        <f>L35*K36</f>
        <v>#N/A</v>
      </c>
    </row>
    <row r="37" spans="2:12" ht="20.149999999999999" customHeight="1" x14ac:dyDescent="0.45">
      <c r="B37" s="11" t="s">
        <v>20</v>
      </c>
      <c r="C37" s="7"/>
      <c r="D37" s="7"/>
      <c r="E37" s="7"/>
      <c r="F37" s="7"/>
      <c r="G37" s="7"/>
      <c r="H37" s="7"/>
      <c r="I37" s="7"/>
      <c r="J37" s="486" t="s">
        <v>21</v>
      </c>
      <c r="K37" s="487"/>
      <c r="L37" s="46" t="e">
        <f>L35-L36</f>
        <v>#N/A</v>
      </c>
    </row>
    <row r="38" spans="2:12" ht="20.149999999999999" customHeight="1" x14ac:dyDescent="0.45">
      <c r="B38" s="11" t="s">
        <v>24</v>
      </c>
      <c r="C38" s="7"/>
      <c r="D38" s="7"/>
      <c r="E38" s="7"/>
      <c r="F38" s="7"/>
      <c r="G38" s="7"/>
      <c r="H38" s="7"/>
      <c r="I38" s="7"/>
      <c r="J38" s="150" t="s">
        <v>17</v>
      </c>
      <c r="K38" s="151">
        <v>7.0000000000000007E-2</v>
      </c>
      <c r="L38" s="47" t="e">
        <f>L37*K38</f>
        <v>#N/A</v>
      </c>
    </row>
    <row r="39" spans="2:12" ht="20.149999999999999" customHeight="1" thickBot="1" x14ac:dyDescent="0.5">
      <c r="B39" s="11" t="s">
        <v>25</v>
      </c>
      <c r="C39" s="7"/>
      <c r="D39" s="7"/>
      <c r="E39" s="7"/>
      <c r="F39" s="7"/>
      <c r="G39" s="7"/>
      <c r="H39" s="7"/>
      <c r="I39" s="7"/>
      <c r="J39" s="488" t="s">
        <v>23</v>
      </c>
      <c r="K39" s="489"/>
      <c r="L39" s="48" t="e">
        <f>L37+L38</f>
        <v>#N/A</v>
      </c>
    </row>
    <row r="40" spans="2:12" ht="20.149999999999999" customHeight="1" x14ac:dyDescent="0.45">
      <c r="B40" s="11" t="s">
        <v>26</v>
      </c>
      <c r="C40" s="7"/>
      <c r="D40" s="7"/>
      <c r="E40" s="7"/>
      <c r="F40" s="7"/>
      <c r="G40" s="7"/>
      <c r="H40" s="7"/>
      <c r="I40" s="7"/>
      <c r="L40" s="42"/>
    </row>
    <row r="41" spans="2:12" ht="20.149999999999999" customHeight="1" x14ac:dyDescent="0.45">
      <c r="B41" s="41"/>
      <c r="L41" s="42"/>
    </row>
    <row r="42" spans="2:12" ht="20.149999999999999" customHeight="1" x14ac:dyDescent="0.45">
      <c r="B42" s="41"/>
      <c r="L42" s="42"/>
    </row>
    <row r="43" spans="2:12" ht="20.149999999999999" customHeight="1" x14ac:dyDescent="0.45">
      <c r="B43" s="41"/>
      <c r="L43" s="42"/>
    </row>
    <row r="44" spans="2:12" ht="20.149999999999999" customHeight="1" x14ac:dyDescent="0.45">
      <c r="B44" s="41"/>
      <c r="L44" s="42"/>
    </row>
    <row r="45" spans="2:12" ht="20.149999999999999" customHeight="1" x14ac:dyDescent="0.45">
      <c r="B45" s="49"/>
      <c r="C45" s="50"/>
      <c r="D45" s="50"/>
      <c r="J45" s="50"/>
      <c r="K45" s="50"/>
      <c r="L45" s="51"/>
    </row>
    <row r="46" spans="2:12" ht="20.149999999999999" customHeight="1" x14ac:dyDescent="0.45">
      <c r="B46" s="41" t="s">
        <v>27</v>
      </c>
      <c r="J46" s="24" t="s">
        <v>28</v>
      </c>
      <c r="L46" s="42"/>
    </row>
    <row r="47" spans="2:12" ht="19" thickBot="1" x14ac:dyDescent="0.5">
      <c r="B47" s="52"/>
      <c r="C47" s="53"/>
      <c r="D47" s="53"/>
      <c r="E47" s="53"/>
      <c r="F47" s="53"/>
      <c r="G47" s="53"/>
      <c r="H47" s="53"/>
      <c r="I47" s="53"/>
      <c r="J47" s="53"/>
      <c r="K47" s="53"/>
      <c r="L47" s="54"/>
    </row>
  </sheetData>
  <mergeCells count="39">
    <mergeCell ref="D33:F33"/>
    <mergeCell ref="J35:K35"/>
    <mergeCell ref="J37:K37"/>
    <mergeCell ref="J39:K39"/>
    <mergeCell ref="D32:F32"/>
    <mergeCell ref="I28:J28"/>
    <mergeCell ref="I29:J29"/>
    <mergeCell ref="I30:J30"/>
    <mergeCell ref="I21:J21"/>
    <mergeCell ref="I22:J22"/>
    <mergeCell ref="I23:J23"/>
    <mergeCell ref="I24:J24"/>
    <mergeCell ref="I25:J25"/>
    <mergeCell ref="D31:F31"/>
    <mergeCell ref="I20:J20"/>
    <mergeCell ref="K11:L11"/>
    <mergeCell ref="D13:F13"/>
    <mergeCell ref="I13:J13"/>
    <mergeCell ref="D14:F14"/>
    <mergeCell ref="I14:J14"/>
    <mergeCell ref="D15:F15"/>
    <mergeCell ref="I15:J15"/>
    <mergeCell ref="D16:F16"/>
    <mergeCell ref="I16:J16"/>
    <mergeCell ref="I17:J17"/>
    <mergeCell ref="I18:J18"/>
    <mergeCell ref="I19:J19"/>
    <mergeCell ref="I26:J26"/>
    <mergeCell ref="I27:J27"/>
    <mergeCell ref="K6:L6"/>
    <mergeCell ref="B7:D7"/>
    <mergeCell ref="F7:H11"/>
    <mergeCell ref="K7:L7"/>
    <mergeCell ref="B8:D8"/>
    <mergeCell ref="K8:L8"/>
    <mergeCell ref="B9:D9"/>
    <mergeCell ref="K9:L9"/>
    <mergeCell ref="B10:D10"/>
    <mergeCell ref="K10:L10"/>
  </mergeCells>
  <pageMargins left="0.70866141732283472" right="0.31496062992125984" top="2.1653543307086616" bottom="0" header="0.31496062992125984" footer="0.31496062992125984"/>
  <pageSetup paperSize="9" scale="76" orientation="portrait" verticalDpi="300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6312A3-CAAD-4821-B463-9FFEDC0ECC33}">
  <sheetPr codeName="Sheet170">
    <tabColor rgb="FFFFFF00"/>
    <pageSetUpPr fitToPage="1"/>
  </sheetPr>
  <dimension ref="B4:O47"/>
  <sheetViews>
    <sheetView topLeftCell="A4" workbookViewId="0">
      <selection activeCell="B4" sqref="B4:L47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4.54296875" style="24" customWidth="1"/>
    <col min="7" max="7" width="8.54296875" style="24" customWidth="1"/>
    <col min="8" max="8" width="12.54296875" style="24" customWidth="1"/>
    <col min="9" max="9" width="4.54296875" style="24" customWidth="1"/>
    <col min="10" max="10" width="15.54296875" style="24" customWidth="1"/>
    <col min="11" max="12" width="12.54296875" style="24" customWidth="1"/>
    <col min="13" max="16384" width="12.54296875" style="24"/>
  </cols>
  <sheetData>
    <row r="4" spans="2:15" x14ac:dyDescent="0.45">
      <c r="B4" s="23"/>
    </row>
    <row r="5" spans="2:15" ht="8.5" customHeight="1" thickBot="1" x14ac:dyDescent="0.5">
      <c r="B5" s="23"/>
    </row>
    <row r="6" spans="2:15" ht="18" customHeight="1" thickTop="1" thickBot="1" x14ac:dyDescent="0.5">
      <c r="B6" s="25" t="s">
        <v>9</v>
      </c>
      <c r="C6" s="25"/>
      <c r="D6" s="26"/>
      <c r="E6" s="26"/>
      <c r="F6" s="27" t="s">
        <v>10</v>
      </c>
      <c r="G6" s="28"/>
      <c r="H6" s="28" t="s">
        <v>200</v>
      </c>
      <c r="J6" s="29" t="s">
        <v>29</v>
      </c>
      <c r="K6" s="452">
        <v>201909322</v>
      </c>
      <c r="L6" s="453"/>
    </row>
    <row r="7" spans="2:15" ht="20.149999999999999" customHeight="1" x14ac:dyDescent="0.45">
      <c r="B7" s="454" t="s">
        <v>503</v>
      </c>
      <c r="C7" s="455"/>
      <c r="D7" s="456"/>
      <c r="E7" s="30"/>
      <c r="F7" s="457" t="str">
        <f>VLOOKUP(H6,'Delivery Location'!A$4:N$416,2,0)</f>
        <v>Koufu - Fruit                                             370 Alexandra Road #01-20/21 Anchor Point Shopping Ctr Singapore 159953                      (Fruit)</v>
      </c>
      <c r="G7" s="458"/>
      <c r="H7" s="459"/>
      <c r="J7" s="31" t="s">
        <v>11</v>
      </c>
      <c r="K7" s="551">
        <v>43725</v>
      </c>
      <c r="L7" s="472"/>
    </row>
    <row r="8" spans="2:15" ht="20.149999999999999" customHeight="1" x14ac:dyDescent="0.45">
      <c r="B8" s="468" t="s">
        <v>504</v>
      </c>
      <c r="C8" s="469"/>
      <c r="D8" s="470"/>
      <c r="E8" s="30"/>
      <c r="F8" s="460"/>
      <c r="G8" s="461"/>
      <c r="H8" s="462"/>
      <c r="J8" s="31" t="s">
        <v>171</v>
      </c>
      <c r="K8" s="471" t="s">
        <v>533</v>
      </c>
      <c r="L8" s="472"/>
    </row>
    <row r="9" spans="2:15" ht="20.149999999999999" customHeight="1" x14ac:dyDescent="0.45">
      <c r="B9" s="468" t="s">
        <v>505</v>
      </c>
      <c r="C9" s="469"/>
      <c r="D9" s="470"/>
      <c r="E9" s="30"/>
      <c r="F9" s="460"/>
      <c r="G9" s="461"/>
      <c r="H9" s="462"/>
      <c r="J9" s="31" t="s">
        <v>12</v>
      </c>
      <c r="K9" s="471" t="s">
        <v>14</v>
      </c>
      <c r="L9" s="472"/>
    </row>
    <row r="10" spans="2:15" ht="20.149999999999999" customHeight="1" x14ac:dyDescent="0.45">
      <c r="B10" s="468" t="s">
        <v>571</v>
      </c>
      <c r="C10" s="469"/>
      <c r="D10" s="470"/>
      <c r="E10" s="30"/>
      <c r="F10" s="460"/>
      <c r="G10" s="461"/>
      <c r="H10" s="462"/>
      <c r="J10" s="31" t="s">
        <v>30</v>
      </c>
      <c r="K10" s="471" t="s">
        <v>16</v>
      </c>
      <c r="L10" s="472"/>
    </row>
    <row r="11" spans="2:15" ht="18" customHeight="1" thickBot="1" x14ac:dyDescent="0.5">
      <c r="B11" s="55"/>
      <c r="C11" s="56"/>
      <c r="D11" s="57"/>
      <c r="E11" s="26"/>
      <c r="F11" s="463"/>
      <c r="G11" s="464"/>
      <c r="H11" s="465"/>
      <c r="J11" s="32" t="s">
        <v>13</v>
      </c>
      <c r="K11" s="476"/>
      <c r="L11" s="477"/>
    </row>
    <row r="12" spans="2:15" ht="19" thickBot="1" x14ac:dyDescent="0.5">
      <c r="J12" s="22"/>
    </row>
    <row r="13" spans="2:15" ht="30" customHeight="1" thickBot="1" x14ac:dyDescent="0.5">
      <c r="B13" s="8" t="s">
        <v>2</v>
      </c>
      <c r="C13" s="9" t="s">
        <v>3</v>
      </c>
      <c r="D13" s="478" t="s">
        <v>4</v>
      </c>
      <c r="E13" s="483"/>
      <c r="F13" s="479"/>
      <c r="G13" s="19" t="s">
        <v>620</v>
      </c>
      <c r="H13" s="9" t="s">
        <v>31</v>
      </c>
      <c r="I13" s="478" t="s">
        <v>60</v>
      </c>
      <c r="J13" s="479"/>
      <c r="K13" s="9" t="s">
        <v>6</v>
      </c>
      <c r="L13" s="10" t="s">
        <v>7</v>
      </c>
      <c r="M13" s="33"/>
      <c r="N13" s="33"/>
      <c r="O13" s="33"/>
    </row>
    <row r="14" spans="2:15" ht="20.149999999999999" customHeight="1" x14ac:dyDescent="0.45">
      <c r="B14" s="34"/>
      <c r="C14" s="22" t="s">
        <v>630</v>
      </c>
      <c r="D14" s="508" t="e">
        <f>VLOOKUP(C14,'Sales Master'!B$3:D$499,2,)</f>
        <v>#N/A</v>
      </c>
      <c r="E14" s="508"/>
      <c r="F14" s="508"/>
      <c r="G14" s="22">
        <v>2</v>
      </c>
      <c r="H14" s="68" t="str">
        <f>VLOOKUP(C14,'[2]Sales Master'!B$3:F$736,5,0)</f>
        <v>1 kg</v>
      </c>
      <c r="I14" s="481" t="str">
        <f>VLOOKUP(C14,'[2]Sales Master'!B$3:E$736,4,0)</f>
        <v>-</v>
      </c>
      <c r="J14" s="481"/>
      <c r="K14" s="35" t="e">
        <f>VLOOKUP(C14,'Sales Master'!$B$3:$J$583,9,0)</f>
        <v>#N/A</v>
      </c>
      <c r="L14" s="36" t="e">
        <f>K14*G14</f>
        <v>#N/A</v>
      </c>
    </row>
    <row r="15" spans="2:15" ht="20.149999999999999" customHeight="1" x14ac:dyDescent="0.45">
      <c r="B15" s="34"/>
      <c r="C15" s="22" t="s">
        <v>428</v>
      </c>
      <c r="D15" s="508" t="e">
        <f>VLOOKUP(C15,'Sales Master'!B$3:D$499,2,)</f>
        <v>#N/A</v>
      </c>
      <c r="E15" s="508"/>
      <c r="F15" s="508"/>
      <c r="G15" s="22">
        <v>1</v>
      </c>
      <c r="H15" s="68" t="str">
        <f>VLOOKUP(C15,'[2]Sales Master'!B$3:F$736,5,0)</f>
        <v>3 KGS/PKT</v>
      </c>
      <c r="I15" s="481" t="str">
        <f>VLOOKUP(C15,'[2]Sales Master'!B$3:E$736,4,0)</f>
        <v>-</v>
      </c>
      <c r="J15" s="481"/>
      <c r="K15" s="35" t="e">
        <f>VLOOKUP(C15,'Sales Master'!$B$3:$J$583,9,0)</f>
        <v>#N/A</v>
      </c>
      <c r="L15" s="36" t="e">
        <f>K15*G15</f>
        <v>#N/A</v>
      </c>
    </row>
    <row r="16" spans="2:15" ht="20.149999999999999" customHeight="1" x14ac:dyDescent="0.45">
      <c r="B16" s="34"/>
      <c r="C16" s="22" t="s">
        <v>437</v>
      </c>
      <c r="D16" s="508" t="e">
        <f>VLOOKUP(C16,'Sales Master'!B$3:D$499,2,)</f>
        <v>#N/A</v>
      </c>
      <c r="E16" s="508"/>
      <c r="F16" s="508"/>
      <c r="G16" s="22">
        <v>1</v>
      </c>
      <c r="H16" s="68" t="str">
        <f>VLOOKUP(C16,'[2]Sales Master'!B$3:F$736,5,0)</f>
        <v>(565gm x 12)/箱</v>
      </c>
      <c r="I16" s="481" t="str">
        <f>VLOOKUP(C16,'[2]Sales Master'!B$3:E$736,4,0)</f>
        <v>MiLi</v>
      </c>
      <c r="J16" s="481"/>
      <c r="K16" s="35" t="e">
        <f>VLOOKUP(C16,'Sales Master'!$B$3:$J$583,9,0)</f>
        <v>#N/A</v>
      </c>
      <c r="L16" s="36" t="e">
        <f>K16*G16</f>
        <v>#N/A</v>
      </c>
    </row>
    <row r="17" spans="2:12" ht="20.149999999999999" customHeight="1" x14ac:dyDescent="0.45">
      <c r="B17" s="34"/>
      <c r="C17" s="22" t="s">
        <v>400</v>
      </c>
      <c r="D17" s="24" t="e">
        <f>VLOOKUP(C17,'Sales Master'!B$3:D$499,2,)</f>
        <v>#N/A</v>
      </c>
      <c r="G17" s="22">
        <v>2</v>
      </c>
      <c r="H17" s="68" t="e">
        <f>VLOOKUP(C17,'Sales Master'!$B$3:$E$590,4,0)</f>
        <v>#N/A</v>
      </c>
      <c r="I17" s="450" t="e">
        <f>VLOOKUP(C17,'Sales Master'!$B$3:F$590,5,0)</f>
        <v>#N/A</v>
      </c>
      <c r="J17" s="450"/>
      <c r="K17" s="35" t="e">
        <f>VLOOKUP(C17,'Sales Master'!$B$3:$J$583,9,0)</f>
        <v>#N/A</v>
      </c>
      <c r="L17" s="36" t="e">
        <f t="shared" ref="L17:L23" si="0">K17*G17</f>
        <v>#N/A</v>
      </c>
    </row>
    <row r="18" spans="2:12" ht="20.149999999999999" customHeight="1" x14ac:dyDescent="0.45">
      <c r="B18" s="34"/>
      <c r="C18" s="22" t="s">
        <v>405</v>
      </c>
      <c r="D18" s="24" t="e">
        <f>VLOOKUP(C18,'Sales Master'!B$3:D$499,2,)</f>
        <v>#N/A</v>
      </c>
      <c r="G18" s="22">
        <v>2</v>
      </c>
      <c r="H18" s="68" t="e">
        <f>VLOOKUP(C18,'Sales Master'!$B$3:$E$590,4,0)</f>
        <v>#N/A</v>
      </c>
      <c r="I18" s="450" t="e">
        <f>VLOOKUP(C18,'Sales Master'!$B$3:F$590,5,0)</f>
        <v>#N/A</v>
      </c>
      <c r="J18" s="450"/>
      <c r="K18" s="35" t="e">
        <f>VLOOKUP(C18,'Sales Master'!$B$3:$J$583,9,0)</f>
        <v>#N/A</v>
      </c>
      <c r="L18" s="36" t="e">
        <f t="shared" si="0"/>
        <v>#N/A</v>
      </c>
    </row>
    <row r="19" spans="2:12" ht="20.149999999999999" customHeight="1" x14ac:dyDescent="0.45">
      <c r="B19" s="34"/>
      <c r="C19" s="22" t="s">
        <v>407</v>
      </c>
      <c r="D19" s="24" t="e">
        <f>VLOOKUP(C19,'Sales Master'!B$3:D$499,2,)</f>
        <v>#N/A</v>
      </c>
      <c r="G19" s="22">
        <v>1</v>
      </c>
      <c r="H19" s="68" t="e">
        <f>VLOOKUP(C19,'Sales Master'!$B$3:$E$590,4,0)</f>
        <v>#N/A</v>
      </c>
      <c r="I19" s="450" t="e">
        <f>VLOOKUP(C19,'Sales Master'!$B$3:F$590,5,0)</f>
        <v>#N/A</v>
      </c>
      <c r="J19" s="450"/>
      <c r="K19" s="35" t="e">
        <f>VLOOKUP(C19,'Sales Master'!$B$3:$J$583,9,0)</f>
        <v>#N/A</v>
      </c>
      <c r="L19" s="36" t="e">
        <f t="shared" si="0"/>
        <v>#N/A</v>
      </c>
    </row>
    <row r="20" spans="2:12" ht="20.149999999999999" customHeight="1" x14ac:dyDescent="0.45">
      <c r="B20" s="34"/>
      <c r="C20" s="22" t="s">
        <v>518</v>
      </c>
      <c r="D20" s="24" t="e">
        <f>VLOOKUP(C20,'Sales Master'!B$3:D$499,2,)</f>
        <v>#N/A</v>
      </c>
      <c r="G20" s="22">
        <v>5</v>
      </c>
      <c r="H20" s="68" t="e">
        <f>VLOOKUP(C20,'Sales Master'!$B$3:$E$590,4,0)</f>
        <v>#N/A</v>
      </c>
      <c r="I20" s="450" t="e">
        <f>VLOOKUP(C20,'Sales Master'!$B$3:F$590,5,0)</f>
        <v>#N/A</v>
      </c>
      <c r="J20" s="450"/>
      <c r="K20" s="35" t="e">
        <f>VLOOKUP(C20,'Sales Master'!$B$3:$J$583,9,0)</f>
        <v>#N/A</v>
      </c>
      <c r="L20" s="36" t="e">
        <f t="shared" si="0"/>
        <v>#N/A</v>
      </c>
    </row>
    <row r="21" spans="2:12" ht="20.149999999999999" customHeight="1" x14ac:dyDescent="0.45">
      <c r="B21" s="34"/>
      <c r="C21" s="22" t="s">
        <v>502</v>
      </c>
      <c r="D21" s="24" t="e">
        <f>VLOOKUP(C21,'Sales Master'!B$3:D$499,2,)</f>
        <v>#N/A</v>
      </c>
      <c r="G21" s="22">
        <v>5</v>
      </c>
      <c r="H21" s="68" t="e">
        <f>VLOOKUP(C21,'Sales Master'!$B$3:$E$590,4,0)</f>
        <v>#N/A</v>
      </c>
      <c r="I21" s="450" t="e">
        <f>VLOOKUP(C21,'Sales Master'!$B$3:F$590,5,0)</f>
        <v>#N/A</v>
      </c>
      <c r="J21" s="450"/>
      <c r="K21" s="35" t="e">
        <f>VLOOKUP(C21,'Sales Master'!$B$3:$J$583,9,0)</f>
        <v>#N/A</v>
      </c>
      <c r="L21" s="36" t="e">
        <f t="shared" si="0"/>
        <v>#N/A</v>
      </c>
    </row>
    <row r="22" spans="2:12" ht="20.149999999999999" customHeight="1" x14ac:dyDescent="0.45">
      <c r="B22" s="34"/>
      <c r="C22" s="22" t="s">
        <v>520</v>
      </c>
      <c r="D22" s="24" t="e">
        <f>VLOOKUP(C22,'Sales Master'!B$3:D$499,2,)</f>
        <v>#N/A</v>
      </c>
      <c r="G22" s="22">
        <v>2</v>
      </c>
      <c r="H22" s="68" t="e">
        <f>VLOOKUP(C22,'Sales Master'!$B$3:$E$590,4,0)</f>
        <v>#N/A</v>
      </c>
      <c r="I22" s="450" t="e">
        <f>VLOOKUP(C22,'Sales Master'!$B$3:F$590,5,0)</f>
        <v>#N/A</v>
      </c>
      <c r="J22" s="450"/>
      <c r="K22" s="35" t="e">
        <f>VLOOKUP(C22,'Sales Master'!$B$3:$J$583,9,0)</f>
        <v>#N/A</v>
      </c>
      <c r="L22" s="36" t="e">
        <f t="shared" si="0"/>
        <v>#N/A</v>
      </c>
    </row>
    <row r="23" spans="2:12" ht="20.149999999999999" customHeight="1" x14ac:dyDescent="0.45">
      <c r="B23" s="34"/>
      <c r="C23" s="22" t="s">
        <v>453</v>
      </c>
      <c r="D23" s="24" t="e">
        <f>VLOOKUP(C23,'Sales Master'!B$3:D$499,2,)</f>
        <v>#N/A</v>
      </c>
      <c r="G23" s="22">
        <v>1</v>
      </c>
      <c r="H23" s="68" t="e">
        <f>VLOOKUP(C23,'Sales Master'!$B$3:$E$590,4,0)</f>
        <v>#N/A</v>
      </c>
      <c r="I23" s="450" t="e">
        <f>VLOOKUP(C23,'Sales Master'!$B$3:F$590,5,0)</f>
        <v>#N/A</v>
      </c>
      <c r="J23" s="450"/>
      <c r="K23" s="35" t="e">
        <f>VLOOKUP(C23,'Sales Master'!$B$3:$J$583,9,0)</f>
        <v>#N/A</v>
      </c>
      <c r="L23" s="36" t="e">
        <f t="shared" si="0"/>
        <v>#N/A</v>
      </c>
    </row>
    <row r="24" spans="2:12" ht="20.149999999999999" customHeight="1" x14ac:dyDescent="0.45">
      <c r="B24" s="34"/>
      <c r="C24" s="22"/>
      <c r="G24" s="22"/>
      <c r="H24" s="68"/>
      <c r="I24" s="450"/>
      <c r="J24" s="450"/>
      <c r="K24" s="35"/>
      <c r="L24" s="36"/>
    </row>
    <row r="25" spans="2:12" ht="20.149999999999999" customHeight="1" x14ac:dyDescent="0.45">
      <c r="B25" s="34"/>
      <c r="C25" s="22"/>
      <c r="G25" s="22"/>
      <c r="H25" s="68"/>
      <c r="I25" s="450"/>
      <c r="J25" s="450"/>
      <c r="K25" s="35"/>
      <c r="L25" s="36"/>
    </row>
    <row r="26" spans="2:12" ht="20.149999999999999" customHeight="1" x14ac:dyDescent="0.45">
      <c r="B26" s="34"/>
      <c r="C26" s="22"/>
      <c r="G26" s="22"/>
      <c r="H26" s="68"/>
      <c r="I26" s="450"/>
      <c r="J26" s="450"/>
      <c r="K26" s="35"/>
      <c r="L26" s="36"/>
    </row>
    <row r="27" spans="2:12" ht="20.149999999999999" customHeight="1" x14ac:dyDescent="0.45">
      <c r="B27" s="34"/>
      <c r="C27" s="22"/>
      <c r="G27" s="22"/>
      <c r="H27" s="68"/>
      <c r="I27" s="450"/>
      <c r="J27" s="450"/>
      <c r="K27" s="35"/>
      <c r="L27" s="36"/>
    </row>
    <row r="28" spans="2:12" ht="20.149999999999999" customHeight="1" x14ac:dyDescent="0.45">
      <c r="B28" s="34"/>
      <c r="C28" s="22"/>
      <c r="G28" s="22"/>
      <c r="H28" s="68"/>
      <c r="I28" s="450"/>
      <c r="J28" s="450"/>
      <c r="K28" s="35"/>
      <c r="L28" s="36"/>
    </row>
    <row r="29" spans="2:12" ht="20.149999999999999" customHeight="1" x14ac:dyDescent="0.45">
      <c r="B29" s="34"/>
      <c r="C29" s="22"/>
      <c r="G29" s="22"/>
      <c r="H29" s="68"/>
      <c r="I29" s="450"/>
      <c r="J29" s="450"/>
      <c r="K29" s="35"/>
      <c r="L29" s="36"/>
    </row>
    <row r="30" spans="2:12" ht="20.149999999999999" customHeight="1" x14ac:dyDescent="0.45">
      <c r="B30" s="34"/>
      <c r="C30" s="22"/>
      <c r="G30" s="22"/>
      <c r="H30" s="68"/>
      <c r="I30" s="450"/>
      <c r="J30" s="450"/>
      <c r="K30" s="35"/>
      <c r="L30" s="36"/>
    </row>
    <row r="31" spans="2:12" ht="20.149999999999999" customHeight="1" x14ac:dyDescent="0.45">
      <c r="B31" s="34"/>
      <c r="C31" s="22"/>
      <c r="D31" s="508"/>
      <c r="E31" s="508"/>
      <c r="F31" s="508"/>
      <c r="G31" s="22"/>
      <c r="H31" s="68"/>
      <c r="I31" s="68"/>
      <c r="J31" s="22"/>
      <c r="K31" s="35"/>
      <c r="L31" s="36"/>
    </row>
    <row r="32" spans="2:12" ht="20.149999999999999" customHeight="1" x14ac:dyDescent="0.45">
      <c r="B32" s="34"/>
      <c r="C32" s="22"/>
      <c r="D32" s="508"/>
      <c r="E32" s="508"/>
      <c r="F32" s="508"/>
      <c r="G32" s="22"/>
      <c r="H32" s="22"/>
      <c r="I32" s="22"/>
      <c r="J32" s="22"/>
      <c r="K32" s="35"/>
      <c r="L32" s="36"/>
    </row>
    <row r="33" spans="2:12" ht="20.149999999999999" customHeight="1" thickBot="1" x14ac:dyDescent="0.5">
      <c r="B33" s="37"/>
      <c r="C33" s="38"/>
      <c r="D33" s="509"/>
      <c r="E33" s="509"/>
      <c r="F33" s="509"/>
      <c r="G33" s="38"/>
      <c r="H33" s="38"/>
      <c r="I33" s="38"/>
      <c r="J33" s="38"/>
      <c r="K33" s="39"/>
      <c r="L33" s="40"/>
    </row>
    <row r="34" spans="2:12" ht="20.149999999999999" customHeight="1" thickBot="1" x14ac:dyDescent="0.5">
      <c r="B34" s="41"/>
      <c r="L34" s="42"/>
    </row>
    <row r="35" spans="2:12" ht="20.149999999999999" customHeight="1" x14ac:dyDescent="0.45">
      <c r="B35" s="11" t="s">
        <v>18</v>
      </c>
      <c r="C35" s="7"/>
      <c r="D35" s="7"/>
      <c r="E35" s="7"/>
      <c r="F35" s="7"/>
      <c r="G35" s="7"/>
      <c r="H35" s="7"/>
      <c r="I35" s="7"/>
      <c r="J35" s="510" t="s">
        <v>15</v>
      </c>
      <c r="K35" s="511"/>
      <c r="L35" s="43" t="e">
        <f>SUM(L13:L32)</f>
        <v>#N/A</v>
      </c>
    </row>
    <row r="36" spans="2:12" ht="20.149999999999999" customHeight="1" x14ac:dyDescent="0.45">
      <c r="B36" s="11" t="s">
        <v>19</v>
      </c>
      <c r="C36" s="7"/>
      <c r="D36" s="7"/>
      <c r="E36" s="7"/>
      <c r="F36" s="7"/>
      <c r="G36" s="7"/>
      <c r="H36" s="7"/>
      <c r="I36" s="7"/>
      <c r="J36" s="44" t="s">
        <v>22</v>
      </c>
      <c r="K36" s="45"/>
      <c r="L36" s="46" t="e">
        <f>L35*K36</f>
        <v>#N/A</v>
      </c>
    </row>
    <row r="37" spans="2:12" ht="20.149999999999999" customHeight="1" x14ac:dyDescent="0.45">
      <c r="B37" s="11" t="s">
        <v>20</v>
      </c>
      <c r="C37" s="7"/>
      <c r="D37" s="7"/>
      <c r="E37" s="7"/>
      <c r="F37" s="7"/>
      <c r="G37" s="7"/>
      <c r="H37" s="7"/>
      <c r="I37" s="7"/>
      <c r="J37" s="486" t="s">
        <v>21</v>
      </c>
      <c r="K37" s="487"/>
      <c r="L37" s="46" t="e">
        <f>L35-L36</f>
        <v>#N/A</v>
      </c>
    </row>
    <row r="38" spans="2:12" ht="20.149999999999999" customHeight="1" x14ac:dyDescent="0.45">
      <c r="B38" s="11" t="s">
        <v>24</v>
      </c>
      <c r="C38" s="7"/>
      <c r="D38" s="7"/>
      <c r="E38" s="7"/>
      <c r="F38" s="7"/>
      <c r="G38" s="7"/>
      <c r="H38" s="7"/>
      <c r="I38" s="7"/>
      <c r="J38" s="150" t="s">
        <v>17</v>
      </c>
      <c r="K38" s="151">
        <v>7.0000000000000007E-2</v>
      </c>
      <c r="L38" s="47" t="e">
        <f>L37*K38</f>
        <v>#N/A</v>
      </c>
    </row>
    <row r="39" spans="2:12" ht="20.149999999999999" customHeight="1" thickBot="1" x14ac:dyDescent="0.5">
      <c r="B39" s="11" t="s">
        <v>25</v>
      </c>
      <c r="C39" s="7"/>
      <c r="D39" s="7"/>
      <c r="E39" s="7"/>
      <c r="F39" s="7"/>
      <c r="G39" s="7"/>
      <c r="H39" s="7"/>
      <c r="I39" s="7"/>
      <c r="J39" s="488" t="s">
        <v>23</v>
      </c>
      <c r="K39" s="489"/>
      <c r="L39" s="48" t="e">
        <f>L37+L38</f>
        <v>#N/A</v>
      </c>
    </row>
    <row r="40" spans="2:12" ht="20.149999999999999" customHeight="1" x14ac:dyDescent="0.45">
      <c r="B40" s="11" t="s">
        <v>26</v>
      </c>
      <c r="C40" s="7"/>
      <c r="D40" s="7"/>
      <c r="E40" s="7"/>
      <c r="F40" s="7"/>
      <c r="G40" s="7"/>
      <c r="H40" s="7"/>
      <c r="I40" s="7"/>
      <c r="L40" s="42"/>
    </row>
    <row r="41" spans="2:12" ht="20.149999999999999" customHeight="1" x14ac:dyDescent="0.45">
      <c r="B41" s="41"/>
      <c r="L41" s="42"/>
    </row>
    <row r="42" spans="2:12" ht="20.149999999999999" customHeight="1" x14ac:dyDescent="0.45">
      <c r="B42" s="41"/>
      <c r="L42" s="42"/>
    </row>
    <row r="43" spans="2:12" ht="20.149999999999999" customHeight="1" x14ac:dyDescent="0.45">
      <c r="B43" s="41"/>
      <c r="L43" s="42"/>
    </row>
    <row r="44" spans="2:12" ht="20.149999999999999" customHeight="1" x14ac:dyDescent="0.45">
      <c r="B44" s="41"/>
      <c r="L44" s="42"/>
    </row>
    <row r="45" spans="2:12" ht="20.149999999999999" customHeight="1" x14ac:dyDescent="0.45">
      <c r="B45" s="49"/>
      <c r="C45" s="50"/>
      <c r="D45" s="50"/>
      <c r="J45" s="50"/>
      <c r="K45" s="50"/>
      <c r="L45" s="51"/>
    </row>
    <row r="46" spans="2:12" ht="20.149999999999999" customHeight="1" x14ac:dyDescent="0.45">
      <c r="B46" s="41" t="s">
        <v>27</v>
      </c>
      <c r="J46" s="24" t="s">
        <v>28</v>
      </c>
      <c r="L46" s="42"/>
    </row>
    <row r="47" spans="2:12" ht="19" thickBot="1" x14ac:dyDescent="0.5">
      <c r="B47" s="52"/>
      <c r="C47" s="53"/>
      <c r="D47" s="53"/>
      <c r="E47" s="53"/>
      <c r="F47" s="53"/>
      <c r="G47" s="53"/>
      <c r="H47" s="53"/>
      <c r="I47" s="53"/>
      <c r="J47" s="53"/>
      <c r="K47" s="53"/>
      <c r="L47" s="54"/>
    </row>
  </sheetData>
  <mergeCells count="39">
    <mergeCell ref="D33:F33"/>
    <mergeCell ref="J35:K35"/>
    <mergeCell ref="J37:K37"/>
    <mergeCell ref="J39:K39"/>
    <mergeCell ref="D32:F32"/>
    <mergeCell ref="I28:J28"/>
    <mergeCell ref="I29:J29"/>
    <mergeCell ref="I30:J30"/>
    <mergeCell ref="I21:J21"/>
    <mergeCell ref="I22:J22"/>
    <mergeCell ref="I23:J23"/>
    <mergeCell ref="I24:J24"/>
    <mergeCell ref="I25:J25"/>
    <mergeCell ref="D31:F31"/>
    <mergeCell ref="I20:J20"/>
    <mergeCell ref="K11:L11"/>
    <mergeCell ref="D13:F13"/>
    <mergeCell ref="I13:J13"/>
    <mergeCell ref="D14:F14"/>
    <mergeCell ref="I14:J14"/>
    <mergeCell ref="D15:F15"/>
    <mergeCell ref="I15:J15"/>
    <mergeCell ref="D16:F16"/>
    <mergeCell ref="I16:J16"/>
    <mergeCell ref="I17:J17"/>
    <mergeCell ref="I18:J18"/>
    <mergeCell ref="I19:J19"/>
    <mergeCell ref="I26:J26"/>
    <mergeCell ref="I27:J27"/>
    <mergeCell ref="K6:L6"/>
    <mergeCell ref="B7:D7"/>
    <mergeCell ref="F7:H11"/>
    <mergeCell ref="K7:L7"/>
    <mergeCell ref="B8:D8"/>
    <mergeCell ref="K8:L8"/>
    <mergeCell ref="B9:D9"/>
    <mergeCell ref="K9:L9"/>
    <mergeCell ref="B10:D10"/>
    <mergeCell ref="K10:L10"/>
  </mergeCells>
  <pageMargins left="0.70866141732283472" right="0.31496062992125984" top="2.1653543307086616" bottom="0" header="0.31496062992125984" footer="0.31496062992125984"/>
  <pageSetup paperSize="9" scale="76" orientation="portrait" verticalDpi="300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8EC0BE-519B-4A55-B2CB-F26FAED7F707}">
  <sheetPr codeName="Sheet171">
    <tabColor rgb="FFFFFF00"/>
    <pageSetUpPr fitToPage="1"/>
  </sheetPr>
  <dimension ref="B4:O47"/>
  <sheetViews>
    <sheetView topLeftCell="A4" workbookViewId="0">
      <selection activeCell="B4" sqref="B4:L47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4.54296875" style="24" customWidth="1"/>
    <col min="7" max="7" width="8.54296875" style="24" customWidth="1"/>
    <col min="8" max="8" width="12.54296875" style="24" customWidth="1"/>
    <col min="9" max="9" width="4.54296875" style="24" customWidth="1"/>
    <col min="10" max="10" width="15.54296875" style="24" customWidth="1"/>
    <col min="11" max="12" width="12.54296875" style="24" customWidth="1"/>
    <col min="13" max="16384" width="12.54296875" style="24"/>
  </cols>
  <sheetData>
    <row r="4" spans="2:15" x14ac:dyDescent="0.45">
      <c r="B4" s="23"/>
    </row>
    <row r="5" spans="2:15" ht="8.5" customHeight="1" thickBot="1" x14ac:dyDescent="0.5">
      <c r="B5" s="23"/>
    </row>
    <row r="6" spans="2:15" ht="18" customHeight="1" thickTop="1" thickBot="1" x14ac:dyDescent="0.5">
      <c r="B6" s="25" t="s">
        <v>9</v>
      </c>
      <c r="C6" s="25"/>
      <c r="D6" s="26"/>
      <c r="E6" s="26"/>
      <c r="F6" s="27" t="s">
        <v>10</v>
      </c>
      <c r="G6" s="28"/>
      <c r="H6" s="28" t="s">
        <v>201</v>
      </c>
      <c r="J6" s="29" t="s">
        <v>29</v>
      </c>
      <c r="K6" s="452">
        <v>201909322</v>
      </c>
      <c r="L6" s="453"/>
    </row>
    <row r="7" spans="2:15" ht="20.149999999999999" customHeight="1" x14ac:dyDescent="0.45">
      <c r="B7" s="454" t="s">
        <v>503</v>
      </c>
      <c r="C7" s="455"/>
      <c r="D7" s="456"/>
      <c r="E7" s="30"/>
      <c r="F7" s="457" t="str">
        <f>VLOOKUP(H6,'Delivery Location'!A$4:N$416,2,0)</f>
        <v xml:space="preserve">Koufu - Dessert                                        370 Alexandra Road #01-20/21 Anchor Point Shopping Ctr Singapore 159953                      </v>
      </c>
      <c r="G7" s="458"/>
      <c r="H7" s="459"/>
      <c r="J7" s="31" t="s">
        <v>11</v>
      </c>
      <c r="K7" s="551">
        <v>43725</v>
      </c>
      <c r="L7" s="472"/>
    </row>
    <row r="8" spans="2:15" ht="20.149999999999999" customHeight="1" x14ac:dyDescent="0.45">
      <c r="B8" s="468" t="s">
        <v>504</v>
      </c>
      <c r="C8" s="469"/>
      <c r="D8" s="470"/>
      <c r="E8" s="30"/>
      <c r="F8" s="460"/>
      <c r="G8" s="461"/>
      <c r="H8" s="462"/>
      <c r="J8" s="31" t="s">
        <v>171</v>
      </c>
      <c r="K8" s="471" t="s">
        <v>533</v>
      </c>
      <c r="L8" s="472"/>
    </row>
    <row r="9" spans="2:15" ht="20.149999999999999" customHeight="1" x14ac:dyDescent="0.45">
      <c r="B9" s="468" t="s">
        <v>505</v>
      </c>
      <c r="C9" s="469"/>
      <c r="D9" s="470"/>
      <c r="E9" s="30"/>
      <c r="F9" s="460"/>
      <c r="G9" s="461"/>
      <c r="H9" s="462"/>
      <c r="J9" s="31" t="s">
        <v>12</v>
      </c>
      <c r="K9" s="471" t="s">
        <v>14</v>
      </c>
      <c r="L9" s="472"/>
    </row>
    <row r="10" spans="2:15" ht="20.149999999999999" customHeight="1" x14ac:dyDescent="0.45">
      <c r="B10" s="468" t="s">
        <v>571</v>
      </c>
      <c r="C10" s="469"/>
      <c r="D10" s="470"/>
      <c r="E10" s="30"/>
      <c r="F10" s="460"/>
      <c r="G10" s="461"/>
      <c r="H10" s="462"/>
      <c r="J10" s="31" t="s">
        <v>30</v>
      </c>
      <c r="K10" s="471" t="s">
        <v>16</v>
      </c>
      <c r="L10" s="472"/>
    </row>
    <row r="11" spans="2:15" ht="18" customHeight="1" thickBot="1" x14ac:dyDescent="0.5">
      <c r="B11" s="55"/>
      <c r="C11" s="56"/>
      <c r="D11" s="57"/>
      <c r="E11" s="26"/>
      <c r="F11" s="463"/>
      <c r="G11" s="464"/>
      <c r="H11" s="465"/>
      <c r="J11" s="32" t="s">
        <v>13</v>
      </c>
      <c r="K11" s="476"/>
      <c r="L11" s="477"/>
    </row>
    <row r="12" spans="2:15" ht="19" thickBot="1" x14ac:dyDescent="0.5">
      <c r="J12" s="22"/>
    </row>
    <row r="13" spans="2:15" ht="30" customHeight="1" thickBot="1" x14ac:dyDescent="0.5">
      <c r="B13" s="8" t="s">
        <v>2</v>
      </c>
      <c r="C13" s="9" t="s">
        <v>3</v>
      </c>
      <c r="D13" s="478" t="s">
        <v>4</v>
      </c>
      <c r="E13" s="483"/>
      <c r="F13" s="479"/>
      <c r="G13" s="19" t="s">
        <v>620</v>
      </c>
      <c r="H13" s="9" t="s">
        <v>31</v>
      </c>
      <c r="I13" s="478" t="s">
        <v>60</v>
      </c>
      <c r="J13" s="479"/>
      <c r="K13" s="9" t="s">
        <v>6</v>
      </c>
      <c r="L13" s="10" t="s">
        <v>7</v>
      </c>
      <c r="M13" s="33"/>
      <c r="N13" s="33"/>
      <c r="O13" s="33"/>
    </row>
    <row r="14" spans="2:15" ht="20.149999999999999" customHeight="1" x14ac:dyDescent="0.45">
      <c r="B14" s="34"/>
      <c r="C14" s="22" t="s">
        <v>630</v>
      </c>
      <c r="D14" s="508" t="e">
        <f>VLOOKUP(C14,'Sales Master'!B$3:D$499,2,)</f>
        <v>#N/A</v>
      </c>
      <c r="E14" s="508"/>
      <c r="F14" s="508"/>
      <c r="G14" s="22">
        <v>2</v>
      </c>
      <c r="H14" s="68" t="str">
        <f>VLOOKUP(C14,'[2]Sales Master'!B$3:F$736,5,0)</f>
        <v>1 kg</v>
      </c>
      <c r="I14" s="481" t="str">
        <f>VLOOKUP(C14,'[2]Sales Master'!B$3:E$736,4,0)</f>
        <v>-</v>
      </c>
      <c r="J14" s="481"/>
      <c r="K14" s="35" t="e">
        <f>VLOOKUP(C14,'Sales Master'!$B$3:$J$583,9,0)</f>
        <v>#N/A</v>
      </c>
      <c r="L14" s="36" t="e">
        <f>K14*G14</f>
        <v>#N/A</v>
      </c>
    </row>
    <row r="15" spans="2:15" ht="20.149999999999999" customHeight="1" x14ac:dyDescent="0.45">
      <c r="B15" s="34"/>
      <c r="C15" s="22" t="s">
        <v>428</v>
      </c>
      <c r="D15" s="508" t="e">
        <f>VLOOKUP(C15,'Sales Master'!B$3:D$499,2,)</f>
        <v>#N/A</v>
      </c>
      <c r="E15" s="508"/>
      <c r="F15" s="508"/>
      <c r="G15" s="22">
        <v>1</v>
      </c>
      <c r="H15" s="68" t="str">
        <f>VLOOKUP(C15,'[2]Sales Master'!B$3:F$736,5,0)</f>
        <v>3 KGS/PKT</v>
      </c>
      <c r="I15" s="481" t="str">
        <f>VLOOKUP(C15,'[2]Sales Master'!B$3:E$736,4,0)</f>
        <v>-</v>
      </c>
      <c r="J15" s="481"/>
      <c r="K15" s="35" t="e">
        <f>VLOOKUP(C15,'Sales Master'!$B$3:$J$583,9,0)</f>
        <v>#N/A</v>
      </c>
      <c r="L15" s="36" t="e">
        <f>K15*G15</f>
        <v>#N/A</v>
      </c>
    </row>
    <row r="16" spans="2:15" ht="20.149999999999999" customHeight="1" x14ac:dyDescent="0.45">
      <c r="B16" s="34"/>
      <c r="C16" s="22" t="s">
        <v>437</v>
      </c>
      <c r="D16" s="508" t="e">
        <f>VLOOKUP(C16,'Sales Master'!B$3:D$499,2,)</f>
        <v>#N/A</v>
      </c>
      <c r="E16" s="508"/>
      <c r="F16" s="508"/>
      <c r="G16" s="22">
        <v>1</v>
      </c>
      <c r="H16" s="68" t="str">
        <f>VLOOKUP(C16,'[2]Sales Master'!B$3:F$736,5,0)</f>
        <v>(565gm x 12)/箱</v>
      </c>
      <c r="I16" s="481" t="str">
        <f>VLOOKUP(C16,'[2]Sales Master'!B$3:E$736,4,0)</f>
        <v>MiLi</v>
      </c>
      <c r="J16" s="481"/>
      <c r="K16" s="35" t="e">
        <f>VLOOKUP(C16,'Sales Master'!$B$3:$J$583,9,0)</f>
        <v>#N/A</v>
      </c>
      <c r="L16" s="36" t="e">
        <f>K16*G16</f>
        <v>#N/A</v>
      </c>
    </row>
    <row r="17" spans="2:12" ht="20.149999999999999" customHeight="1" x14ac:dyDescent="0.45">
      <c r="B17" s="34"/>
      <c r="C17" s="22" t="s">
        <v>400</v>
      </c>
      <c r="D17" s="24" t="e">
        <f>VLOOKUP(C17,'Sales Master'!B$3:D$499,2,)</f>
        <v>#N/A</v>
      </c>
      <c r="G17" s="22">
        <v>2</v>
      </c>
      <c r="H17" s="68" t="e">
        <f>VLOOKUP(C17,'Sales Master'!$B$3:$E$590,4,0)</f>
        <v>#N/A</v>
      </c>
      <c r="I17" s="450" t="e">
        <f>VLOOKUP(C17,'Sales Master'!$B$3:F$590,5,0)</f>
        <v>#N/A</v>
      </c>
      <c r="J17" s="450"/>
      <c r="K17" s="35" t="e">
        <f>VLOOKUP(C17,'Sales Master'!$B$3:$J$583,9,0)</f>
        <v>#N/A</v>
      </c>
      <c r="L17" s="36" t="e">
        <f t="shared" ref="L17:L23" si="0">K17*G17</f>
        <v>#N/A</v>
      </c>
    </row>
    <row r="18" spans="2:12" ht="20.149999999999999" customHeight="1" x14ac:dyDescent="0.45">
      <c r="B18" s="34"/>
      <c r="C18" s="22" t="s">
        <v>405</v>
      </c>
      <c r="D18" s="24" t="e">
        <f>VLOOKUP(C18,'Sales Master'!B$3:D$499,2,)</f>
        <v>#N/A</v>
      </c>
      <c r="G18" s="22">
        <v>2</v>
      </c>
      <c r="H18" s="68" t="e">
        <f>VLOOKUP(C18,'Sales Master'!$B$3:$E$590,4,0)</f>
        <v>#N/A</v>
      </c>
      <c r="I18" s="450" t="e">
        <f>VLOOKUP(C18,'Sales Master'!$B$3:F$590,5,0)</f>
        <v>#N/A</v>
      </c>
      <c r="J18" s="450"/>
      <c r="K18" s="35" t="e">
        <f>VLOOKUP(C18,'Sales Master'!$B$3:$J$583,9,0)</f>
        <v>#N/A</v>
      </c>
      <c r="L18" s="36" t="e">
        <f t="shared" si="0"/>
        <v>#N/A</v>
      </c>
    </row>
    <row r="19" spans="2:12" ht="20.149999999999999" customHeight="1" x14ac:dyDescent="0.45">
      <c r="B19" s="34"/>
      <c r="C19" s="22" t="s">
        <v>407</v>
      </c>
      <c r="D19" s="24" t="e">
        <f>VLOOKUP(C19,'Sales Master'!B$3:D$499,2,)</f>
        <v>#N/A</v>
      </c>
      <c r="G19" s="22">
        <v>1</v>
      </c>
      <c r="H19" s="68" t="e">
        <f>VLOOKUP(C19,'Sales Master'!$B$3:$E$590,4,0)</f>
        <v>#N/A</v>
      </c>
      <c r="I19" s="450" t="e">
        <f>VLOOKUP(C19,'Sales Master'!$B$3:F$590,5,0)</f>
        <v>#N/A</v>
      </c>
      <c r="J19" s="450"/>
      <c r="K19" s="35" t="e">
        <f>VLOOKUP(C19,'Sales Master'!$B$3:$J$583,9,0)</f>
        <v>#N/A</v>
      </c>
      <c r="L19" s="36" t="e">
        <f t="shared" si="0"/>
        <v>#N/A</v>
      </c>
    </row>
    <row r="20" spans="2:12" ht="20.149999999999999" customHeight="1" x14ac:dyDescent="0.45">
      <c r="B20" s="34"/>
      <c r="C20" s="22" t="s">
        <v>518</v>
      </c>
      <c r="D20" s="24" t="e">
        <f>VLOOKUP(C20,'Sales Master'!B$3:D$499,2,)</f>
        <v>#N/A</v>
      </c>
      <c r="G20" s="22">
        <v>5</v>
      </c>
      <c r="H20" s="68" t="e">
        <f>VLOOKUP(C20,'Sales Master'!$B$3:$E$590,4,0)</f>
        <v>#N/A</v>
      </c>
      <c r="I20" s="450" t="e">
        <f>VLOOKUP(C20,'Sales Master'!$B$3:F$590,5,0)</f>
        <v>#N/A</v>
      </c>
      <c r="J20" s="450"/>
      <c r="K20" s="35" t="e">
        <f>VLOOKUP(C20,'Sales Master'!$B$3:$J$583,9,0)</f>
        <v>#N/A</v>
      </c>
      <c r="L20" s="36" t="e">
        <f t="shared" si="0"/>
        <v>#N/A</v>
      </c>
    </row>
    <row r="21" spans="2:12" ht="20.149999999999999" customHeight="1" x14ac:dyDescent="0.45">
      <c r="B21" s="34"/>
      <c r="C21" s="22" t="s">
        <v>502</v>
      </c>
      <c r="D21" s="24" t="e">
        <f>VLOOKUP(C21,'Sales Master'!B$3:D$499,2,)</f>
        <v>#N/A</v>
      </c>
      <c r="G21" s="22">
        <v>5</v>
      </c>
      <c r="H21" s="68" t="e">
        <f>VLOOKUP(C21,'Sales Master'!$B$3:$E$590,4,0)</f>
        <v>#N/A</v>
      </c>
      <c r="I21" s="450" t="e">
        <f>VLOOKUP(C21,'Sales Master'!$B$3:F$590,5,0)</f>
        <v>#N/A</v>
      </c>
      <c r="J21" s="450"/>
      <c r="K21" s="35" t="e">
        <f>VLOOKUP(C21,'Sales Master'!$B$3:$J$583,9,0)</f>
        <v>#N/A</v>
      </c>
      <c r="L21" s="36" t="e">
        <f t="shared" si="0"/>
        <v>#N/A</v>
      </c>
    </row>
    <row r="22" spans="2:12" ht="20.149999999999999" customHeight="1" x14ac:dyDescent="0.45">
      <c r="B22" s="34"/>
      <c r="C22" s="22" t="s">
        <v>520</v>
      </c>
      <c r="D22" s="24" t="e">
        <f>VLOOKUP(C22,'Sales Master'!B$3:D$499,2,)</f>
        <v>#N/A</v>
      </c>
      <c r="G22" s="22">
        <v>2</v>
      </c>
      <c r="H22" s="68" t="e">
        <f>VLOOKUP(C22,'Sales Master'!$B$3:$E$590,4,0)</f>
        <v>#N/A</v>
      </c>
      <c r="I22" s="450" t="e">
        <f>VLOOKUP(C22,'Sales Master'!$B$3:F$590,5,0)</f>
        <v>#N/A</v>
      </c>
      <c r="J22" s="450"/>
      <c r="K22" s="35" t="e">
        <f>VLOOKUP(C22,'Sales Master'!$B$3:$J$583,9,0)</f>
        <v>#N/A</v>
      </c>
      <c r="L22" s="36" t="e">
        <f t="shared" si="0"/>
        <v>#N/A</v>
      </c>
    </row>
    <row r="23" spans="2:12" ht="20.149999999999999" customHeight="1" x14ac:dyDescent="0.45">
      <c r="B23" s="34"/>
      <c r="C23" s="22" t="s">
        <v>453</v>
      </c>
      <c r="D23" s="24" t="e">
        <f>VLOOKUP(C23,'Sales Master'!B$3:D$499,2,)</f>
        <v>#N/A</v>
      </c>
      <c r="G23" s="22">
        <v>1</v>
      </c>
      <c r="H23" s="68" t="e">
        <f>VLOOKUP(C23,'Sales Master'!$B$3:$E$590,4,0)</f>
        <v>#N/A</v>
      </c>
      <c r="I23" s="450" t="e">
        <f>VLOOKUP(C23,'Sales Master'!$B$3:F$590,5,0)</f>
        <v>#N/A</v>
      </c>
      <c r="J23" s="450"/>
      <c r="K23" s="35" t="e">
        <f>VLOOKUP(C23,'Sales Master'!$B$3:$J$583,9,0)</f>
        <v>#N/A</v>
      </c>
      <c r="L23" s="36" t="e">
        <f t="shared" si="0"/>
        <v>#N/A</v>
      </c>
    </row>
    <row r="24" spans="2:12" ht="20.149999999999999" customHeight="1" x14ac:dyDescent="0.45">
      <c r="B24" s="34"/>
      <c r="C24" s="22"/>
      <c r="G24" s="22"/>
      <c r="H24" s="68"/>
      <c r="I24" s="450"/>
      <c r="J24" s="450"/>
      <c r="K24" s="35"/>
      <c r="L24" s="36"/>
    </row>
    <row r="25" spans="2:12" ht="20.149999999999999" customHeight="1" x14ac:dyDescent="0.45">
      <c r="B25" s="34"/>
      <c r="C25" s="22"/>
      <c r="G25" s="22"/>
      <c r="H25" s="68"/>
      <c r="I25" s="450"/>
      <c r="J25" s="450"/>
      <c r="K25" s="35"/>
      <c r="L25" s="36"/>
    </row>
    <row r="26" spans="2:12" ht="20.149999999999999" customHeight="1" x14ac:dyDescent="0.45">
      <c r="B26" s="34"/>
      <c r="C26" s="22"/>
      <c r="G26" s="22"/>
      <c r="H26" s="68"/>
      <c r="I26" s="450"/>
      <c r="J26" s="450"/>
      <c r="K26" s="35"/>
      <c r="L26" s="36"/>
    </row>
    <row r="27" spans="2:12" ht="20.149999999999999" customHeight="1" x14ac:dyDescent="0.45">
      <c r="B27" s="34"/>
      <c r="C27" s="22"/>
      <c r="G27" s="22"/>
      <c r="H27" s="68"/>
      <c r="I27" s="450"/>
      <c r="J27" s="450"/>
      <c r="K27" s="35"/>
      <c r="L27" s="36"/>
    </row>
    <row r="28" spans="2:12" ht="20.149999999999999" customHeight="1" x14ac:dyDescent="0.45">
      <c r="B28" s="34"/>
      <c r="C28" s="22"/>
      <c r="G28" s="22"/>
      <c r="H28" s="68"/>
      <c r="I28" s="450"/>
      <c r="J28" s="450"/>
      <c r="K28" s="35"/>
      <c r="L28" s="36"/>
    </row>
    <row r="29" spans="2:12" ht="20.149999999999999" customHeight="1" x14ac:dyDescent="0.45">
      <c r="B29" s="34"/>
      <c r="C29" s="22"/>
      <c r="G29" s="22"/>
      <c r="H29" s="68"/>
      <c r="I29" s="450"/>
      <c r="J29" s="450"/>
      <c r="K29" s="35"/>
      <c r="L29" s="36"/>
    </row>
    <row r="30" spans="2:12" ht="20.149999999999999" customHeight="1" x14ac:dyDescent="0.45">
      <c r="B30" s="34"/>
      <c r="C30" s="22"/>
      <c r="G30" s="22"/>
      <c r="H30" s="68"/>
      <c r="I30" s="450"/>
      <c r="J30" s="450"/>
      <c r="K30" s="35"/>
      <c r="L30" s="36"/>
    </row>
    <row r="31" spans="2:12" ht="20.149999999999999" customHeight="1" x14ac:dyDescent="0.45">
      <c r="B31" s="34"/>
      <c r="C31" s="22"/>
      <c r="D31" s="508"/>
      <c r="E31" s="508"/>
      <c r="F31" s="508"/>
      <c r="G31" s="22"/>
      <c r="H31" s="68"/>
      <c r="I31" s="68"/>
      <c r="J31" s="22"/>
      <c r="K31" s="35"/>
      <c r="L31" s="36"/>
    </row>
    <row r="32" spans="2:12" ht="20.149999999999999" customHeight="1" x14ac:dyDescent="0.45">
      <c r="B32" s="34"/>
      <c r="C32" s="22"/>
      <c r="D32" s="508"/>
      <c r="E32" s="508"/>
      <c r="F32" s="508"/>
      <c r="G32" s="22"/>
      <c r="H32" s="22"/>
      <c r="I32" s="22"/>
      <c r="J32" s="22"/>
      <c r="K32" s="35"/>
      <c r="L32" s="36"/>
    </row>
    <row r="33" spans="2:12" ht="20.149999999999999" customHeight="1" thickBot="1" x14ac:dyDescent="0.5">
      <c r="B33" s="37"/>
      <c r="C33" s="38"/>
      <c r="D33" s="509"/>
      <c r="E33" s="509"/>
      <c r="F33" s="509"/>
      <c r="G33" s="38"/>
      <c r="H33" s="38"/>
      <c r="I33" s="38"/>
      <c r="J33" s="38"/>
      <c r="K33" s="39"/>
      <c r="L33" s="40"/>
    </row>
    <row r="34" spans="2:12" ht="20.149999999999999" customHeight="1" thickBot="1" x14ac:dyDescent="0.5">
      <c r="B34" s="41"/>
      <c r="L34" s="42"/>
    </row>
    <row r="35" spans="2:12" ht="20.149999999999999" customHeight="1" x14ac:dyDescent="0.45">
      <c r="B35" s="11" t="s">
        <v>18</v>
      </c>
      <c r="C35" s="7"/>
      <c r="D35" s="7"/>
      <c r="E35" s="7"/>
      <c r="F35" s="7"/>
      <c r="G35" s="7"/>
      <c r="H35" s="7"/>
      <c r="I35" s="7"/>
      <c r="J35" s="510" t="s">
        <v>15</v>
      </c>
      <c r="K35" s="511"/>
      <c r="L35" s="43" t="e">
        <f>SUM(L13:L32)</f>
        <v>#N/A</v>
      </c>
    </row>
    <row r="36" spans="2:12" ht="20.149999999999999" customHeight="1" x14ac:dyDescent="0.45">
      <c r="B36" s="11" t="s">
        <v>19</v>
      </c>
      <c r="C36" s="7"/>
      <c r="D36" s="7"/>
      <c r="E36" s="7"/>
      <c r="F36" s="7"/>
      <c r="G36" s="7"/>
      <c r="H36" s="7"/>
      <c r="I36" s="7"/>
      <c r="J36" s="44" t="s">
        <v>22</v>
      </c>
      <c r="K36" s="45"/>
      <c r="L36" s="46" t="e">
        <f>L35*K36</f>
        <v>#N/A</v>
      </c>
    </row>
    <row r="37" spans="2:12" ht="20.149999999999999" customHeight="1" x14ac:dyDescent="0.45">
      <c r="B37" s="11" t="s">
        <v>20</v>
      </c>
      <c r="C37" s="7"/>
      <c r="D37" s="7"/>
      <c r="E37" s="7"/>
      <c r="F37" s="7"/>
      <c r="G37" s="7"/>
      <c r="H37" s="7"/>
      <c r="I37" s="7"/>
      <c r="J37" s="486" t="s">
        <v>21</v>
      </c>
      <c r="K37" s="487"/>
      <c r="L37" s="46" t="e">
        <f>L35-L36</f>
        <v>#N/A</v>
      </c>
    </row>
    <row r="38" spans="2:12" ht="20.149999999999999" customHeight="1" x14ac:dyDescent="0.45">
      <c r="B38" s="11" t="s">
        <v>24</v>
      </c>
      <c r="C38" s="7"/>
      <c r="D38" s="7"/>
      <c r="E38" s="7"/>
      <c r="F38" s="7"/>
      <c r="G38" s="7"/>
      <c r="H38" s="7"/>
      <c r="I38" s="7"/>
      <c r="J38" s="150" t="s">
        <v>17</v>
      </c>
      <c r="K38" s="151">
        <v>7.0000000000000007E-2</v>
      </c>
      <c r="L38" s="47" t="e">
        <f>L37*K38</f>
        <v>#N/A</v>
      </c>
    </row>
    <row r="39" spans="2:12" ht="20.149999999999999" customHeight="1" thickBot="1" x14ac:dyDescent="0.5">
      <c r="B39" s="11" t="s">
        <v>25</v>
      </c>
      <c r="C39" s="7"/>
      <c r="D39" s="7"/>
      <c r="E39" s="7"/>
      <c r="F39" s="7"/>
      <c r="G39" s="7"/>
      <c r="H39" s="7"/>
      <c r="I39" s="7"/>
      <c r="J39" s="488" t="s">
        <v>23</v>
      </c>
      <c r="K39" s="489"/>
      <c r="L39" s="48" t="e">
        <f>L37+L38</f>
        <v>#N/A</v>
      </c>
    </row>
    <row r="40" spans="2:12" ht="20.149999999999999" customHeight="1" x14ac:dyDescent="0.45">
      <c r="B40" s="11" t="s">
        <v>26</v>
      </c>
      <c r="C40" s="7"/>
      <c r="D40" s="7"/>
      <c r="E40" s="7"/>
      <c r="F40" s="7"/>
      <c r="G40" s="7"/>
      <c r="H40" s="7"/>
      <c r="I40" s="7"/>
      <c r="L40" s="42"/>
    </row>
    <row r="41" spans="2:12" ht="20.149999999999999" customHeight="1" x14ac:dyDescent="0.45">
      <c r="B41" s="41"/>
      <c r="L41" s="42"/>
    </row>
    <row r="42" spans="2:12" ht="20.149999999999999" customHeight="1" x14ac:dyDescent="0.45">
      <c r="B42" s="41"/>
      <c r="L42" s="42"/>
    </row>
    <row r="43" spans="2:12" ht="20.149999999999999" customHeight="1" x14ac:dyDescent="0.45">
      <c r="B43" s="41"/>
      <c r="L43" s="42"/>
    </row>
    <row r="44" spans="2:12" ht="20.149999999999999" customHeight="1" x14ac:dyDescent="0.45">
      <c r="B44" s="41"/>
      <c r="L44" s="42"/>
    </row>
    <row r="45" spans="2:12" ht="20.149999999999999" customHeight="1" x14ac:dyDescent="0.45">
      <c r="B45" s="49"/>
      <c r="C45" s="50"/>
      <c r="D45" s="50"/>
      <c r="J45" s="50"/>
      <c r="K45" s="50"/>
      <c r="L45" s="51"/>
    </row>
    <row r="46" spans="2:12" ht="20.149999999999999" customHeight="1" x14ac:dyDescent="0.45">
      <c r="B46" s="41" t="s">
        <v>27</v>
      </c>
      <c r="J46" s="24" t="s">
        <v>28</v>
      </c>
      <c r="L46" s="42"/>
    </row>
    <row r="47" spans="2:12" ht="19" thickBot="1" x14ac:dyDescent="0.5">
      <c r="B47" s="52"/>
      <c r="C47" s="53"/>
      <c r="D47" s="53"/>
      <c r="E47" s="53"/>
      <c r="F47" s="53"/>
      <c r="G47" s="53"/>
      <c r="H47" s="53"/>
      <c r="I47" s="53"/>
      <c r="J47" s="53"/>
      <c r="K47" s="53"/>
      <c r="L47" s="54"/>
    </row>
  </sheetData>
  <mergeCells count="39">
    <mergeCell ref="D33:F33"/>
    <mergeCell ref="J35:K35"/>
    <mergeCell ref="J37:K37"/>
    <mergeCell ref="J39:K39"/>
    <mergeCell ref="D32:F32"/>
    <mergeCell ref="I28:J28"/>
    <mergeCell ref="I29:J29"/>
    <mergeCell ref="I30:J30"/>
    <mergeCell ref="I21:J21"/>
    <mergeCell ref="I22:J22"/>
    <mergeCell ref="I23:J23"/>
    <mergeCell ref="I24:J24"/>
    <mergeCell ref="I25:J25"/>
    <mergeCell ref="D31:F31"/>
    <mergeCell ref="I20:J20"/>
    <mergeCell ref="K11:L11"/>
    <mergeCell ref="D13:F13"/>
    <mergeCell ref="I13:J13"/>
    <mergeCell ref="D14:F14"/>
    <mergeCell ref="I14:J14"/>
    <mergeCell ref="D15:F15"/>
    <mergeCell ref="I15:J15"/>
    <mergeCell ref="D16:F16"/>
    <mergeCell ref="I16:J16"/>
    <mergeCell ref="I17:J17"/>
    <mergeCell ref="I18:J18"/>
    <mergeCell ref="I19:J19"/>
    <mergeCell ref="I26:J26"/>
    <mergeCell ref="I27:J27"/>
    <mergeCell ref="K6:L6"/>
    <mergeCell ref="B7:D7"/>
    <mergeCell ref="F7:H11"/>
    <mergeCell ref="K7:L7"/>
    <mergeCell ref="B8:D8"/>
    <mergeCell ref="K8:L8"/>
    <mergeCell ref="B9:D9"/>
    <mergeCell ref="K9:L9"/>
    <mergeCell ref="B10:D10"/>
    <mergeCell ref="K10:L10"/>
  </mergeCells>
  <pageMargins left="0.70866141732283472" right="0.31496062992125984" top="2.1653543307086616" bottom="0" header="0.31496062992125984" footer="0.31496062992125984"/>
  <pageSetup paperSize="9" scale="76" orientation="portrait" verticalDpi="300"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A7F4A7-C9C9-45DB-860C-B52925D8259D}">
  <sheetPr codeName="Sheet173">
    <tabColor rgb="FFFFFF00"/>
    <pageSetUpPr fitToPage="1"/>
  </sheetPr>
  <dimension ref="B5:O47"/>
  <sheetViews>
    <sheetView topLeftCell="A5" workbookViewId="0">
      <selection activeCell="D14" sqref="D14:F14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6.54296875" style="24" customWidth="1"/>
    <col min="7" max="7" width="8.54296875" style="24" customWidth="1"/>
    <col min="8" max="8" width="15.54296875" style="24" customWidth="1"/>
    <col min="9" max="9" width="2.54296875" style="24" customWidth="1"/>
    <col min="10" max="10" width="15.54296875" style="24" customWidth="1"/>
    <col min="11" max="11" width="10.54296875" style="24" customWidth="1"/>
    <col min="12" max="12" width="12.54296875" style="24" customWidth="1"/>
    <col min="13" max="16384" width="12.54296875" style="24"/>
  </cols>
  <sheetData>
    <row r="5" spans="2:15" ht="19" thickBot="1" x14ac:dyDescent="0.5">
      <c r="B5" s="23"/>
    </row>
    <row r="6" spans="2:15" ht="18" customHeight="1" thickTop="1" thickBot="1" x14ac:dyDescent="0.5">
      <c r="B6" s="25" t="s">
        <v>9</v>
      </c>
      <c r="C6" s="25"/>
      <c r="D6" s="26"/>
      <c r="E6" s="26"/>
      <c r="F6" s="27" t="s">
        <v>10</v>
      </c>
      <c r="G6" s="28"/>
      <c r="H6" s="28" t="s">
        <v>225</v>
      </c>
      <c r="J6" s="29" t="s">
        <v>29</v>
      </c>
      <c r="K6" s="452">
        <v>202001335</v>
      </c>
      <c r="L6" s="453"/>
    </row>
    <row r="7" spans="2:15" ht="20.149999999999999" customHeight="1" x14ac:dyDescent="0.45">
      <c r="B7" s="454" t="s">
        <v>564</v>
      </c>
      <c r="C7" s="455"/>
      <c r="D7" s="456"/>
      <c r="E7" s="30"/>
      <c r="F7" s="457" t="str">
        <f>VLOOKUP(H6,'Delivery Location'!A$4:N$416,2,0)</f>
        <v>Wee Kee Catering Pte Ltd                       8A, Admiralty Street Food Exchange     #03-07. Singapore 757437.</v>
      </c>
      <c r="G7" s="458"/>
      <c r="H7" s="459"/>
      <c r="J7" s="31" t="s">
        <v>11</v>
      </c>
      <c r="K7" s="551" t="s">
        <v>920</v>
      </c>
      <c r="L7" s="472"/>
    </row>
    <row r="8" spans="2:15" ht="20.149999999999999" customHeight="1" x14ac:dyDescent="0.45">
      <c r="B8" s="468" t="s">
        <v>565</v>
      </c>
      <c r="C8" s="469"/>
      <c r="D8" s="470"/>
      <c r="E8" s="30"/>
      <c r="F8" s="460"/>
      <c r="G8" s="461"/>
      <c r="H8" s="462"/>
      <c r="J8" s="31" t="s">
        <v>171</v>
      </c>
      <c r="K8" s="471" t="s">
        <v>533</v>
      </c>
      <c r="L8" s="472"/>
    </row>
    <row r="9" spans="2:15" ht="20.149999999999999" customHeight="1" x14ac:dyDescent="0.45">
      <c r="B9" s="468" t="s">
        <v>589</v>
      </c>
      <c r="C9" s="469"/>
      <c r="D9" s="470"/>
      <c r="E9" s="30"/>
      <c r="F9" s="460"/>
      <c r="G9" s="461"/>
      <c r="H9" s="462"/>
      <c r="J9" s="31" t="s">
        <v>12</v>
      </c>
      <c r="K9" s="471" t="s">
        <v>750</v>
      </c>
      <c r="L9" s="472"/>
    </row>
    <row r="10" spans="2:15" ht="20.149999999999999" customHeight="1" x14ac:dyDescent="0.45">
      <c r="B10" s="468" t="s">
        <v>590</v>
      </c>
      <c r="C10" s="469"/>
      <c r="D10" s="470"/>
      <c r="E10" s="30"/>
      <c r="F10" s="460"/>
      <c r="G10" s="461"/>
      <c r="H10" s="462"/>
      <c r="J10" s="31" t="s">
        <v>30</v>
      </c>
      <c r="K10" s="471" t="s">
        <v>16</v>
      </c>
      <c r="L10" s="472"/>
    </row>
    <row r="11" spans="2:15" ht="18" customHeight="1" thickBot="1" x14ac:dyDescent="0.5">
      <c r="B11" s="552" t="s">
        <v>591</v>
      </c>
      <c r="C11" s="474"/>
      <c r="D11" s="475"/>
      <c r="E11" s="26"/>
      <c r="F11" s="463"/>
      <c r="G11" s="464"/>
      <c r="H11" s="465"/>
      <c r="J11" s="32" t="s">
        <v>13</v>
      </c>
      <c r="K11" s="476"/>
      <c r="L11" s="477"/>
    </row>
    <row r="12" spans="2:15" ht="19" thickBot="1" x14ac:dyDescent="0.5">
      <c r="J12" s="22"/>
    </row>
    <row r="13" spans="2:15" ht="30" customHeight="1" thickBot="1" x14ac:dyDescent="0.5">
      <c r="B13" s="8" t="s">
        <v>2</v>
      </c>
      <c r="C13" s="9" t="s">
        <v>3</v>
      </c>
      <c r="D13" s="478" t="s">
        <v>4</v>
      </c>
      <c r="E13" s="483"/>
      <c r="F13" s="479"/>
      <c r="G13" s="19" t="s">
        <v>620</v>
      </c>
      <c r="H13" s="9" t="s">
        <v>31</v>
      </c>
      <c r="I13" s="478" t="s">
        <v>60</v>
      </c>
      <c r="J13" s="479"/>
      <c r="K13" s="9" t="s">
        <v>6</v>
      </c>
      <c r="L13" s="10" t="s">
        <v>7</v>
      </c>
      <c r="M13" s="33"/>
      <c r="N13" s="33"/>
      <c r="O13" s="33"/>
    </row>
    <row r="14" spans="2:15" ht="20.149999999999999" customHeight="1" x14ac:dyDescent="0.45">
      <c r="B14" s="34"/>
      <c r="C14" s="22" t="s">
        <v>400</v>
      </c>
      <c r="D14" s="508" t="e">
        <f>VLOOKUP(C14,'Sales Master'!B$3:D$499,2,)</f>
        <v>#N/A</v>
      </c>
      <c r="E14" s="508"/>
      <c r="F14" s="508"/>
      <c r="G14" s="22">
        <v>1</v>
      </c>
      <c r="H14" s="68" t="str">
        <f>VLOOKUP(C14,'[2]Sales Master'!B$3:F$736,5,0)</f>
        <v>5 kgs</v>
      </c>
      <c r="I14" s="481" t="str">
        <f>VLOOKUP(C14,'[2]Sales Master'!B$3:E$736,4,0)</f>
        <v>-</v>
      </c>
      <c r="J14" s="481"/>
      <c r="K14" s="94" t="e">
        <f>VLOOKUP(C14,'Sales Master'!B$3:X$499,23,0)</f>
        <v>#N/A</v>
      </c>
      <c r="L14" s="77" t="e">
        <f>K14*G14</f>
        <v>#N/A</v>
      </c>
      <c r="M14" s="96"/>
    </row>
    <row r="15" spans="2:15" ht="20.149999999999999" customHeight="1" x14ac:dyDescent="0.45">
      <c r="B15" s="34"/>
      <c r="C15" s="22" t="s">
        <v>405</v>
      </c>
      <c r="D15" s="508" t="e">
        <f>VLOOKUP(C15,'Sales Master'!B$3:D$499,2,)</f>
        <v>#N/A</v>
      </c>
      <c r="E15" s="508"/>
      <c r="F15" s="508"/>
      <c r="G15" s="22">
        <v>1</v>
      </c>
      <c r="H15" s="68" t="str">
        <f>VLOOKUP(C15,'[2]Sales Master'!B$3:F$736,5,0)</f>
        <v>5 KGS</v>
      </c>
      <c r="I15" s="481" t="str">
        <f>VLOOKUP(C15,'[2]Sales Master'!B$3:E$736,4,0)</f>
        <v>-</v>
      </c>
      <c r="J15" s="481"/>
      <c r="K15" s="94" t="e">
        <f>VLOOKUP(C15,'Sales Master'!B$3:X$499,23,0)</f>
        <v>#N/A</v>
      </c>
      <c r="L15" s="77" t="e">
        <f>K15*G15</f>
        <v>#N/A</v>
      </c>
      <c r="M15" s="78"/>
    </row>
    <row r="16" spans="2:15" ht="20.149999999999999" customHeight="1" x14ac:dyDescent="0.45">
      <c r="B16" s="34"/>
      <c r="C16" s="22" t="s">
        <v>412</v>
      </c>
      <c r="D16" s="508" t="e">
        <f>VLOOKUP(C16,'Sales Master'!B$3:D$499,2,)</f>
        <v>#N/A</v>
      </c>
      <c r="E16" s="508"/>
      <c r="F16" s="508"/>
      <c r="G16" s="22">
        <v>1</v>
      </c>
      <c r="H16" s="68" t="str">
        <f>VLOOKUP(C16,'[2]Sales Master'!B$3:F$736,5,0)</f>
        <v>5 kgs</v>
      </c>
      <c r="I16" s="481" t="str">
        <f>VLOOKUP(C16,'[2]Sales Master'!B$3:E$736,4,0)</f>
        <v>-</v>
      </c>
      <c r="J16" s="481"/>
      <c r="K16" s="94" t="e">
        <f>VLOOKUP(C16,'Sales Master'!B$3:X$499,23,0)</f>
        <v>#N/A</v>
      </c>
      <c r="L16" s="77" t="e">
        <f>K16*G16</f>
        <v>#N/A</v>
      </c>
      <c r="M16" s="78"/>
    </row>
    <row r="17" spans="2:13" ht="20.149999999999999" customHeight="1" x14ac:dyDescent="0.45">
      <c r="B17" s="34"/>
      <c r="C17" s="22" t="s">
        <v>441</v>
      </c>
      <c r="D17" s="508" t="e">
        <f>VLOOKUP(C17,'Sales Master'!B$3:D$499,2,)</f>
        <v>#N/A</v>
      </c>
      <c r="E17" s="508"/>
      <c r="F17" s="508"/>
      <c r="G17" s="22">
        <v>3</v>
      </c>
      <c r="H17" s="68" t="str">
        <f>VLOOKUP(C17,'[2]Sales Master'!B$3:F$736,5,0)</f>
        <v>(820gm x 12)/箱</v>
      </c>
      <c r="I17" s="481" t="str">
        <f>VLOOKUP(C17,'[2]Sales Master'!B$3:E$736,4,0)</f>
        <v>Statue</v>
      </c>
      <c r="J17" s="481"/>
      <c r="K17" s="94" t="e">
        <f>VLOOKUP(C17,'Sales Master'!B$3:X$499,23,0)</f>
        <v>#N/A</v>
      </c>
      <c r="L17" s="77" t="e">
        <f>K17*G17</f>
        <v>#N/A</v>
      </c>
      <c r="M17" s="78"/>
    </row>
    <row r="18" spans="2:13" ht="20.149999999999999" customHeight="1" x14ac:dyDescent="0.45">
      <c r="B18" s="34"/>
      <c r="C18" s="22"/>
      <c r="D18" s="508"/>
      <c r="E18" s="508"/>
      <c r="F18" s="508"/>
      <c r="G18" s="22"/>
      <c r="H18" s="68"/>
      <c r="I18" s="481"/>
      <c r="J18" s="481"/>
      <c r="K18" s="94"/>
      <c r="L18" s="77"/>
      <c r="M18" s="78"/>
    </row>
    <row r="19" spans="2:13" ht="20.149999999999999" customHeight="1" x14ac:dyDescent="0.45">
      <c r="B19" s="34"/>
      <c r="C19" s="22"/>
      <c r="D19" s="508"/>
      <c r="E19" s="508"/>
      <c r="F19" s="508"/>
      <c r="G19" s="22"/>
      <c r="H19" s="68"/>
      <c r="I19" s="481"/>
      <c r="J19" s="481"/>
      <c r="K19" s="94"/>
      <c r="L19" s="77"/>
      <c r="M19" s="78"/>
    </row>
    <row r="20" spans="2:13" ht="20.149999999999999" customHeight="1" x14ac:dyDescent="0.45">
      <c r="B20" s="34"/>
      <c r="C20" s="22"/>
      <c r="D20" s="508"/>
      <c r="E20" s="508"/>
      <c r="F20" s="508"/>
      <c r="G20" s="22"/>
      <c r="H20" s="68"/>
      <c r="I20" s="481"/>
      <c r="J20" s="481"/>
      <c r="K20" s="94"/>
      <c r="L20" s="77"/>
      <c r="M20" s="78"/>
    </row>
    <row r="21" spans="2:13" ht="20.149999999999999" customHeight="1" x14ac:dyDescent="0.45">
      <c r="B21" s="34"/>
      <c r="C21" s="22"/>
      <c r="D21" s="508"/>
      <c r="E21" s="508"/>
      <c r="F21" s="508"/>
      <c r="G21" s="22"/>
      <c r="H21" s="68"/>
      <c r="I21" s="450"/>
      <c r="J21" s="450"/>
      <c r="K21" s="94"/>
      <c r="L21" s="77"/>
      <c r="M21" s="78"/>
    </row>
    <row r="22" spans="2:13" ht="20.149999999999999" customHeight="1" x14ac:dyDescent="0.45">
      <c r="B22" s="34"/>
      <c r="C22" s="22"/>
      <c r="D22" s="508"/>
      <c r="E22" s="508"/>
      <c r="F22" s="508"/>
      <c r="G22" s="22"/>
      <c r="H22" s="68"/>
      <c r="I22" s="450"/>
      <c r="J22" s="450"/>
      <c r="K22" s="94"/>
      <c r="L22" s="77"/>
      <c r="M22" s="78"/>
    </row>
    <row r="23" spans="2:13" ht="20.149999999999999" customHeight="1" x14ac:dyDescent="0.45">
      <c r="B23" s="34"/>
      <c r="C23" s="22"/>
      <c r="D23" s="508"/>
      <c r="E23" s="508"/>
      <c r="F23" s="508"/>
      <c r="G23" s="22"/>
      <c r="H23" s="68"/>
      <c r="I23" s="450"/>
      <c r="J23" s="450"/>
      <c r="K23" s="94"/>
      <c r="L23" s="77"/>
      <c r="M23" s="78"/>
    </row>
    <row r="24" spans="2:13" ht="20.149999999999999" customHeight="1" x14ac:dyDescent="0.45">
      <c r="B24" s="34"/>
      <c r="C24" s="22"/>
      <c r="D24" s="508"/>
      <c r="E24" s="508"/>
      <c r="F24" s="508"/>
      <c r="G24" s="22"/>
      <c r="H24" s="68"/>
      <c r="I24" s="450"/>
      <c r="J24" s="450"/>
      <c r="K24" s="94"/>
      <c r="L24" s="77"/>
      <c r="M24" s="78"/>
    </row>
    <row r="25" spans="2:13" ht="20.149999999999999" customHeight="1" x14ac:dyDescent="0.45">
      <c r="B25" s="34"/>
      <c r="C25" s="22"/>
      <c r="D25" s="508"/>
      <c r="E25" s="508"/>
      <c r="F25" s="508"/>
      <c r="G25" s="22"/>
      <c r="H25" s="68"/>
      <c r="I25" s="450"/>
      <c r="J25" s="450"/>
      <c r="K25" s="94"/>
      <c r="L25" s="77"/>
      <c r="M25" s="78"/>
    </row>
    <row r="26" spans="2:13" ht="20.149999999999999" customHeight="1" x14ac:dyDescent="0.45">
      <c r="B26" s="34"/>
      <c r="C26" s="22"/>
      <c r="D26" s="508"/>
      <c r="E26" s="508"/>
      <c r="F26" s="508"/>
      <c r="G26" s="22"/>
      <c r="H26" s="68"/>
      <c r="I26" s="450"/>
      <c r="J26" s="450"/>
      <c r="K26" s="94"/>
      <c r="L26" s="77"/>
      <c r="M26" s="78"/>
    </row>
    <row r="27" spans="2:13" ht="20.149999999999999" customHeight="1" x14ac:dyDescent="0.45">
      <c r="B27" s="34"/>
      <c r="C27" s="22"/>
      <c r="D27" s="508"/>
      <c r="E27" s="508"/>
      <c r="F27" s="508"/>
      <c r="G27" s="22"/>
      <c r="H27" s="68"/>
      <c r="I27" s="450"/>
      <c r="J27" s="450"/>
      <c r="K27" s="94"/>
      <c r="L27" s="77"/>
      <c r="M27" s="78"/>
    </row>
    <row r="28" spans="2:13" ht="20.149999999999999" customHeight="1" x14ac:dyDescent="0.45">
      <c r="B28" s="34"/>
      <c r="C28" s="22"/>
      <c r="D28" s="508"/>
      <c r="E28" s="508"/>
      <c r="F28" s="508"/>
      <c r="G28" s="22"/>
      <c r="H28" s="68"/>
      <c r="I28" s="450"/>
      <c r="J28" s="450"/>
      <c r="K28" s="94"/>
      <c r="L28" s="77"/>
      <c r="M28" s="78"/>
    </row>
    <row r="29" spans="2:13" ht="20.149999999999999" customHeight="1" x14ac:dyDescent="0.45">
      <c r="B29" s="34"/>
      <c r="C29" s="22"/>
      <c r="D29" s="508"/>
      <c r="E29" s="508"/>
      <c r="F29" s="508"/>
      <c r="G29" s="22"/>
      <c r="H29" s="68"/>
      <c r="I29" s="450"/>
      <c r="J29" s="450"/>
      <c r="K29" s="94"/>
      <c r="L29" s="77"/>
      <c r="M29" s="78"/>
    </row>
    <row r="30" spans="2:13" ht="20.149999999999999" customHeight="1" x14ac:dyDescent="0.45">
      <c r="B30" s="34"/>
      <c r="C30" s="22"/>
      <c r="D30" s="508"/>
      <c r="E30" s="508"/>
      <c r="F30" s="508"/>
      <c r="G30" s="22"/>
      <c r="H30" s="68"/>
      <c r="I30" s="450"/>
      <c r="J30" s="450"/>
      <c r="K30" s="94"/>
      <c r="L30" s="77"/>
      <c r="M30" s="78"/>
    </row>
    <row r="31" spans="2:13" ht="20.149999999999999" customHeight="1" x14ac:dyDescent="0.45">
      <c r="B31" s="34"/>
      <c r="C31" s="22"/>
      <c r="D31" s="508"/>
      <c r="E31" s="508"/>
      <c r="F31" s="508"/>
      <c r="G31" s="22"/>
      <c r="H31" s="68"/>
      <c r="I31" s="450"/>
      <c r="J31" s="450"/>
      <c r="K31" s="94"/>
      <c r="L31" s="77"/>
      <c r="M31" s="78"/>
    </row>
    <row r="32" spans="2:13" ht="20.149999999999999" customHeight="1" x14ac:dyDescent="0.45">
      <c r="B32" s="34"/>
      <c r="C32" s="22"/>
      <c r="D32" s="508"/>
      <c r="E32" s="508"/>
      <c r="F32" s="508"/>
      <c r="G32" s="22"/>
      <c r="H32" s="68"/>
      <c r="I32" s="450"/>
      <c r="J32" s="450"/>
      <c r="K32" s="94"/>
      <c r="L32" s="77"/>
    </row>
    <row r="33" spans="2:13" ht="20.149999999999999" customHeight="1" thickBot="1" x14ac:dyDescent="0.5">
      <c r="B33" s="37"/>
      <c r="C33" s="38"/>
      <c r="D33" s="509"/>
      <c r="E33" s="509"/>
      <c r="F33" s="509"/>
      <c r="G33" s="38"/>
      <c r="H33" s="69"/>
      <c r="I33" s="451"/>
      <c r="J33" s="451"/>
      <c r="K33" s="39"/>
      <c r="L33" s="40"/>
    </row>
    <row r="34" spans="2:13" ht="20.149999999999999" customHeight="1" thickBot="1" x14ac:dyDescent="0.5">
      <c r="B34" s="41"/>
      <c r="L34" s="42"/>
    </row>
    <row r="35" spans="2:13" ht="20.149999999999999" customHeight="1" x14ac:dyDescent="0.45">
      <c r="B35" s="11" t="s">
        <v>18</v>
      </c>
      <c r="C35" s="7"/>
      <c r="D35" s="7"/>
      <c r="E35" s="7"/>
      <c r="F35" s="7"/>
      <c r="G35" s="7"/>
      <c r="H35" s="7"/>
      <c r="I35" s="7"/>
      <c r="J35" s="510" t="s">
        <v>15</v>
      </c>
      <c r="K35" s="511"/>
      <c r="L35" s="43" t="e">
        <f>SUM(L13:L32)</f>
        <v>#N/A</v>
      </c>
      <c r="M35" s="76">
        <f>166+26</f>
        <v>192</v>
      </c>
    </row>
    <row r="36" spans="2:13" ht="20.149999999999999" customHeight="1" x14ac:dyDescent="0.45">
      <c r="B36" s="11" t="s">
        <v>19</v>
      </c>
      <c r="C36" s="7"/>
      <c r="D36" s="7"/>
      <c r="E36" s="7"/>
      <c r="F36" s="7"/>
      <c r="G36" s="7"/>
      <c r="H36" s="7"/>
      <c r="I36" s="7"/>
      <c r="J36" s="44" t="s">
        <v>22</v>
      </c>
      <c r="K36" s="45"/>
      <c r="L36" s="46" t="e">
        <f>L35*K36</f>
        <v>#N/A</v>
      </c>
    </row>
    <row r="37" spans="2:13" ht="20.149999999999999" customHeight="1" x14ac:dyDescent="0.45">
      <c r="B37" s="11" t="s">
        <v>20</v>
      </c>
      <c r="C37" s="7"/>
      <c r="D37" s="7"/>
      <c r="E37" s="7"/>
      <c r="F37" s="7"/>
      <c r="G37" s="7"/>
      <c r="H37" s="7"/>
      <c r="I37" s="7"/>
      <c r="J37" s="486" t="s">
        <v>21</v>
      </c>
      <c r="K37" s="487"/>
      <c r="L37" s="46" t="e">
        <f>L35-L36</f>
        <v>#N/A</v>
      </c>
    </row>
    <row r="38" spans="2:13" ht="20.149999999999999" customHeight="1" x14ac:dyDescent="0.45">
      <c r="B38" s="11" t="s">
        <v>24</v>
      </c>
      <c r="C38" s="7"/>
      <c r="D38" s="7"/>
      <c r="E38" s="7"/>
      <c r="F38" s="7"/>
      <c r="G38" s="7"/>
      <c r="H38" s="7"/>
      <c r="I38" s="7"/>
      <c r="J38" s="150" t="s">
        <v>17</v>
      </c>
      <c r="K38" s="151">
        <v>7.0000000000000007E-2</v>
      </c>
      <c r="L38" s="47" t="e">
        <f>L37*K38</f>
        <v>#N/A</v>
      </c>
    </row>
    <row r="39" spans="2:13" ht="20.149999999999999" customHeight="1" thickBot="1" x14ac:dyDescent="0.5">
      <c r="B39" s="11" t="s">
        <v>25</v>
      </c>
      <c r="C39" s="7"/>
      <c r="D39" s="7"/>
      <c r="E39" s="7"/>
      <c r="F39" s="7"/>
      <c r="G39" s="7"/>
      <c r="H39" s="7"/>
      <c r="I39" s="7"/>
      <c r="J39" s="488" t="s">
        <v>23</v>
      </c>
      <c r="K39" s="489"/>
      <c r="L39" s="48" t="e">
        <f>L37+L38</f>
        <v>#N/A</v>
      </c>
    </row>
    <row r="40" spans="2:13" ht="20.149999999999999" customHeight="1" x14ac:dyDescent="0.45">
      <c r="B40" s="11" t="s">
        <v>26</v>
      </c>
      <c r="C40" s="7"/>
      <c r="D40" s="7"/>
      <c r="E40" s="7"/>
      <c r="F40" s="7"/>
      <c r="G40" s="7"/>
      <c r="H40" s="7"/>
      <c r="I40" s="7"/>
      <c r="L40" s="42"/>
    </row>
    <row r="41" spans="2:13" ht="20.149999999999999" customHeight="1" x14ac:dyDescent="0.45">
      <c r="B41" s="41"/>
      <c r="L41" s="42"/>
    </row>
    <row r="42" spans="2:13" ht="20.149999999999999" customHeight="1" x14ac:dyDescent="0.45">
      <c r="B42" s="41"/>
      <c r="L42" s="42"/>
    </row>
    <row r="43" spans="2:13" ht="20.149999999999999" customHeight="1" x14ac:dyDescent="0.45">
      <c r="B43" s="41"/>
      <c r="L43" s="42"/>
    </row>
    <row r="44" spans="2:13" ht="20.149999999999999" customHeight="1" x14ac:dyDescent="0.45">
      <c r="B44" s="41"/>
      <c r="L44" s="42"/>
    </row>
    <row r="45" spans="2:13" ht="20.149999999999999" customHeight="1" x14ac:dyDescent="0.45">
      <c r="B45" s="49"/>
      <c r="C45" s="50"/>
      <c r="D45" s="50"/>
      <c r="J45" s="50"/>
      <c r="K45" s="50"/>
      <c r="L45" s="51"/>
    </row>
    <row r="46" spans="2:13" ht="20.149999999999999" customHeight="1" x14ac:dyDescent="0.45">
      <c r="B46" s="41" t="s">
        <v>27</v>
      </c>
      <c r="J46" s="24" t="s">
        <v>28</v>
      </c>
      <c r="L46" s="42"/>
    </row>
    <row r="47" spans="2:13" ht="19" thickBot="1" x14ac:dyDescent="0.5">
      <c r="B47" s="52"/>
      <c r="C47" s="53"/>
      <c r="D47" s="53"/>
      <c r="E47" s="53"/>
      <c r="F47" s="53"/>
      <c r="G47" s="53"/>
      <c r="H47" s="53"/>
      <c r="I47" s="53"/>
      <c r="J47" s="53"/>
      <c r="K47" s="53"/>
      <c r="L47" s="54"/>
    </row>
  </sheetData>
  <mergeCells count="57">
    <mergeCell ref="K6:L6"/>
    <mergeCell ref="B7:D7"/>
    <mergeCell ref="F7:H11"/>
    <mergeCell ref="K7:L7"/>
    <mergeCell ref="B8:D8"/>
    <mergeCell ref="K8:L8"/>
    <mergeCell ref="B9:D9"/>
    <mergeCell ref="K9:L9"/>
    <mergeCell ref="B10:D10"/>
    <mergeCell ref="K10:L10"/>
    <mergeCell ref="B11:D11"/>
    <mergeCell ref="K11:L11"/>
    <mergeCell ref="D13:F13"/>
    <mergeCell ref="I13:J13"/>
    <mergeCell ref="D14:F14"/>
    <mergeCell ref="I14:J14"/>
    <mergeCell ref="D15:F15"/>
    <mergeCell ref="I15:J15"/>
    <mergeCell ref="D16:F16"/>
    <mergeCell ref="I16:J16"/>
    <mergeCell ref="D17:F17"/>
    <mergeCell ref="I17:J17"/>
    <mergeCell ref="D18:F18"/>
    <mergeCell ref="I18:J18"/>
    <mergeCell ref="D19:F19"/>
    <mergeCell ref="I19:J19"/>
    <mergeCell ref="D20:F20"/>
    <mergeCell ref="I20:J20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D28:F28"/>
    <mergeCell ref="I28:J28"/>
    <mergeCell ref="D29:F29"/>
    <mergeCell ref="I29:J29"/>
    <mergeCell ref="J39:K39"/>
    <mergeCell ref="D30:F30"/>
    <mergeCell ref="I30:J30"/>
    <mergeCell ref="D31:F31"/>
    <mergeCell ref="I31:J31"/>
    <mergeCell ref="D32:F32"/>
    <mergeCell ref="I32:J32"/>
    <mergeCell ref="D33:F33"/>
    <mergeCell ref="I33:J33"/>
    <mergeCell ref="J35:K35"/>
    <mergeCell ref="J37:K37"/>
  </mergeCells>
  <pageMargins left="0.70866141732283505" right="0.31496062992126" top="2.1653543307086598" bottom="0" header="0.31496062992126" footer="0.31496062992126"/>
  <pageSetup paperSize="9" scale="75" orientation="portrait" verticalDpi="300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A10B1-F469-4A66-8ED2-BDB2FC831824}">
  <sheetPr codeName="Sheet174">
    <tabColor rgb="FFFFFF00"/>
    <pageSetUpPr fitToPage="1"/>
  </sheetPr>
  <dimension ref="B5:O47"/>
  <sheetViews>
    <sheetView topLeftCell="A2" workbookViewId="0">
      <selection activeCell="H15" sqref="H15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6.54296875" style="24" customWidth="1"/>
    <col min="7" max="7" width="8.54296875" style="24" customWidth="1"/>
    <col min="8" max="8" width="12.54296875" style="24" customWidth="1"/>
    <col min="9" max="9" width="2.54296875" style="24" customWidth="1"/>
    <col min="10" max="10" width="15.54296875" style="24" customWidth="1"/>
    <col min="11" max="12" width="12.54296875" style="24" customWidth="1"/>
    <col min="13" max="16384" width="12.54296875" style="24"/>
  </cols>
  <sheetData>
    <row r="5" spans="2:15" ht="19" thickBot="1" x14ac:dyDescent="0.5">
      <c r="B5" s="23"/>
    </row>
    <row r="6" spans="2:15" ht="18" customHeight="1" thickTop="1" thickBot="1" x14ac:dyDescent="0.5">
      <c r="B6" s="25" t="s">
        <v>9</v>
      </c>
      <c r="C6" s="25"/>
      <c r="D6" s="26"/>
      <c r="E6" s="26"/>
      <c r="F6" s="27" t="s">
        <v>10</v>
      </c>
      <c r="G6" s="28"/>
      <c r="H6" s="28" t="s">
        <v>233</v>
      </c>
      <c r="J6" s="29" t="s">
        <v>29</v>
      </c>
      <c r="K6" s="452">
        <v>201911491</v>
      </c>
      <c r="L6" s="453"/>
    </row>
    <row r="7" spans="2:15" ht="20.149999999999999" customHeight="1" x14ac:dyDescent="0.45">
      <c r="B7" s="454"/>
      <c r="C7" s="455"/>
      <c r="D7" s="456"/>
      <c r="E7" s="30"/>
      <c r="F7" s="457" t="str">
        <f>VLOOKUP(H6,'Delivery Location'!A$4:N$416,2,0)</f>
        <v>CHENDOL                                                          Blk 84, Marine Parade #01-09</v>
      </c>
      <c r="G7" s="458"/>
      <c r="H7" s="459"/>
      <c r="J7" s="31" t="s">
        <v>11</v>
      </c>
      <c r="K7" s="551" t="s">
        <v>866</v>
      </c>
      <c r="L7" s="472"/>
    </row>
    <row r="8" spans="2:15" ht="20.149999999999999" customHeight="1" x14ac:dyDescent="0.45">
      <c r="B8" s="468"/>
      <c r="C8" s="469"/>
      <c r="D8" s="470"/>
      <c r="E8" s="30"/>
      <c r="F8" s="460"/>
      <c r="G8" s="461"/>
      <c r="H8" s="462"/>
      <c r="J8" s="31" t="s">
        <v>171</v>
      </c>
      <c r="K8" s="471" t="s">
        <v>533</v>
      </c>
      <c r="L8" s="472"/>
    </row>
    <row r="9" spans="2:15" ht="20.149999999999999" customHeight="1" x14ac:dyDescent="0.45">
      <c r="B9" s="468"/>
      <c r="C9" s="469"/>
      <c r="D9" s="470"/>
      <c r="E9" s="30"/>
      <c r="F9" s="460"/>
      <c r="G9" s="461"/>
      <c r="H9" s="462"/>
      <c r="J9" s="31" t="s">
        <v>12</v>
      </c>
      <c r="K9" s="471" t="s">
        <v>688</v>
      </c>
      <c r="L9" s="472"/>
    </row>
    <row r="10" spans="2:15" ht="20.149999999999999" customHeight="1" x14ac:dyDescent="0.45">
      <c r="B10" s="468"/>
      <c r="C10" s="469"/>
      <c r="D10" s="470"/>
      <c r="E10" s="30"/>
      <c r="F10" s="460"/>
      <c r="G10" s="461"/>
      <c r="H10" s="462"/>
      <c r="J10" s="31" t="s">
        <v>30</v>
      </c>
      <c r="K10" s="471" t="s">
        <v>16</v>
      </c>
      <c r="L10" s="472"/>
    </row>
    <row r="11" spans="2:15" ht="18" customHeight="1" thickBot="1" x14ac:dyDescent="0.5">
      <c r="B11" s="552"/>
      <c r="C11" s="474"/>
      <c r="D11" s="475"/>
      <c r="E11" s="26"/>
      <c r="F11" s="463"/>
      <c r="G11" s="464"/>
      <c r="H11" s="465"/>
      <c r="J11" s="32" t="s">
        <v>13</v>
      </c>
      <c r="K11" s="476"/>
      <c r="L11" s="477"/>
    </row>
    <row r="12" spans="2:15" ht="19" thickBot="1" x14ac:dyDescent="0.5">
      <c r="J12" s="22"/>
    </row>
    <row r="13" spans="2:15" ht="30" customHeight="1" thickBot="1" x14ac:dyDescent="0.5">
      <c r="B13" s="8" t="s">
        <v>2</v>
      </c>
      <c r="C13" s="9" t="s">
        <v>3</v>
      </c>
      <c r="D13" s="478" t="s">
        <v>4</v>
      </c>
      <c r="E13" s="483"/>
      <c r="F13" s="479"/>
      <c r="G13" s="19" t="s">
        <v>620</v>
      </c>
      <c r="H13" s="8" t="s">
        <v>622</v>
      </c>
      <c r="I13" s="478" t="s">
        <v>621</v>
      </c>
      <c r="J13" s="479"/>
      <c r="K13" s="9" t="s">
        <v>6</v>
      </c>
      <c r="L13" s="10" t="s">
        <v>7</v>
      </c>
      <c r="M13" s="33"/>
      <c r="N13" s="33"/>
      <c r="O13" s="33"/>
    </row>
    <row r="14" spans="2:15" ht="20.149999999999999" customHeight="1" x14ac:dyDescent="0.45">
      <c r="B14" s="34"/>
      <c r="C14" s="22" t="s">
        <v>438</v>
      </c>
      <c r="D14" s="508" t="e">
        <f>VLOOKUP(C14,'Sales Master'!B$3:D$499,2,)</f>
        <v>#N/A</v>
      </c>
      <c r="E14" s="508"/>
      <c r="F14" s="508"/>
      <c r="G14" s="22">
        <v>1</v>
      </c>
      <c r="H14" s="68" t="e">
        <f>VLOOKUP(C14,'Sales Master'!$B$3:$E$590,4,0)</f>
        <v>#N/A</v>
      </c>
      <c r="I14" s="481" t="e">
        <f>VLOOKUP(C14,'Sales Master'!$B$3:F$590,5,0)</f>
        <v>#N/A</v>
      </c>
      <c r="J14" s="481"/>
      <c r="K14" s="94" t="e">
        <f>VLOOKUP(C14,'Sales Master'!B$3:AJ$499,35,0)</f>
        <v>#N/A</v>
      </c>
      <c r="L14" s="77" t="e">
        <f>K14*G14</f>
        <v>#N/A</v>
      </c>
      <c r="M14" s="96"/>
    </row>
    <row r="15" spans="2:15" ht="20.149999999999999" customHeight="1" x14ac:dyDescent="0.45">
      <c r="B15" s="34"/>
      <c r="C15" s="22" t="s">
        <v>440</v>
      </c>
      <c r="D15" s="508" t="e">
        <f>VLOOKUP(C15,'Sales Master'!B$3:D$499,2,)</f>
        <v>#N/A</v>
      </c>
      <c r="E15" s="508"/>
      <c r="F15" s="508"/>
      <c r="G15" s="22">
        <v>2</v>
      </c>
      <c r="H15" s="68" t="e">
        <f>VLOOKUP(C15,'Sales Master'!$B$3:$E$590,4,0)</f>
        <v>#N/A</v>
      </c>
      <c r="I15" s="481" t="e">
        <f>VLOOKUP(C15,'Sales Master'!$B$3:F$590,5,0)</f>
        <v>#N/A</v>
      </c>
      <c r="J15" s="481"/>
      <c r="K15" s="94" t="e">
        <f>VLOOKUP(C15,'Sales Master'!B$3:AJ$499,35,0)</f>
        <v>#N/A</v>
      </c>
      <c r="L15" s="77" t="e">
        <f>K15*G15</f>
        <v>#N/A</v>
      </c>
      <c r="M15" s="78"/>
    </row>
    <row r="16" spans="2:15" ht="20.149999999999999" customHeight="1" x14ac:dyDescent="0.45">
      <c r="B16" s="34"/>
      <c r="C16" s="22"/>
      <c r="D16" s="508"/>
      <c r="E16" s="508"/>
      <c r="F16" s="508"/>
      <c r="G16" s="22" t="s">
        <v>720</v>
      </c>
      <c r="H16" s="68"/>
      <c r="I16" s="481"/>
      <c r="J16" s="481"/>
      <c r="K16" s="94"/>
      <c r="L16" s="77"/>
      <c r="M16" s="78"/>
    </row>
    <row r="17" spans="2:13" ht="20.149999999999999" customHeight="1" x14ac:dyDescent="0.45">
      <c r="B17" s="34"/>
      <c r="C17" s="22"/>
      <c r="D17" s="508"/>
      <c r="E17" s="508"/>
      <c r="F17" s="508"/>
      <c r="G17" s="22"/>
      <c r="H17" s="68"/>
      <c r="I17" s="481"/>
      <c r="J17" s="481"/>
      <c r="K17" s="94"/>
      <c r="L17" s="77"/>
      <c r="M17" s="78"/>
    </row>
    <row r="18" spans="2:13" ht="20.149999999999999" customHeight="1" x14ac:dyDescent="0.45">
      <c r="B18" s="34"/>
      <c r="C18" s="22"/>
      <c r="D18" s="508"/>
      <c r="E18" s="508"/>
      <c r="F18" s="508"/>
      <c r="G18" s="22"/>
      <c r="H18" s="68"/>
      <c r="I18" s="481"/>
      <c r="J18" s="481"/>
      <c r="K18" s="94"/>
      <c r="L18" s="77"/>
      <c r="M18" s="78"/>
    </row>
    <row r="19" spans="2:13" ht="20.149999999999999" customHeight="1" x14ac:dyDescent="0.45">
      <c r="B19" s="34"/>
      <c r="C19" s="22"/>
      <c r="D19" s="508"/>
      <c r="E19" s="508"/>
      <c r="F19" s="508"/>
      <c r="G19" s="22"/>
      <c r="H19" s="68"/>
      <c r="I19" s="481"/>
      <c r="J19" s="481"/>
      <c r="K19" s="94"/>
      <c r="L19" s="77"/>
      <c r="M19" s="78"/>
    </row>
    <row r="20" spans="2:13" ht="20.149999999999999" customHeight="1" x14ac:dyDescent="0.45">
      <c r="B20" s="34"/>
      <c r="C20" s="22"/>
      <c r="D20" s="508"/>
      <c r="E20" s="508"/>
      <c r="F20" s="508"/>
      <c r="G20" s="22"/>
      <c r="H20" s="68"/>
      <c r="I20" s="481"/>
      <c r="J20" s="481"/>
      <c r="K20" s="94"/>
      <c r="L20" s="77"/>
      <c r="M20" s="78"/>
    </row>
    <row r="21" spans="2:13" ht="20.149999999999999" customHeight="1" x14ac:dyDescent="0.45">
      <c r="B21" s="34"/>
      <c r="C21" s="22"/>
      <c r="D21" s="508"/>
      <c r="E21" s="508"/>
      <c r="F21" s="508"/>
      <c r="G21" s="22"/>
      <c r="H21" s="68"/>
      <c r="I21" s="450"/>
      <c r="J21" s="450"/>
      <c r="K21" s="94"/>
      <c r="L21" s="77"/>
      <c r="M21" s="78"/>
    </row>
    <row r="22" spans="2:13" ht="20.149999999999999" customHeight="1" x14ac:dyDescent="0.45">
      <c r="B22" s="34"/>
      <c r="C22" s="22"/>
      <c r="D22" s="508"/>
      <c r="E22" s="508"/>
      <c r="F22" s="508"/>
      <c r="G22" s="22"/>
      <c r="H22" s="68"/>
      <c r="I22" s="450"/>
      <c r="J22" s="450"/>
      <c r="K22" s="94"/>
      <c r="L22" s="77"/>
      <c r="M22" s="78"/>
    </row>
    <row r="23" spans="2:13" ht="20.149999999999999" customHeight="1" x14ac:dyDescent="0.45">
      <c r="B23" s="34"/>
      <c r="C23" s="22"/>
      <c r="D23" s="508"/>
      <c r="E23" s="508"/>
      <c r="F23" s="508"/>
      <c r="G23" s="22"/>
      <c r="H23" s="68"/>
      <c r="I23" s="450"/>
      <c r="J23" s="450"/>
      <c r="K23" s="94"/>
      <c r="L23" s="77"/>
      <c r="M23" s="78"/>
    </row>
    <row r="24" spans="2:13" ht="20.149999999999999" customHeight="1" x14ac:dyDescent="0.45">
      <c r="B24" s="34"/>
      <c r="C24" s="22"/>
      <c r="D24" s="508"/>
      <c r="E24" s="508"/>
      <c r="F24" s="508"/>
      <c r="G24" s="22"/>
      <c r="H24" s="68"/>
      <c r="I24" s="450"/>
      <c r="J24" s="450"/>
      <c r="K24" s="94"/>
      <c r="L24" s="77"/>
      <c r="M24" s="78"/>
    </row>
    <row r="25" spans="2:13" ht="20.149999999999999" customHeight="1" x14ac:dyDescent="0.45">
      <c r="B25" s="34"/>
      <c r="C25" s="22"/>
      <c r="D25" s="508"/>
      <c r="E25" s="508"/>
      <c r="F25" s="508"/>
      <c r="G25" s="22"/>
      <c r="H25" s="68"/>
      <c r="I25" s="450"/>
      <c r="J25" s="450"/>
      <c r="K25" s="94"/>
      <c r="L25" s="77"/>
      <c r="M25" s="78"/>
    </row>
    <row r="26" spans="2:13" ht="20.149999999999999" customHeight="1" x14ac:dyDescent="0.45">
      <c r="B26" s="34"/>
      <c r="C26" s="22"/>
      <c r="D26" s="508"/>
      <c r="E26" s="508"/>
      <c r="F26" s="508"/>
      <c r="G26" s="22"/>
      <c r="H26" s="68"/>
      <c r="I26" s="450"/>
      <c r="J26" s="450"/>
      <c r="K26" s="94"/>
      <c r="L26" s="77"/>
      <c r="M26" s="78"/>
    </row>
    <row r="27" spans="2:13" ht="20.149999999999999" customHeight="1" x14ac:dyDescent="0.45">
      <c r="B27" s="34"/>
      <c r="C27" s="22"/>
      <c r="D27" s="508"/>
      <c r="E27" s="508"/>
      <c r="F27" s="508"/>
      <c r="G27" s="22"/>
      <c r="H27" s="68"/>
      <c r="I27" s="450"/>
      <c r="J27" s="450"/>
      <c r="K27" s="94"/>
      <c r="L27" s="77"/>
      <c r="M27" s="78"/>
    </row>
    <row r="28" spans="2:13" ht="20.149999999999999" customHeight="1" x14ac:dyDescent="0.45">
      <c r="B28" s="34"/>
      <c r="C28" s="22"/>
      <c r="D28" s="508"/>
      <c r="E28" s="508"/>
      <c r="F28" s="508"/>
      <c r="G28" s="22"/>
      <c r="H28" s="68"/>
      <c r="I28" s="450"/>
      <c r="J28" s="450"/>
      <c r="K28" s="94"/>
      <c r="L28" s="77"/>
      <c r="M28" s="78"/>
    </row>
    <row r="29" spans="2:13" ht="20.149999999999999" customHeight="1" x14ac:dyDescent="0.45">
      <c r="B29" s="34"/>
      <c r="C29" s="22"/>
      <c r="D29" s="508"/>
      <c r="E29" s="508"/>
      <c r="F29" s="508"/>
      <c r="G29" s="22"/>
      <c r="H29" s="68"/>
      <c r="I29" s="450"/>
      <c r="J29" s="450"/>
      <c r="K29" s="94"/>
      <c r="L29" s="77"/>
      <c r="M29" s="78"/>
    </row>
    <row r="30" spans="2:13" ht="20.149999999999999" customHeight="1" x14ac:dyDescent="0.45">
      <c r="B30" s="34"/>
      <c r="C30" s="22"/>
      <c r="D30" s="508"/>
      <c r="E30" s="508"/>
      <c r="F30" s="508"/>
      <c r="G30" s="22"/>
      <c r="H30" s="68"/>
      <c r="I30" s="450"/>
      <c r="J30" s="450"/>
      <c r="K30" s="94"/>
      <c r="L30" s="77"/>
      <c r="M30" s="78"/>
    </row>
    <row r="31" spans="2:13" ht="20.149999999999999" customHeight="1" x14ac:dyDescent="0.45">
      <c r="B31" s="34"/>
      <c r="C31" s="22"/>
      <c r="D31" s="508"/>
      <c r="E31" s="508"/>
      <c r="F31" s="508"/>
      <c r="G31" s="22"/>
      <c r="H31" s="68"/>
      <c r="I31" s="450"/>
      <c r="J31" s="450"/>
      <c r="K31" s="94"/>
      <c r="L31" s="77"/>
      <c r="M31" s="78"/>
    </row>
    <row r="32" spans="2:13" ht="20.149999999999999" customHeight="1" x14ac:dyDescent="0.45">
      <c r="B32" s="34"/>
      <c r="C32" s="22"/>
      <c r="D32" s="508"/>
      <c r="E32" s="508"/>
      <c r="F32" s="508"/>
      <c r="G32" s="22"/>
      <c r="H32" s="68"/>
      <c r="I32" s="450"/>
      <c r="J32" s="450"/>
      <c r="K32" s="94"/>
      <c r="L32" s="77"/>
    </row>
    <row r="33" spans="2:13" ht="20.149999999999999" customHeight="1" thickBot="1" x14ac:dyDescent="0.5">
      <c r="B33" s="37"/>
      <c r="C33" s="38"/>
      <c r="D33" s="509"/>
      <c r="E33" s="509"/>
      <c r="F33" s="509"/>
      <c r="G33" s="38"/>
      <c r="H33" s="69"/>
      <c r="I33" s="451"/>
      <c r="J33" s="451"/>
      <c r="K33" s="39"/>
      <c r="L33" s="40"/>
    </row>
    <row r="34" spans="2:13" ht="20.149999999999999" customHeight="1" thickBot="1" x14ac:dyDescent="0.5">
      <c r="B34" s="41"/>
      <c r="L34" s="42"/>
    </row>
    <row r="35" spans="2:13" ht="20.149999999999999" customHeight="1" x14ac:dyDescent="0.45">
      <c r="B35" s="11" t="s">
        <v>18</v>
      </c>
      <c r="C35" s="7"/>
      <c r="D35" s="7"/>
      <c r="E35" s="7"/>
      <c r="F35" s="7"/>
      <c r="G35" s="7"/>
      <c r="H35" s="7"/>
      <c r="I35" s="7"/>
      <c r="J35" s="510" t="s">
        <v>15</v>
      </c>
      <c r="K35" s="511"/>
      <c r="L35" s="43" t="e">
        <f>SUM(L13:L32)</f>
        <v>#N/A</v>
      </c>
      <c r="M35" s="76">
        <f>166+26</f>
        <v>192</v>
      </c>
    </row>
    <row r="36" spans="2:13" ht="20.149999999999999" customHeight="1" x14ac:dyDescent="0.45">
      <c r="B36" s="11" t="s">
        <v>19</v>
      </c>
      <c r="C36" s="7"/>
      <c r="D36" s="7"/>
      <c r="E36" s="7"/>
      <c r="F36" s="7"/>
      <c r="G36" s="7"/>
      <c r="H36" s="7"/>
      <c r="I36" s="7"/>
      <c r="J36" s="44" t="s">
        <v>22</v>
      </c>
      <c r="K36" s="45"/>
      <c r="L36" s="46" t="e">
        <f>L35*K36</f>
        <v>#N/A</v>
      </c>
    </row>
    <row r="37" spans="2:13" ht="20.149999999999999" customHeight="1" x14ac:dyDescent="0.45">
      <c r="B37" s="11" t="s">
        <v>20</v>
      </c>
      <c r="C37" s="7"/>
      <c r="D37" s="7"/>
      <c r="E37" s="7"/>
      <c r="F37" s="7"/>
      <c r="G37" s="7"/>
      <c r="H37" s="7"/>
      <c r="I37" s="7"/>
      <c r="J37" s="486" t="s">
        <v>21</v>
      </c>
      <c r="K37" s="487"/>
      <c r="L37" s="46" t="e">
        <f>L35-L36</f>
        <v>#N/A</v>
      </c>
    </row>
    <row r="38" spans="2:13" ht="20.149999999999999" customHeight="1" x14ac:dyDescent="0.45">
      <c r="B38" s="11" t="s">
        <v>24</v>
      </c>
      <c r="C38" s="7"/>
      <c r="D38" s="7"/>
      <c r="E38" s="7"/>
      <c r="F38" s="7"/>
      <c r="G38" s="7"/>
      <c r="H38" s="7"/>
      <c r="I38" s="7"/>
      <c r="J38" s="150" t="s">
        <v>17</v>
      </c>
      <c r="K38" s="151">
        <v>7.0000000000000007E-2</v>
      </c>
      <c r="L38" s="47" t="e">
        <f>L37*K38</f>
        <v>#N/A</v>
      </c>
    </row>
    <row r="39" spans="2:13" ht="20.149999999999999" customHeight="1" thickBot="1" x14ac:dyDescent="0.5">
      <c r="B39" s="11" t="s">
        <v>25</v>
      </c>
      <c r="C39" s="7"/>
      <c r="D39" s="7"/>
      <c r="E39" s="7"/>
      <c r="F39" s="7"/>
      <c r="G39" s="7"/>
      <c r="H39" s="7"/>
      <c r="I39" s="7"/>
      <c r="J39" s="488" t="s">
        <v>23</v>
      </c>
      <c r="K39" s="489"/>
      <c r="L39" s="48" t="e">
        <f>L37+L38</f>
        <v>#N/A</v>
      </c>
    </row>
    <row r="40" spans="2:13" ht="20.149999999999999" customHeight="1" x14ac:dyDescent="0.45">
      <c r="B40" s="11" t="s">
        <v>26</v>
      </c>
      <c r="C40" s="7"/>
      <c r="D40" s="7"/>
      <c r="E40" s="7"/>
      <c r="F40" s="7"/>
      <c r="G40" s="7"/>
      <c r="H40" s="7"/>
      <c r="I40" s="7"/>
      <c r="L40" s="42"/>
    </row>
    <row r="41" spans="2:13" ht="20.149999999999999" customHeight="1" x14ac:dyDescent="0.45">
      <c r="B41" s="41"/>
      <c r="L41" s="42"/>
    </row>
    <row r="42" spans="2:13" ht="20.149999999999999" customHeight="1" x14ac:dyDescent="0.45">
      <c r="B42" s="41"/>
      <c r="L42" s="42"/>
    </row>
    <row r="43" spans="2:13" ht="20.149999999999999" customHeight="1" x14ac:dyDescent="0.45">
      <c r="B43" s="41"/>
      <c r="L43" s="42"/>
    </row>
    <row r="44" spans="2:13" ht="20.149999999999999" customHeight="1" x14ac:dyDescent="0.45">
      <c r="B44" s="41"/>
      <c r="L44" s="42"/>
    </row>
    <row r="45" spans="2:13" ht="20.149999999999999" customHeight="1" x14ac:dyDescent="0.45">
      <c r="B45" s="49"/>
      <c r="C45" s="50"/>
      <c r="D45" s="50"/>
      <c r="J45" s="50"/>
      <c r="K45" s="50"/>
      <c r="L45" s="51"/>
    </row>
    <row r="46" spans="2:13" ht="20.149999999999999" customHeight="1" x14ac:dyDescent="0.45">
      <c r="B46" s="41" t="s">
        <v>27</v>
      </c>
      <c r="J46" s="24" t="s">
        <v>28</v>
      </c>
      <c r="L46" s="42"/>
    </row>
    <row r="47" spans="2:13" ht="19" thickBot="1" x14ac:dyDescent="0.5">
      <c r="B47" s="52"/>
      <c r="C47" s="53"/>
      <c r="D47" s="53"/>
      <c r="E47" s="53"/>
      <c r="F47" s="53"/>
      <c r="G47" s="53"/>
      <c r="H47" s="53"/>
      <c r="I47" s="53"/>
      <c r="J47" s="53"/>
      <c r="K47" s="53"/>
      <c r="L47" s="54"/>
    </row>
  </sheetData>
  <mergeCells count="57">
    <mergeCell ref="K6:L6"/>
    <mergeCell ref="B7:D7"/>
    <mergeCell ref="F7:H11"/>
    <mergeCell ref="K7:L7"/>
    <mergeCell ref="B8:D8"/>
    <mergeCell ref="K8:L8"/>
    <mergeCell ref="B9:D9"/>
    <mergeCell ref="K9:L9"/>
    <mergeCell ref="B10:D10"/>
    <mergeCell ref="K10:L10"/>
    <mergeCell ref="B11:D11"/>
    <mergeCell ref="K11:L11"/>
    <mergeCell ref="D13:F13"/>
    <mergeCell ref="I13:J13"/>
    <mergeCell ref="D14:F14"/>
    <mergeCell ref="I14:J14"/>
    <mergeCell ref="D15:F15"/>
    <mergeCell ref="I15:J15"/>
    <mergeCell ref="D16:F16"/>
    <mergeCell ref="I16:J16"/>
    <mergeCell ref="D17:F17"/>
    <mergeCell ref="I17:J17"/>
    <mergeCell ref="D18:F18"/>
    <mergeCell ref="I18:J18"/>
    <mergeCell ref="D19:F19"/>
    <mergeCell ref="I19:J19"/>
    <mergeCell ref="D20:F20"/>
    <mergeCell ref="I20:J20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D28:F28"/>
    <mergeCell ref="I28:J28"/>
    <mergeCell ref="D29:F29"/>
    <mergeCell ref="I29:J29"/>
    <mergeCell ref="J39:K39"/>
    <mergeCell ref="D30:F30"/>
    <mergeCell ref="I30:J30"/>
    <mergeCell ref="D31:F31"/>
    <mergeCell ref="I31:J31"/>
    <mergeCell ref="D32:F32"/>
    <mergeCell ref="I32:J32"/>
    <mergeCell ref="D33:F33"/>
    <mergeCell ref="I33:J33"/>
    <mergeCell ref="J35:K35"/>
    <mergeCell ref="J37:K37"/>
  </mergeCells>
  <pageMargins left="0.70866141732283505" right="0.31496062992126" top="2.1653543307086598" bottom="0" header="0.31496062992126" footer="0.31496062992126"/>
  <pageSetup paperSize="9" scale="76" orientation="portrait" verticalDpi="300"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6B181E-85D5-4A69-94D7-4EE77CB60A6A}">
  <sheetPr codeName="Sheet176">
    <tabColor rgb="FFFFFF00"/>
    <pageSetUpPr fitToPage="1"/>
  </sheetPr>
  <dimension ref="B5:V47"/>
  <sheetViews>
    <sheetView topLeftCell="A5" workbookViewId="0">
      <selection activeCell="K6" sqref="K6:L6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6.54296875" style="24" customWidth="1"/>
    <col min="7" max="7" width="8.54296875" style="24" customWidth="1"/>
    <col min="8" max="8" width="12.54296875" style="24" customWidth="1"/>
    <col min="9" max="9" width="2.54296875" style="24" customWidth="1"/>
    <col min="10" max="10" width="15.54296875" style="24" customWidth="1"/>
    <col min="11" max="12" width="12.54296875" style="24" customWidth="1"/>
    <col min="13" max="16384" width="12.54296875" style="24"/>
  </cols>
  <sheetData>
    <row r="5" spans="2:22" ht="19" thickBot="1" x14ac:dyDescent="0.5">
      <c r="B5" s="23"/>
    </row>
    <row r="6" spans="2:22" ht="18" customHeight="1" thickTop="1" thickBot="1" x14ac:dyDescent="0.5">
      <c r="B6" s="25" t="s">
        <v>9</v>
      </c>
      <c r="C6" s="25"/>
      <c r="D6" s="26"/>
      <c r="E6" s="26"/>
      <c r="F6" s="27" t="s">
        <v>10</v>
      </c>
      <c r="G6" s="28"/>
      <c r="H6" s="28" t="s">
        <v>637</v>
      </c>
      <c r="J6" s="29" t="s">
        <v>29</v>
      </c>
      <c r="K6" s="452">
        <v>202002049</v>
      </c>
      <c r="L6" s="453"/>
    </row>
    <row r="7" spans="2:22" ht="20.149999999999999" customHeight="1" x14ac:dyDescent="0.45">
      <c r="B7" s="454" t="s">
        <v>636</v>
      </c>
      <c r="C7" s="455"/>
      <c r="D7" s="456"/>
      <c r="E7" s="30"/>
      <c r="F7" s="457" t="str">
        <f>VLOOKUP(H6,'Delivery Location'!A$4:N$416,2,0)</f>
        <v>Dessert Delight                                          Blk 162, Tampines Street #05-239 Singapore 521162</v>
      </c>
      <c r="G7" s="458"/>
      <c r="H7" s="459"/>
      <c r="J7" s="31" t="s">
        <v>11</v>
      </c>
      <c r="K7" s="551">
        <v>43892</v>
      </c>
      <c r="L7" s="472"/>
    </row>
    <row r="8" spans="2:22" ht="20.149999999999999" customHeight="1" x14ac:dyDescent="0.45">
      <c r="B8" s="468" t="s">
        <v>638</v>
      </c>
      <c r="C8" s="469"/>
      <c r="D8" s="470"/>
      <c r="E8" s="30"/>
      <c r="F8" s="460"/>
      <c r="G8" s="461"/>
      <c r="H8" s="462"/>
      <c r="J8" s="31" t="s">
        <v>171</v>
      </c>
      <c r="K8" s="471" t="s">
        <v>533</v>
      </c>
      <c r="L8" s="472"/>
    </row>
    <row r="9" spans="2:22" ht="20.149999999999999" customHeight="1" x14ac:dyDescent="0.45">
      <c r="B9" s="468" t="s">
        <v>639</v>
      </c>
      <c r="C9" s="469"/>
      <c r="D9" s="470"/>
      <c r="E9" s="30"/>
      <c r="F9" s="460"/>
      <c r="G9" s="461"/>
      <c r="H9" s="462"/>
      <c r="J9" s="31" t="s">
        <v>12</v>
      </c>
      <c r="K9" s="471" t="s">
        <v>14</v>
      </c>
      <c r="L9" s="472"/>
    </row>
    <row r="10" spans="2:22" ht="20.149999999999999" customHeight="1" x14ac:dyDescent="0.45">
      <c r="B10" s="468" t="s">
        <v>641</v>
      </c>
      <c r="C10" s="469"/>
      <c r="D10" s="470"/>
      <c r="E10" s="30"/>
      <c r="F10" s="460"/>
      <c r="G10" s="461"/>
      <c r="H10" s="462"/>
      <c r="J10" s="31" t="s">
        <v>30</v>
      </c>
      <c r="K10" s="471" t="s">
        <v>16</v>
      </c>
      <c r="L10" s="472"/>
    </row>
    <row r="11" spans="2:22" ht="18" customHeight="1" thickBot="1" x14ac:dyDescent="0.5">
      <c r="B11" s="55"/>
      <c r="C11" s="56"/>
      <c r="D11" s="57"/>
      <c r="E11" s="26"/>
      <c r="F11" s="463"/>
      <c r="G11" s="464"/>
      <c r="H11" s="465"/>
      <c r="J11" s="32" t="s">
        <v>13</v>
      </c>
      <c r="K11" s="476"/>
      <c r="L11" s="477"/>
    </row>
    <row r="12" spans="2:22" ht="19" thickBot="1" x14ac:dyDescent="0.5">
      <c r="J12" s="22"/>
    </row>
    <row r="13" spans="2:22" ht="30" customHeight="1" thickBot="1" x14ac:dyDescent="0.5">
      <c r="B13" s="8" t="s">
        <v>2</v>
      </c>
      <c r="C13" s="9" t="s">
        <v>3</v>
      </c>
      <c r="D13" s="478" t="s">
        <v>4</v>
      </c>
      <c r="E13" s="483"/>
      <c r="F13" s="479"/>
      <c r="G13" s="19" t="s">
        <v>620</v>
      </c>
      <c r="H13" s="9" t="s">
        <v>31</v>
      </c>
      <c r="I13" s="478" t="s">
        <v>60</v>
      </c>
      <c r="J13" s="479"/>
      <c r="K13" s="9" t="s">
        <v>6</v>
      </c>
      <c r="L13" s="10" t="s">
        <v>7</v>
      </c>
      <c r="M13" s="33"/>
      <c r="N13" s="33"/>
      <c r="O13" s="33"/>
    </row>
    <row r="14" spans="2:22" ht="20.149999999999999" customHeight="1" x14ac:dyDescent="0.45">
      <c r="B14" s="34"/>
      <c r="C14" s="22" t="s">
        <v>401</v>
      </c>
      <c r="D14" s="480" t="e">
        <f>VLOOKUP(C14,'[2]Sales Master'!B$3:D$223,2,0)</f>
        <v>#N/A</v>
      </c>
      <c r="E14" s="480"/>
      <c r="F14" s="480"/>
      <c r="G14" s="153">
        <v>3</v>
      </c>
      <c r="H14" s="160" t="e">
        <f>VLOOKUP(C14,'[2]Sales Master'!B$3:F$736,5,0)</f>
        <v>#N/A</v>
      </c>
      <c r="I14" s="615" t="e">
        <f>VLOOKUP(C14,'[2]Sales Master'!B$3:E$736,4,0)</f>
        <v>#N/A</v>
      </c>
      <c r="J14" s="615"/>
      <c r="K14" s="98" t="e">
        <f>VLOOKUP(C14,'Sales Master'!B$3:AD$499,29,0)</f>
        <v>#N/A</v>
      </c>
      <c r="L14" s="77" t="e">
        <f t="shared" ref="L14:L21" si="0">K14*G14</f>
        <v>#N/A</v>
      </c>
      <c r="M14" s="78"/>
      <c r="N14" s="125" t="s">
        <v>422</v>
      </c>
      <c r="O14" s="24" t="s">
        <v>315</v>
      </c>
      <c r="R14" s="24">
        <v>5</v>
      </c>
      <c r="S14" s="24" t="s">
        <v>57</v>
      </c>
      <c r="T14" s="24" t="s">
        <v>34</v>
      </c>
      <c r="V14" s="24">
        <v>7.5</v>
      </c>
    </row>
    <row r="15" spans="2:22" ht="20.149999999999999" customHeight="1" x14ac:dyDescent="0.45">
      <c r="B15" s="34"/>
      <c r="C15" s="22" t="s">
        <v>404</v>
      </c>
      <c r="D15" s="480" t="str">
        <f>VLOOKUP(C15,'[2]Sales Master'!B$3:D$223,2,0)</f>
        <v>Chia Tao赤豆</v>
      </c>
      <c r="E15" s="480"/>
      <c r="F15" s="480"/>
      <c r="G15" s="177">
        <v>0</v>
      </c>
      <c r="H15" s="68" t="str">
        <f>VLOOKUP(C15,'[2]Sales Master'!B$3:F$736,5,0)</f>
        <v>5 kgs</v>
      </c>
      <c r="I15" s="481" t="str">
        <f>VLOOKUP(C15,'[2]Sales Master'!B$3:E$736,4,0)</f>
        <v>-</v>
      </c>
      <c r="J15" s="481"/>
      <c r="K15" s="98" t="e">
        <f>VLOOKUP(C15,'Sales Master'!B$3:AD$499,29,0)</f>
        <v>#N/A</v>
      </c>
      <c r="L15" s="99" t="e">
        <f t="shared" si="0"/>
        <v>#N/A</v>
      </c>
      <c r="M15" s="78"/>
      <c r="N15" s="24" t="s">
        <v>629</v>
      </c>
      <c r="O15" s="24" t="s">
        <v>295</v>
      </c>
      <c r="R15" s="24">
        <v>1</v>
      </c>
      <c r="S15" s="24" t="s">
        <v>61</v>
      </c>
      <c r="T15" s="24" t="s">
        <v>529</v>
      </c>
      <c r="V15" s="24">
        <v>9</v>
      </c>
    </row>
    <row r="16" spans="2:22" ht="20.149999999999999" customHeight="1" x14ac:dyDescent="0.45">
      <c r="B16" s="34"/>
      <c r="C16" s="22" t="s">
        <v>405</v>
      </c>
      <c r="D16" s="480" t="str">
        <f>VLOOKUP(C16,'[2]Sales Master'!B$3:D$223,2,0)</f>
        <v>Green Bean 绿豆</v>
      </c>
      <c r="E16" s="480"/>
      <c r="F16" s="480"/>
      <c r="G16" s="22">
        <v>2</v>
      </c>
      <c r="H16" s="68" t="str">
        <f>VLOOKUP(C16,'[2]Sales Master'!B$3:F$736,5,0)</f>
        <v>5 KGS</v>
      </c>
      <c r="I16" s="481" t="str">
        <f>VLOOKUP(C16,'[2]Sales Master'!B$3:E$736,4,0)</f>
        <v>-</v>
      </c>
      <c r="J16" s="481"/>
      <c r="K16" s="94" t="e">
        <f>VLOOKUP(C16,'Sales Master'!B$3:AD$499,29,0)</f>
        <v>#N/A</v>
      </c>
      <c r="L16" s="77" t="e">
        <f t="shared" si="0"/>
        <v>#N/A</v>
      </c>
      <c r="M16" s="78"/>
      <c r="N16" s="24" t="s">
        <v>400</v>
      </c>
      <c r="O16" s="24" t="s">
        <v>625</v>
      </c>
      <c r="R16" s="24">
        <v>3</v>
      </c>
      <c r="S16" s="24" t="s">
        <v>36</v>
      </c>
      <c r="T16" s="24" t="s">
        <v>54</v>
      </c>
      <c r="V16" s="24">
        <v>13</v>
      </c>
    </row>
    <row r="17" spans="2:22" ht="20.149999999999999" customHeight="1" x14ac:dyDescent="0.45">
      <c r="B17" s="34"/>
      <c r="C17" s="22" t="s">
        <v>413</v>
      </c>
      <c r="D17" s="480" t="str">
        <f>VLOOKUP(C17,'[2]Sales Master'!B$3:D$223,2,0)</f>
        <v>Dried Longan 龙眼干</v>
      </c>
      <c r="E17" s="480"/>
      <c r="F17" s="480"/>
      <c r="G17" s="177">
        <v>1</v>
      </c>
      <c r="H17" s="68" t="str">
        <f>VLOOKUP(C17,'[2]Sales Master'!B$3:F$736,5,0)</f>
        <v>1 kg</v>
      </c>
      <c r="I17" s="481" t="str">
        <f>VLOOKUP(C17,'[2]Sales Master'!B$3:E$736,4,0)</f>
        <v>TL</v>
      </c>
      <c r="J17" s="481"/>
      <c r="K17" s="94" t="e">
        <f>VLOOKUP(C17,'Sales Master'!B$3:AD$499,29,0)</f>
        <v>#N/A</v>
      </c>
      <c r="L17" s="77" t="e">
        <f t="shared" si="0"/>
        <v>#N/A</v>
      </c>
      <c r="M17" s="78"/>
      <c r="N17" s="24" t="s">
        <v>404</v>
      </c>
      <c r="O17" s="24" t="s">
        <v>303</v>
      </c>
      <c r="R17" s="24">
        <v>3</v>
      </c>
      <c r="S17" s="24" t="s">
        <v>36</v>
      </c>
      <c r="T17" s="24" t="s">
        <v>54</v>
      </c>
      <c r="V17" s="24">
        <v>13</v>
      </c>
    </row>
    <row r="18" spans="2:22" ht="20.149999999999999" customHeight="1" x14ac:dyDescent="0.45">
      <c r="B18" s="34"/>
      <c r="C18" s="22" t="s">
        <v>420</v>
      </c>
      <c r="D18" s="480" t="str">
        <f>VLOOKUP(C18,'[2]Sales Master'!B$3:D$223,2,0)</f>
        <v>Lotus Seed 莲子(无）</v>
      </c>
      <c r="E18" s="480"/>
      <c r="F18" s="480"/>
      <c r="G18" s="177">
        <v>0</v>
      </c>
      <c r="H18" s="68" t="str">
        <f>VLOOKUP(C18,'[2]Sales Master'!B$3:F$736,5,0)</f>
        <v>1 kg</v>
      </c>
      <c r="I18" s="481" t="str">
        <f>VLOOKUP(C18,'[2]Sales Master'!B$3:E$736,4,0)</f>
        <v>Fujian</v>
      </c>
      <c r="J18" s="481"/>
      <c r="K18" s="94" t="e">
        <f>VLOOKUP(C18,'Sales Master'!B$3:AD$499,29,0)</f>
        <v>#N/A</v>
      </c>
      <c r="L18" s="77" t="e">
        <f t="shared" si="0"/>
        <v>#N/A</v>
      </c>
      <c r="M18" s="78"/>
      <c r="N18" s="24" t="s">
        <v>405</v>
      </c>
      <c r="O18" s="24" t="s">
        <v>304</v>
      </c>
      <c r="R18" s="24">
        <v>3</v>
      </c>
      <c r="S18" s="24" t="s">
        <v>36</v>
      </c>
      <c r="T18" s="24" t="s">
        <v>54</v>
      </c>
      <c r="V18" s="24">
        <v>13</v>
      </c>
    </row>
    <row r="19" spans="2:22" ht="20.149999999999999" customHeight="1" x14ac:dyDescent="0.45">
      <c r="B19" s="34"/>
      <c r="C19" s="22" t="s">
        <v>422</v>
      </c>
      <c r="D19" s="480" t="str">
        <f>VLOOKUP(C19,'[2]Sales Master'!B$3:D$223,2,0)</f>
        <v>Dried Persimmon 柿子</v>
      </c>
      <c r="E19" s="480"/>
      <c r="F19" s="480"/>
      <c r="G19" s="22">
        <v>1</v>
      </c>
      <c r="H19" s="68" t="str">
        <f>VLOOKUP(C19,'[2]Sales Master'!B$3:F$736,5,0)</f>
        <v>1 kg</v>
      </c>
      <c r="I19" s="481" t="str">
        <f>VLOOKUP(C19,'[2]Sales Master'!B$3:E$736,4,0)</f>
        <v>AA</v>
      </c>
      <c r="J19" s="481"/>
      <c r="K19" s="94" t="e">
        <f>VLOOKUP(C19,'Sales Master'!B$3:AD$499,29,0)</f>
        <v>#N/A</v>
      </c>
      <c r="L19" s="77" t="e">
        <f t="shared" si="0"/>
        <v>#N/A</v>
      </c>
      <c r="M19" s="78"/>
      <c r="N19" s="24" t="s">
        <v>406</v>
      </c>
      <c r="O19" s="24" t="s">
        <v>305</v>
      </c>
      <c r="R19" s="24">
        <v>2</v>
      </c>
      <c r="S19" s="24" t="s">
        <v>36</v>
      </c>
      <c r="T19" s="24" t="s">
        <v>54</v>
      </c>
      <c r="V19" s="24">
        <v>16</v>
      </c>
    </row>
    <row r="20" spans="2:22" ht="20.149999999999999" customHeight="1" x14ac:dyDescent="0.45">
      <c r="B20" s="34"/>
      <c r="C20" s="22" t="s">
        <v>475</v>
      </c>
      <c r="D20" s="480" t="str">
        <f>VLOOKUP(C20,'[2]Sales Master'!B$3:D$223,2,0)</f>
        <v>Fine Sugar 白糖</v>
      </c>
      <c r="E20" s="480"/>
      <c r="F20" s="480"/>
      <c r="G20" s="22">
        <v>1</v>
      </c>
      <c r="H20" s="68" t="str">
        <f>VLOOKUP(C20,'[2]Sales Master'!B$3:F$736,5,0)</f>
        <v>25 kgs/Bag</v>
      </c>
      <c r="I20" s="481" t="str">
        <f>VLOOKUP(C20,'[2]Sales Master'!B$3:E$736,4,0)</f>
        <v>Mitrphol</v>
      </c>
      <c r="J20" s="481"/>
      <c r="K20" s="94" t="e">
        <f>VLOOKUP(C20,'Sales Master'!B$3:AD$499,29,0)</f>
        <v>#N/A</v>
      </c>
      <c r="L20" s="77" t="e">
        <f t="shared" si="0"/>
        <v>#N/A</v>
      </c>
      <c r="M20" s="78"/>
      <c r="N20" s="24" t="s">
        <v>381</v>
      </c>
      <c r="O20" s="24" t="s">
        <v>284</v>
      </c>
      <c r="R20" s="24">
        <v>1</v>
      </c>
      <c r="S20" s="24" t="s">
        <v>36</v>
      </c>
      <c r="T20" s="24" t="s">
        <v>526</v>
      </c>
      <c r="V20" s="24">
        <v>25</v>
      </c>
    </row>
    <row r="21" spans="2:22" ht="20.149999999999999" customHeight="1" x14ac:dyDescent="0.45">
      <c r="B21" s="34"/>
      <c r="C21" s="22" t="s">
        <v>518</v>
      </c>
      <c r="D21" s="480" t="str">
        <f>VLOOKUP(C21,'[2]Sales Master'!B$3:D$223,2,0)</f>
        <v>Sweet Potato 番薯</v>
      </c>
      <c r="E21" s="480"/>
      <c r="F21" s="480"/>
      <c r="G21" s="22">
        <v>10</v>
      </c>
      <c r="H21" s="68" t="str">
        <f>VLOOKUP(C21,'[2]Sales Master'!B$3:F$736,5,0)</f>
        <v>1 KG</v>
      </c>
      <c r="I21" s="481" t="str">
        <f>VLOOKUP(C21,'[2]Sales Master'!B$3:E$736,4,0)</f>
        <v>-</v>
      </c>
      <c r="J21" s="481"/>
      <c r="K21" s="94" t="e">
        <f>VLOOKUP(C21,'Sales Master'!B$3:AD$499,29,0)</f>
        <v>#N/A</v>
      </c>
      <c r="L21" s="77" t="e">
        <f t="shared" si="0"/>
        <v>#N/A</v>
      </c>
      <c r="M21" s="78"/>
      <c r="N21" s="24" t="s">
        <v>410</v>
      </c>
      <c r="O21" s="24" t="s">
        <v>309</v>
      </c>
      <c r="R21" s="24">
        <v>1</v>
      </c>
      <c r="S21" s="24" t="s">
        <v>536</v>
      </c>
      <c r="T21" s="24" t="s">
        <v>54</v>
      </c>
      <c r="V21" s="24">
        <v>7</v>
      </c>
    </row>
    <row r="22" spans="2:22" ht="20.149999999999999" customHeight="1" x14ac:dyDescent="0.45">
      <c r="B22" s="34"/>
      <c r="C22" s="22"/>
      <c r="D22" s="480"/>
      <c r="E22" s="480"/>
      <c r="F22" s="480"/>
      <c r="G22" s="22"/>
      <c r="H22" s="68"/>
      <c r="I22" s="481"/>
      <c r="J22" s="481"/>
      <c r="K22" s="94"/>
      <c r="L22" s="77"/>
      <c r="M22" s="78"/>
      <c r="N22" s="24" t="s">
        <v>435</v>
      </c>
      <c r="O22" s="24" t="s">
        <v>298</v>
      </c>
      <c r="R22" s="24">
        <v>1</v>
      </c>
      <c r="S22" s="24" t="s">
        <v>643</v>
      </c>
      <c r="T22" s="24" t="s">
        <v>529</v>
      </c>
      <c r="V22" s="24">
        <v>9</v>
      </c>
    </row>
    <row r="23" spans="2:22" ht="20.149999999999999" customHeight="1" x14ac:dyDescent="0.45">
      <c r="B23" s="34"/>
      <c r="C23" s="22"/>
      <c r="D23" s="480"/>
      <c r="E23" s="480"/>
      <c r="F23" s="480"/>
      <c r="G23" s="22"/>
      <c r="H23" s="68"/>
      <c r="I23" s="481"/>
      <c r="J23" s="481"/>
      <c r="K23" s="94"/>
      <c r="L23" s="77"/>
      <c r="M23" s="78"/>
      <c r="N23" s="24" t="s">
        <v>413</v>
      </c>
      <c r="O23" s="24" t="s">
        <v>312</v>
      </c>
      <c r="R23" s="24">
        <v>7</v>
      </c>
      <c r="S23" s="24" t="s">
        <v>256</v>
      </c>
      <c r="T23" s="24" t="s">
        <v>34</v>
      </c>
      <c r="V23" s="24">
        <v>12</v>
      </c>
    </row>
    <row r="24" spans="2:22" ht="20.149999999999999" customHeight="1" x14ac:dyDescent="0.45">
      <c r="B24" s="34"/>
      <c r="C24" s="22"/>
      <c r="D24" s="508"/>
      <c r="E24" s="508"/>
      <c r="F24" s="508"/>
      <c r="G24" s="22"/>
      <c r="H24" s="68"/>
      <c r="I24" s="481"/>
      <c r="J24" s="481"/>
      <c r="K24" s="94"/>
      <c r="L24" s="77"/>
      <c r="M24" s="78"/>
      <c r="N24" s="24" t="s">
        <v>417</v>
      </c>
      <c r="O24" s="24" t="s">
        <v>313</v>
      </c>
      <c r="R24" s="24">
        <v>1</v>
      </c>
      <c r="S24" s="24" t="s">
        <v>649</v>
      </c>
      <c r="T24" s="24" t="s">
        <v>34</v>
      </c>
      <c r="V24" s="24">
        <v>16</v>
      </c>
    </row>
    <row r="25" spans="2:22" ht="20.149999999999999" customHeight="1" x14ac:dyDescent="0.45">
      <c r="B25" s="34"/>
      <c r="C25" s="22"/>
      <c r="D25" s="508"/>
      <c r="E25" s="508"/>
      <c r="F25" s="508"/>
      <c r="G25" s="22"/>
      <c r="H25" s="68"/>
      <c r="I25" s="481"/>
      <c r="J25" s="481"/>
      <c r="K25" s="94"/>
      <c r="L25" s="77"/>
      <c r="M25" s="78"/>
      <c r="N25" s="24" t="s">
        <v>420</v>
      </c>
      <c r="O25" s="24" t="s">
        <v>496</v>
      </c>
      <c r="R25" s="24">
        <v>1</v>
      </c>
      <c r="S25" s="24" t="s">
        <v>643</v>
      </c>
      <c r="T25" s="24" t="s">
        <v>34</v>
      </c>
      <c r="V25" s="24">
        <v>22</v>
      </c>
    </row>
    <row r="26" spans="2:22" ht="20.149999999999999" customHeight="1" x14ac:dyDescent="0.45">
      <c r="B26" s="34"/>
      <c r="C26" s="22"/>
      <c r="D26" s="508"/>
      <c r="E26" s="508"/>
      <c r="F26" s="508"/>
      <c r="G26" s="22"/>
      <c r="H26" s="68"/>
      <c r="I26" s="481"/>
      <c r="J26" s="481"/>
      <c r="K26" s="94"/>
      <c r="L26" s="77"/>
      <c r="M26" s="78"/>
      <c r="N26" s="24" t="s">
        <v>407</v>
      </c>
      <c r="O26" s="24" t="s">
        <v>306</v>
      </c>
      <c r="R26" s="24">
        <v>1</v>
      </c>
      <c r="S26" s="24" t="s">
        <v>36</v>
      </c>
      <c r="T26" s="24" t="s">
        <v>54</v>
      </c>
      <c r="V26" s="24">
        <v>18</v>
      </c>
    </row>
    <row r="27" spans="2:22" ht="20.149999999999999" customHeight="1" x14ac:dyDescent="0.45">
      <c r="B27" s="34"/>
      <c r="C27" s="22"/>
      <c r="D27" s="508"/>
      <c r="E27" s="508"/>
      <c r="F27" s="508"/>
      <c r="G27" s="22"/>
      <c r="H27" s="68"/>
      <c r="I27" s="481"/>
      <c r="J27" s="481"/>
      <c r="K27" s="94"/>
      <c r="L27" s="77"/>
      <c r="M27" s="78"/>
      <c r="N27" s="24" t="s">
        <v>422</v>
      </c>
      <c r="O27" s="24" t="s">
        <v>315</v>
      </c>
      <c r="R27" s="24">
        <v>5</v>
      </c>
      <c r="S27" s="24" t="s">
        <v>57</v>
      </c>
      <c r="T27" s="24" t="s">
        <v>34</v>
      </c>
      <c r="V27" s="24">
        <v>7.5</v>
      </c>
    </row>
    <row r="28" spans="2:22" ht="20.149999999999999" customHeight="1" x14ac:dyDescent="0.45">
      <c r="B28" s="34"/>
      <c r="C28" s="22"/>
      <c r="D28" s="508"/>
      <c r="E28" s="508"/>
      <c r="F28" s="508"/>
      <c r="G28" s="22"/>
      <c r="H28" s="68"/>
      <c r="I28" s="481"/>
      <c r="J28" s="481"/>
      <c r="K28" s="94"/>
      <c r="L28" s="77"/>
      <c r="M28" s="78"/>
      <c r="N28" s="24" t="s">
        <v>441</v>
      </c>
      <c r="O28" s="24" t="s">
        <v>289</v>
      </c>
      <c r="R28" s="24">
        <v>1</v>
      </c>
      <c r="S28" s="24" t="s">
        <v>48</v>
      </c>
      <c r="T28" s="24" t="s">
        <v>706</v>
      </c>
      <c r="V28" s="24">
        <v>32</v>
      </c>
    </row>
    <row r="29" spans="2:22" ht="20.149999999999999" customHeight="1" x14ac:dyDescent="0.45">
      <c r="B29" s="34"/>
      <c r="C29" s="22"/>
      <c r="D29" s="508"/>
      <c r="E29" s="508"/>
      <c r="F29" s="508"/>
      <c r="G29" s="22"/>
      <c r="H29" s="68"/>
      <c r="I29" s="481"/>
      <c r="J29" s="481"/>
      <c r="K29" s="94"/>
      <c r="L29" s="77"/>
      <c r="M29" s="78"/>
      <c r="N29" s="24" t="s">
        <v>438</v>
      </c>
      <c r="O29" s="24" t="s">
        <v>287</v>
      </c>
      <c r="R29" s="24">
        <v>1</v>
      </c>
      <c r="S29" s="24" t="s">
        <v>527</v>
      </c>
      <c r="T29" s="24" t="s">
        <v>704</v>
      </c>
      <c r="V29" s="24">
        <v>22</v>
      </c>
    </row>
    <row r="30" spans="2:22" ht="20.149999999999999" customHeight="1" x14ac:dyDescent="0.45">
      <c r="B30" s="34"/>
      <c r="C30" s="22"/>
      <c r="D30" s="508"/>
      <c r="E30" s="508"/>
      <c r="F30" s="508"/>
      <c r="G30" s="22"/>
      <c r="H30" s="68"/>
      <c r="I30" s="481"/>
      <c r="J30" s="481"/>
      <c r="K30" s="94"/>
      <c r="L30" s="77"/>
      <c r="M30" s="78"/>
      <c r="N30" s="125" t="s">
        <v>447</v>
      </c>
      <c r="O30" s="24" t="s">
        <v>459</v>
      </c>
      <c r="R30" s="24">
        <v>1</v>
      </c>
      <c r="S30" s="24" t="s">
        <v>260</v>
      </c>
      <c r="T30" s="24" t="s">
        <v>709</v>
      </c>
      <c r="V30" s="24">
        <v>30</v>
      </c>
    </row>
    <row r="31" spans="2:22" ht="20.149999999999999" customHeight="1" x14ac:dyDescent="0.45">
      <c r="B31" s="34"/>
      <c r="C31" s="22"/>
      <c r="D31" s="508"/>
      <c r="E31" s="508"/>
      <c r="F31" s="508"/>
      <c r="G31" s="22"/>
      <c r="H31" s="68"/>
      <c r="I31" s="481"/>
      <c r="J31" s="481"/>
      <c r="K31" s="94"/>
      <c r="L31" s="77"/>
      <c r="M31" s="78"/>
      <c r="N31" s="24" t="s">
        <v>475</v>
      </c>
      <c r="O31" s="24" t="s">
        <v>318</v>
      </c>
      <c r="R31" s="24">
        <v>2</v>
      </c>
      <c r="S31" s="24" t="s">
        <v>58</v>
      </c>
      <c r="T31" s="24" t="s">
        <v>135</v>
      </c>
      <c r="V31" s="24">
        <v>20</v>
      </c>
    </row>
    <row r="32" spans="2:22" ht="20.149999999999999" customHeight="1" x14ac:dyDescent="0.45">
      <c r="B32" s="34"/>
      <c r="C32" s="22"/>
      <c r="D32" s="508"/>
      <c r="E32" s="508"/>
      <c r="F32" s="508"/>
      <c r="G32" s="22"/>
      <c r="H32" s="68"/>
      <c r="I32" s="481"/>
      <c r="J32" s="481"/>
      <c r="K32" s="94"/>
      <c r="L32" s="77"/>
      <c r="N32" s="24" t="s">
        <v>519</v>
      </c>
      <c r="O32" s="24" t="s">
        <v>323</v>
      </c>
      <c r="R32" s="24">
        <v>1</v>
      </c>
      <c r="S32" s="24" t="s">
        <v>36</v>
      </c>
      <c r="T32" s="24" t="s">
        <v>133</v>
      </c>
      <c r="V32" s="24">
        <v>16</v>
      </c>
    </row>
    <row r="33" spans="2:13" ht="20.149999999999999" customHeight="1" thickBot="1" x14ac:dyDescent="0.5">
      <c r="B33" s="37"/>
      <c r="C33" s="38"/>
      <c r="D33" s="509"/>
      <c r="E33" s="509"/>
      <c r="F33" s="509"/>
      <c r="G33" s="38"/>
      <c r="H33" s="69"/>
      <c r="I33" s="451"/>
      <c r="J33" s="451"/>
      <c r="K33" s="39"/>
      <c r="L33" s="40"/>
    </row>
    <row r="34" spans="2:13" ht="20.149999999999999" customHeight="1" thickBot="1" x14ac:dyDescent="0.5">
      <c r="B34" s="41"/>
      <c r="L34" s="42"/>
    </row>
    <row r="35" spans="2:13" ht="20.149999999999999" customHeight="1" x14ac:dyDescent="0.45">
      <c r="B35" s="11" t="s">
        <v>18</v>
      </c>
      <c r="C35" s="7"/>
      <c r="D35" s="7"/>
      <c r="E35" s="7"/>
      <c r="F35" s="7"/>
      <c r="G35" s="7"/>
      <c r="H35" s="7"/>
      <c r="I35" s="7"/>
      <c r="J35" s="510" t="s">
        <v>15</v>
      </c>
      <c r="K35" s="511"/>
      <c r="L35" s="43" t="e">
        <f>SUM(L13:L34)</f>
        <v>#N/A</v>
      </c>
      <c r="M35" s="76">
        <f>166+26</f>
        <v>192</v>
      </c>
    </row>
    <row r="36" spans="2:13" ht="20.149999999999999" customHeight="1" x14ac:dyDescent="0.45">
      <c r="B36" s="11" t="s">
        <v>19</v>
      </c>
      <c r="C36" s="7"/>
      <c r="D36" s="7"/>
      <c r="E36" s="7"/>
      <c r="F36" s="7"/>
      <c r="G36" s="7"/>
      <c r="H36" s="7"/>
      <c r="I36" s="7"/>
      <c r="J36" s="44" t="s">
        <v>22</v>
      </c>
      <c r="K36" s="45"/>
      <c r="L36" s="46" t="e">
        <f>L35*K36</f>
        <v>#N/A</v>
      </c>
    </row>
    <row r="37" spans="2:13" ht="20.149999999999999" customHeight="1" x14ac:dyDescent="0.45">
      <c r="B37" s="11" t="s">
        <v>20</v>
      </c>
      <c r="C37" s="7"/>
      <c r="D37" s="7"/>
      <c r="E37" s="7"/>
      <c r="F37" s="7"/>
      <c r="G37" s="7"/>
      <c r="H37" s="7"/>
      <c r="I37" s="7"/>
      <c r="J37" s="486" t="s">
        <v>21</v>
      </c>
      <c r="K37" s="487"/>
      <c r="L37" s="46" t="e">
        <f>L35-L36</f>
        <v>#N/A</v>
      </c>
    </row>
    <row r="38" spans="2:13" ht="20.149999999999999" customHeight="1" x14ac:dyDescent="0.45">
      <c r="B38" s="11" t="s">
        <v>24</v>
      </c>
      <c r="C38" s="7"/>
      <c r="D38" s="7"/>
      <c r="E38" s="7"/>
      <c r="F38" s="7"/>
      <c r="G38" s="7"/>
      <c r="H38" s="7"/>
      <c r="I38" s="7"/>
      <c r="J38" s="150" t="s">
        <v>17</v>
      </c>
      <c r="K38" s="151">
        <v>7.0000000000000007E-2</v>
      </c>
      <c r="L38" s="47" t="e">
        <f>L37*K38</f>
        <v>#N/A</v>
      </c>
    </row>
    <row r="39" spans="2:13" ht="20.149999999999999" customHeight="1" thickBot="1" x14ac:dyDescent="0.5">
      <c r="B39" s="11" t="s">
        <v>25</v>
      </c>
      <c r="C39" s="7"/>
      <c r="D39" s="7"/>
      <c r="E39" s="7"/>
      <c r="F39" s="7"/>
      <c r="G39" s="7"/>
      <c r="H39" s="7"/>
      <c r="I39" s="7"/>
      <c r="J39" s="488" t="s">
        <v>23</v>
      </c>
      <c r="K39" s="489"/>
      <c r="L39" s="48" t="e">
        <f>L37+L38</f>
        <v>#N/A</v>
      </c>
    </row>
    <row r="40" spans="2:13" ht="20.149999999999999" customHeight="1" x14ac:dyDescent="0.45">
      <c r="B40" s="11" t="s">
        <v>26</v>
      </c>
      <c r="C40" s="7"/>
      <c r="D40" s="7"/>
      <c r="E40" s="7"/>
      <c r="F40" s="7"/>
      <c r="G40" s="7"/>
      <c r="H40" s="7"/>
      <c r="I40" s="7"/>
      <c r="L40" s="42"/>
    </row>
    <row r="41" spans="2:13" ht="20.149999999999999" customHeight="1" x14ac:dyDescent="0.45">
      <c r="B41" s="41"/>
      <c r="L41" s="42"/>
    </row>
    <row r="42" spans="2:13" x14ac:dyDescent="0.45">
      <c r="B42" s="41"/>
      <c r="L42" s="42"/>
    </row>
    <row r="43" spans="2:13" ht="20.149999999999999" customHeight="1" x14ac:dyDescent="0.45">
      <c r="B43" s="41"/>
      <c r="L43" s="42"/>
    </row>
    <row r="44" spans="2:13" ht="20.149999999999999" customHeight="1" x14ac:dyDescent="0.45">
      <c r="B44" s="41"/>
      <c r="L44" s="42"/>
    </row>
    <row r="45" spans="2:13" ht="20.149999999999999" customHeight="1" x14ac:dyDescent="0.45">
      <c r="B45" s="49"/>
      <c r="C45" s="50"/>
      <c r="D45" s="50"/>
      <c r="J45" s="50"/>
      <c r="K45" s="50"/>
      <c r="L45" s="51"/>
    </row>
    <row r="46" spans="2:13" ht="20.149999999999999" customHeight="1" x14ac:dyDescent="0.45">
      <c r="B46" s="41" t="s">
        <v>27</v>
      </c>
      <c r="J46" s="24" t="s">
        <v>28</v>
      </c>
      <c r="L46" s="42"/>
    </row>
    <row r="47" spans="2:13" ht="19" thickBot="1" x14ac:dyDescent="0.5">
      <c r="B47" s="52"/>
      <c r="C47" s="53"/>
      <c r="D47" s="53"/>
      <c r="E47" s="53"/>
      <c r="F47" s="53"/>
      <c r="G47" s="53"/>
      <c r="H47" s="53"/>
      <c r="I47" s="53"/>
      <c r="J47" s="53"/>
      <c r="K47" s="53"/>
      <c r="L47" s="54"/>
    </row>
  </sheetData>
  <mergeCells count="56">
    <mergeCell ref="J39:K39"/>
    <mergeCell ref="D31:F31"/>
    <mergeCell ref="I31:J31"/>
    <mergeCell ref="D32:F32"/>
    <mergeCell ref="I32:J32"/>
    <mergeCell ref="D33:F33"/>
    <mergeCell ref="I33:J33"/>
    <mergeCell ref="D30:F30"/>
    <mergeCell ref="I30:J30"/>
    <mergeCell ref="J35:K35"/>
    <mergeCell ref="J37:K37"/>
    <mergeCell ref="D27:F27"/>
    <mergeCell ref="I27:J27"/>
    <mergeCell ref="D28:F28"/>
    <mergeCell ref="I28:J28"/>
    <mergeCell ref="D29:F29"/>
    <mergeCell ref="I29:J29"/>
    <mergeCell ref="D24:F24"/>
    <mergeCell ref="I24:J24"/>
    <mergeCell ref="D25:F25"/>
    <mergeCell ref="I25:J25"/>
    <mergeCell ref="D26:F26"/>
    <mergeCell ref="I26:J26"/>
    <mergeCell ref="D22:F22"/>
    <mergeCell ref="I22:J22"/>
    <mergeCell ref="D23:F23"/>
    <mergeCell ref="I23:J23"/>
    <mergeCell ref="D20:F20"/>
    <mergeCell ref="I20:J20"/>
    <mergeCell ref="D19:F19"/>
    <mergeCell ref="I19:J19"/>
    <mergeCell ref="D18:F18"/>
    <mergeCell ref="I18:J18"/>
    <mergeCell ref="D21:F21"/>
    <mergeCell ref="I21:J21"/>
    <mergeCell ref="D17:F17"/>
    <mergeCell ref="I17:J17"/>
    <mergeCell ref="D16:F16"/>
    <mergeCell ref="I16:J16"/>
    <mergeCell ref="D15:F15"/>
    <mergeCell ref="I15:J15"/>
    <mergeCell ref="D13:F13"/>
    <mergeCell ref="I13:J13"/>
    <mergeCell ref="D14:F14"/>
    <mergeCell ref="K6:L6"/>
    <mergeCell ref="B7:D7"/>
    <mergeCell ref="F7:H11"/>
    <mergeCell ref="K7:L7"/>
    <mergeCell ref="B8:D8"/>
    <mergeCell ref="K8:L8"/>
    <mergeCell ref="B9:D9"/>
    <mergeCell ref="K9:L9"/>
    <mergeCell ref="B10:D10"/>
    <mergeCell ref="K10:L10"/>
    <mergeCell ref="K11:L11"/>
    <mergeCell ref="I14:J14"/>
  </mergeCells>
  <pageMargins left="0.70866141732283505" right="0.31496062992126" top="2.1653543307086598" bottom="0" header="0.31496062992126" footer="0.31496062992126"/>
  <pageSetup paperSize="9" scale="76" orientation="portrait" verticalDpi="300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0616F-B29D-41D3-9DBE-8FC0715A0C6E}">
  <sheetPr codeName="Sheet177">
    <tabColor rgb="FFFFFF00"/>
    <pageSetUpPr fitToPage="1"/>
  </sheetPr>
  <dimension ref="B5:O47"/>
  <sheetViews>
    <sheetView topLeftCell="A3" workbookViewId="0">
      <selection activeCell="G19" sqref="G19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6.54296875" style="24" customWidth="1"/>
    <col min="7" max="7" width="8.54296875" style="24" customWidth="1"/>
    <col min="8" max="8" width="12.54296875" style="24" customWidth="1"/>
    <col min="9" max="9" width="2.54296875" style="24" customWidth="1"/>
    <col min="10" max="10" width="15.54296875" style="24" customWidth="1"/>
    <col min="11" max="12" width="12.54296875" style="24" customWidth="1"/>
    <col min="13" max="16384" width="12.54296875" style="24"/>
  </cols>
  <sheetData>
    <row r="5" spans="2:15" ht="19" thickBot="1" x14ac:dyDescent="0.5">
      <c r="B5" s="23"/>
    </row>
    <row r="6" spans="2:15" ht="18" customHeight="1" thickTop="1" thickBot="1" x14ac:dyDescent="0.5">
      <c r="B6" s="25" t="s">
        <v>9</v>
      </c>
      <c r="C6" s="25"/>
      <c r="D6" s="26"/>
      <c r="E6" s="26"/>
      <c r="F6" s="27" t="s">
        <v>10</v>
      </c>
      <c r="G6" s="28"/>
      <c r="H6" s="28" t="s">
        <v>759</v>
      </c>
      <c r="J6" s="29" t="s">
        <v>29</v>
      </c>
      <c r="K6" s="452">
        <v>201909565</v>
      </c>
      <c r="L6" s="453"/>
    </row>
    <row r="7" spans="2:15" ht="20.149999999999999" customHeight="1" x14ac:dyDescent="0.45">
      <c r="B7" s="454"/>
      <c r="C7" s="455"/>
      <c r="D7" s="456"/>
      <c r="E7" s="30"/>
      <c r="F7" s="457" t="str">
        <f>VLOOKUP(H6,'Delivery Location'!A$4:N$416,2,0)</f>
        <v>HAO KOU WEI PTE LTD                          Blk 272 Bakit Batok #01-56            Singapore</v>
      </c>
      <c r="G7" s="458"/>
      <c r="H7" s="459"/>
      <c r="J7" s="31" t="s">
        <v>11</v>
      </c>
      <c r="K7" s="551">
        <v>43736</v>
      </c>
      <c r="L7" s="472"/>
    </row>
    <row r="8" spans="2:15" ht="20.149999999999999" customHeight="1" x14ac:dyDescent="0.45">
      <c r="B8" s="468"/>
      <c r="C8" s="469"/>
      <c r="D8" s="470"/>
      <c r="E8" s="30"/>
      <c r="F8" s="460"/>
      <c r="G8" s="461"/>
      <c r="H8" s="462"/>
      <c r="J8" s="31" t="s">
        <v>171</v>
      </c>
      <c r="K8" s="471" t="s">
        <v>533</v>
      </c>
      <c r="L8" s="472"/>
    </row>
    <row r="9" spans="2:15" ht="20.149999999999999" customHeight="1" x14ac:dyDescent="0.45">
      <c r="B9" s="468"/>
      <c r="C9" s="469"/>
      <c r="D9" s="470"/>
      <c r="E9" s="30"/>
      <c r="F9" s="460"/>
      <c r="G9" s="461"/>
      <c r="H9" s="462"/>
      <c r="J9" s="31" t="s">
        <v>12</v>
      </c>
      <c r="K9" s="471" t="s">
        <v>750</v>
      </c>
      <c r="L9" s="472"/>
    </row>
    <row r="10" spans="2:15" ht="20.149999999999999" customHeight="1" x14ac:dyDescent="0.45">
      <c r="B10" s="468"/>
      <c r="C10" s="469"/>
      <c r="D10" s="470"/>
      <c r="E10" s="30"/>
      <c r="F10" s="460"/>
      <c r="G10" s="461"/>
      <c r="H10" s="462"/>
      <c r="J10" s="31" t="s">
        <v>30</v>
      </c>
      <c r="K10" s="471" t="s">
        <v>16</v>
      </c>
      <c r="L10" s="472"/>
    </row>
    <row r="11" spans="2:15" ht="18" customHeight="1" thickBot="1" x14ac:dyDescent="0.5">
      <c r="B11" s="552"/>
      <c r="C11" s="474"/>
      <c r="D11" s="475"/>
      <c r="E11" s="26"/>
      <c r="F11" s="463"/>
      <c r="G11" s="464"/>
      <c r="H11" s="465"/>
      <c r="J11" s="32" t="s">
        <v>13</v>
      </c>
      <c r="K11" s="476"/>
      <c r="L11" s="477"/>
    </row>
    <row r="12" spans="2:15" ht="19" thickBot="1" x14ac:dyDescent="0.5">
      <c r="J12" s="22"/>
    </row>
    <row r="13" spans="2:15" ht="30" customHeight="1" thickBot="1" x14ac:dyDescent="0.5">
      <c r="B13" s="8" t="s">
        <v>2</v>
      </c>
      <c r="C13" s="9" t="s">
        <v>3</v>
      </c>
      <c r="D13" s="478" t="s">
        <v>4</v>
      </c>
      <c r="E13" s="483"/>
      <c r="F13" s="479"/>
      <c r="G13" s="19" t="s">
        <v>620</v>
      </c>
      <c r="H13" s="8" t="s">
        <v>622</v>
      </c>
      <c r="I13" s="478" t="s">
        <v>621</v>
      </c>
      <c r="J13" s="479"/>
      <c r="K13" s="9" t="s">
        <v>6</v>
      </c>
      <c r="L13" s="10" t="s">
        <v>7</v>
      </c>
      <c r="M13" s="33"/>
      <c r="N13" s="33"/>
      <c r="O13" s="33"/>
    </row>
    <row r="14" spans="2:15" ht="20.149999999999999" customHeight="1" x14ac:dyDescent="0.45">
      <c r="B14" s="34"/>
      <c r="C14" s="22" t="s">
        <v>410</v>
      </c>
      <c r="D14" s="508" t="e">
        <f>VLOOKUP(C14,'Sales Master'!B$3:D$499,2,)</f>
        <v>#N/A</v>
      </c>
      <c r="E14" s="508"/>
      <c r="F14" s="508"/>
      <c r="G14" s="22">
        <v>5</v>
      </c>
      <c r="H14" s="68" t="e">
        <f>VLOOKUP(C14,'Sales Master'!$B$3:$E$590,4,0)</f>
        <v>#N/A</v>
      </c>
      <c r="I14" s="481" t="e">
        <f>VLOOKUP(C14,'Sales Master'!$B$3:F$590,5,0)</f>
        <v>#N/A</v>
      </c>
      <c r="J14" s="481"/>
      <c r="K14" s="94" t="e">
        <f>VLOOKUP(C14,'Sales Master'!B$3:AL$499,37,0)</f>
        <v>#N/A</v>
      </c>
      <c r="L14" s="77" t="e">
        <f>K14*G14</f>
        <v>#N/A</v>
      </c>
      <c r="M14" s="96"/>
    </row>
    <row r="15" spans="2:15" ht="20.149999999999999" customHeight="1" x14ac:dyDescent="0.45">
      <c r="B15" s="34"/>
      <c r="C15" s="22"/>
      <c r="D15" s="508"/>
      <c r="E15" s="508"/>
      <c r="F15" s="508"/>
      <c r="G15" s="22"/>
      <c r="H15" s="68"/>
      <c r="I15" s="481"/>
      <c r="J15" s="481"/>
      <c r="K15" s="94"/>
      <c r="L15" s="77"/>
      <c r="M15" s="78"/>
    </row>
    <row r="16" spans="2:15" ht="20.149999999999999" customHeight="1" x14ac:dyDescent="0.45">
      <c r="B16" s="34"/>
      <c r="C16" s="22"/>
      <c r="D16" s="508"/>
      <c r="E16" s="508"/>
      <c r="F16" s="508"/>
      <c r="G16" s="22"/>
      <c r="H16" s="68"/>
      <c r="I16" s="481"/>
      <c r="J16" s="481"/>
      <c r="K16" s="94"/>
      <c r="L16" s="77"/>
      <c r="M16" s="78"/>
    </row>
    <row r="17" spans="2:13" ht="20.149999999999999" customHeight="1" x14ac:dyDescent="0.45">
      <c r="B17" s="34"/>
      <c r="C17" s="22"/>
      <c r="D17" s="508"/>
      <c r="E17" s="508"/>
      <c r="F17" s="508"/>
      <c r="G17" s="22"/>
      <c r="H17" s="68"/>
      <c r="I17" s="481"/>
      <c r="J17" s="481"/>
      <c r="K17" s="94"/>
      <c r="L17" s="77"/>
      <c r="M17" s="78"/>
    </row>
    <row r="18" spans="2:13" ht="20.149999999999999" customHeight="1" x14ac:dyDescent="0.45">
      <c r="B18" s="34"/>
      <c r="C18" s="22"/>
      <c r="D18" s="508"/>
      <c r="E18" s="508"/>
      <c r="F18" s="508"/>
      <c r="G18" s="22"/>
      <c r="H18" s="68"/>
      <c r="I18" s="481"/>
      <c r="J18" s="481"/>
      <c r="K18" s="94"/>
      <c r="L18" s="77"/>
      <c r="M18" s="78"/>
    </row>
    <row r="19" spans="2:13" ht="20.149999999999999" customHeight="1" x14ac:dyDescent="0.45">
      <c r="B19" s="34"/>
      <c r="C19" s="22"/>
      <c r="D19" s="508"/>
      <c r="E19" s="508"/>
      <c r="F19" s="508"/>
      <c r="G19" s="22"/>
      <c r="H19" s="68"/>
      <c r="I19" s="481"/>
      <c r="J19" s="481"/>
      <c r="K19" s="94"/>
      <c r="L19" s="77"/>
      <c r="M19" s="78"/>
    </row>
    <row r="20" spans="2:13" ht="20.149999999999999" customHeight="1" x14ac:dyDescent="0.45">
      <c r="B20" s="34"/>
      <c r="C20" s="22"/>
      <c r="D20" s="508"/>
      <c r="E20" s="508"/>
      <c r="F20" s="508"/>
      <c r="G20" s="22"/>
      <c r="H20" s="68"/>
      <c r="I20" s="481"/>
      <c r="J20" s="481"/>
      <c r="K20" s="94"/>
      <c r="L20" s="77"/>
      <c r="M20" s="78"/>
    </row>
    <row r="21" spans="2:13" ht="20.149999999999999" customHeight="1" x14ac:dyDescent="0.45">
      <c r="B21" s="34"/>
      <c r="C21" s="22"/>
      <c r="D21" s="508"/>
      <c r="E21" s="508"/>
      <c r="F21" s="508"/>
      <c r="G21" s="22"/>
      <c r="H21" s="68"/>
      <c r="I21" s="450"/>
      <c r="J21" s="450"/>
      <c r="K21" s="94"/>
      <c r="L21" s="77"/>
      <c r="M21" s="78"/>
    </row>
    <row r="22" spans="2:13" ht="20.149999999999999" customHeight="1" x14ac:dyDescent="0.45">
      <c r="B22" s="34"/>
      <c r="C22" s="22"/>
      <c r="D22" s="508"/>
      <c r="E22" s="508"/>
      <c r="F22" s="508"/>
      <c r="G22" s="22"/>
      <c r="H22" s="68"/>
      <c r="I22" s="450"/>
      <c r="J22" s="450"/>
      <c r="K22" s="94"/>
      <c r="L22" s="77"/>
      <c r="M22" s="78"/>
    </row>
    <row r="23" spans="2:13" ht="20.149999999999999" customHeight="1" x14ac:dyDescent="0.45">
      <c r="B23" s="34"/>
      <c r="C23" s="22"/>
      <c r="D23" s="508"/>
      <c r="E23" s="508"/>
      <c r="F23" s="508"/>
      <c r="G23" s="22"/>
      <c r="H23" s="68"/>
      <c r="I23" s="450"/>
      <c r="J23" s="450"/>
      <c r="K23" s="94"/>
      <c r="L23" s="77"/>
      <c r="M23" s="78"/>
    </row>
    <row r="24" spans="2:13" ht="20.149999999999999" customHeight="1" x14ac:dyDescent="0.45">
      <c r="B24" s="34"/>
      <c r="C24" s="22"/>
      <c r="D24" s="508"/>
      <c r="E24" s="508"/>
      <c r="F24" s="508"/>
      <c r="G24" s="22"/>
      <c r="H24" s="68"/>
      <c r="I24" s="450"/>
      <c r="J24" s="450"/>
      <c r="K24" s="94"/>
      <c r="L24" s="77"/>
      <c r="M24" s="78"/>
    </row>
    <row r="25" spans="2:13" ht="20.149999999999999" customHeight="1" x14ac:dyDescent="0.45">
      <c r="B25" s="34"/>
      <c r="C25" s="22"/>
      <c r="D25" s="508"/>
      <c r="E25" s="508"/>
      <c r="F25" s="508"/>
      <c r="G25" s="22"/>
      <c r="H25" s="68"/>
      <c r="I25" s="450"/>
      <c r="J25" s="450"/>
      <c r="K25" s="94"/>
      <c r="L25" s="77"/>
      <c r="M25" s="78"/>
    </row>
    <row r="26" spans="2:13" ht="20.149999999999999" customHeight="1" x14ac:dyDescent="0.45">
      <c r="B26" s="34"/>
      <c r="C26" s="22"/>
      <c r="D26" s="508"/>
      <c r="E26" s="508"/>
      <c r="F26" s="508"/>
      <c r="G26" s="22"/>
      <c r="H26" s="68"/>
      <c r="I26" s="450"/>
      <c r="J26" s="450"/>
      <c r="K26" s="94"/>
      <c r="L26" s="77"/>
      <c r="M26" s="78"/>
    </row>
    <row r="27" spans="2:13" ht="20.149999999999999" customHeight="1" x14ac:dyDescent="0.45">
      <c r="B27" s="34"/>
      <c r="C27" s="22"/>
      <c r="D27" s="508"/>
      <c r="E27" s="508"/>
      <c r="F27" s="508"/>
      <c r="G27" s="22"/>
      <c r="H27" s="68"/>
      <c r="I27" s="450"/>
      <c r="J27" s="450"/>
      <c r="K27" s="94"/>
      <c r="L27" s="77"/>
      <c r="M27" s="78"/>
    </row>
    <row r="28" spans="2:13" ht="20.149999999999999" customHeight="1" x14ac:dyDescent="0.45">
      <c r="B28" s="34"/>
      <c r="C28" s="22"/>
      <c r="D28" s="508"/>
      <c r="E28" s="508"/>
      <c r="F28" s="508"/>
      <c r="G28" s="22"/>
      <c r="H28" s="68"/>
      <c r="I28" s="450"/>
      <c r="J28" s="450"/>
      <c r="K28" s="94"/>
      <c r="L28" s="77"/>
      <c r="M28" s="78"/>
    </row>
    <row r="29" spans="2:13" ht="20.149999999999999" customHeight="1" x14ac:dyDescent="0.45">
      <c r="B29" s="34"/>
      <c r="C29" s="22"/>
      <c r="D29" s="508"/>
      <c r="E29" s="508"/>
      <c r="F29" s="508"/>
      <c r="G29" s="22"/>
      <c r="H29" s="68"/>
      <c r="I29" s="450"/>
      <c r="J29" s="450"/>
      <c r="K29" s="94"/>
      <c r="L29" s="77"/>
      <c r="M29" s="78"/>
    </row>
    <row r="30" spans="2:13" ht="20.149999999999999" customHeight="1" x14ac:dyDescent="0.45">
      <c r="B30" s="34"/>
      <c r="C30" s="22"/>
      <c r="D30" s="508"/>
      <c r="E30" s="508"/>
      <c r="F30" s="508"/>
      <c r="G30" s="22"/>
      <c r="H30" s="68"/>
      <c r="I30" s="450"/>
      <c r="J30" s="450"/>
      <c r="K30" s="94"/>
      <c r="L30" s="77"/>
      <c r="M30" s="78"/>
    </row>
    <row r="31" spans="2:13" ht="20.149999999999999" customHeight="1" x14ac:dyDescent="0.45">
      <c r="B31" s="34"/>
      <c r="C31" s="22"/>
      <c r="D31" s="508"/>
      <c r="E31" s="508"/>
      <c r="F31" s="508"/>
      <c r="G31" s="22"/>
      <c r="H31" s="68"/>
      <c r="I31" s="450"/>
      <c r="J31" s="450"/>
      <c r="K31" s="94"/>
      <c r="L31" s="77"/>
      <c r="M31" s="78"/>
    </row>
    <row r="32" spans="2:13" ht="20.149999999999999" customHeight="1" x14ac:dyDescent="0.45">
      <c r="B32" s="34"/>
      <c r="C32" s="22"/>
      <c r="D32" s="508"/>
      <c r="E32" s="508"/>
      <c r="F32" s="508"/>
      <c r="G32" s="22"/>
      <c r="H32" s="68"/>
      <c r="I32" s="450"/>
      <c r="J32" s="450"/>
      <c r="K32" s="94"/>
      <c r="L32" s="77"/>
    </row>
    <row r="33" spans="2:13" ht="20.149999999999999" customHeight="1" thickBot="1" x14ac:dyDescent="0.5">
      <c r="B33" s="37"/>
      <c r="C33" s="38"/>
      <c r="D33" s="509"/>
      <c r="E33" s="509"/>
      <c r="F33" s="509"/>
      <c r="G33" s="38"/>
      <c r="H33" s="69"/>
      <c r="I33" s="451"/>
      <c r="J33" s="451"/>
      <c r="K33" s="39"/>
      <c r="L33" s="40"/>
    </row>
    <row r="34" spans="2:13" ht="20.149999999999999" customHeight="1" thickBot="1" x14ac:dyDescent="0.5">
      <c r="B34" s="41"/>
      <c r="L34" s="42"/>
    </row>
    <row r="35" spans="2:13" ht="20.149999999999999" customHeight="1" x14ac:dyDescent="0.45">
      <c r="B35" s="11" t="s">
        <v>18</v>
      </c>
      <c r="C35" s="7"/>
      <c r="D35" s="7"/>
      <c r="E35" s="7"/>
      <c r="F35" s="7"/>
      <c r="G35" s="7"/>
      <c r="H35" s="7"/>
      <c r="I35" s="7"/>
      <c r="J35" s="510" t="s">
        <v>15</v>
      </c>
      <c r="K35" s="511"/>
      <c r="L35" s="43" t="e">
        <f>SUM(L13:L33)</f>
        <v>#N/A</v>
      </c>
      <c r="M35" s="76">
        <f>166+26</f>
        <v>192</v>
      </c>
    </row>
    <row r="36" spans="2:13" ht="20.149999999999999" customHeight="1" x14ac:dyDescent="0.45">
      <c r="B36" s="11" t="s">
        <v>19</v>
      </c>
      <c r="C36" s="7"/>
      <c r="D36" s="7"/>
      <c r="E36" s="7"/>
      <c r="F36" s="7"/>
      <c r="G36" s="7"/>
      <c r="H36" s="7"/>
      <c r="I36" s="7"/>
      <c r="J36" s="44" t="s">
        <v>22</v>
      </c>
      <c r="K36" s="45"/>
      <c r="L36" s="46" t="e">
        <f>L35*K36</f>
        <v>#N/A</v>
      </c>
    </row>
    <row r="37" spans="2:13" ht="20.149999999999999" customHeight="1" x14ac:dyDescent="0.45">
      <c r="B37" s="11" t="s">
        <v>20</v>
      </c>
      <c r="C37" s="7"/>
      <c r="D37" s="7"/>
      <c r="E37" s="7"/>
      <c r="F37" s="7"/>
      <c r="G37" s="7"/>
      <c r="H37" s="7"/>
      <c r="I37" s="7"/>
      <c r="J37" s="486" t="s">
        <v>21</v>
      </c>
      <c r="K37" s="487"/>
      <c r="L37" s="46" t="e">
        <f>L35-L36</f>
        <v>#N/A</v>
      </c>
    </row>
    <row r="38" spans="2:13" ht="20.149999999999999" customHeight="1" x14ac:dyDescent="0.45">
      <c r="B38" s="11" t="s">
        <v>24</v>
      </c>
      <c r="C38" s="7"/>
      <c r="D38" s="7"/>
      <c r="E38" s="7"/>
      <c r="F38" s="7"/>
      <c r="G38" s="7"/>
      <c r="H38" s="7"/>
      <c r="I38" s="7"/>
      <c r="J38" s="150" t="s">
        <v>17</v>
      </c>
      <c r="K38" s="151">
        <v>7.0000000000000007E-2</v>
      </c>
      <c r="L38" s="47" t="e">
        <f>L37*K38</f>
        <v>#N/A</v>
      </c>
    </row>
    <row r="39" spans="2:13" ht="20.149999999999999" customHeight="1" thickBot="1" x14ac:dyDescent="0.5">
      <c r="B39" s="11" t="s">
        <v>25</v>
      </c>
      <c r="C39" s="7"/>
      <c r="D39" s="7"/>
      <c r="E39" s="7"/>
      <c r="F39" s="7"/>
      <c r="G39" s="7"/>
      <c r="H39" s="7"/>
      <c r="I39" s="7"/>
      <c r="J39" s="488" t="s">
        <v>23</v>
      </c>
      <c r="K39" s="489"/>
      <c r="L39" s="48" t="e">
        <f>L37+L38</f>
        <v>#N/A</v>
      </c>
    </row>
    <row r="40" spans="2:13" ht="20.149999999999999" customHeight="1" x14ac:dyDescent="0.45">
      <c r="B40" s="11" t="s">
        <v>26</v>
      </c>
      <c r="C40" s="7"/>
      <c r="D40" s="7"/>
      <c r="E40" s="7"/>
      <c r="F40" s="7"/>
      <c r="G40" s="7"/>
      <c r="H40" s="7"/>
      <c r="I40" s="7"/>
      <c r="L40" s="42"/>
    </row>
    <row r="41" spans="2:13" ht="20.149999999999999" customHeight="1" x14ac:dyDescent="0.45">
      <c r="B41" s="41"/>
      <c r="L41" s="42"/>
    </row>
    <row r="42" spans="2:13" ht="20.149999999999999" customHeight="1" x14ac:dyDescent="0.45">
      <c r="B42" s="41"/>
      <c r="L42" s="42"/>
    </row>
    <row r="43" spans="2:13" ht="20.149999999999999" customHeight="1" x14ac:dyDescent="0.45">
      <c r="B43" s="41"/>
      <c r="L43" s="42"/>
    </row>
    <row r="44" spans="2:13" ht="20.149999999999999" customHeight="1" x14ac:dyDescent="0.45">
      <c r="B44" s="41"/>
      <c r="L44" s="42"/>
    </row>
    <row r="45" spans="2:13" ht="20.149999999999999" customHeight="1" x14ac:dyDescent="0.45">
      <c r="B45" s="49"/>
      <c r="C45" s="50"/>
      <c r="D45" s="50"/>
      <c r="J45" s="50"/>
      <c r="K45" s="50"/>
      <c r="L45" s="51"/>
    </row>
    <row r="46" spans="2:13" ht="20.149999999999999" customHeight="1" x14ac:dyDescent="0.45">
      <c r="B46" s="41" t="s">
        <v>27</v>
      </c>
      <c r="J46" s="24" t="s">
        <v>28</v>
      </c>
      <c r="L46" s="42"/>
    </row>
    <row r="47" spans="2:13" ht="19" thickBot="1" x14ac:dyDescent="0.5">
      <c r="B47" s="52"/>
      <c r="C47" s="53"/>
      <c r="D47" s="53"/>
      <c r="E47" s="53"/>
      <c r="F47" s="53"/>
      <c r="G47" s="53"/>
      <c r="H47" s="53"/>
      <c r="I47" s="53"/>
      <c r="J47" s="53"/>
      <c r="K47" s="53"/>
      <c r="L47" s="54"/>
    </row>
  </sheetData>
  <mergeCells count="57">
    <mergeCell ref="D28:F28"/>
    <mergeCell ref="I28:J28"/>
    <mergeCell ref="D29:F29"/>
    <mergeCell ref="I29:J29"/>
    <mergeCell ref="J39:K39"/>
    <mergeCell ref="D30:F30"/>
    <mergeCell ref="I30:J30"/>
    <mergeCell ref="D31:F31"/>
    <mergeCell ref="I31:J31"/>
    <mergeCell ref="D32:F32"/>
    <mergeCell ref="I32:J32"/>
    <mergeCell ref="D33:F33"/>
    <mergeCell ref="I33:J33"/>
    <mergeCell ref="J35:K35"/>
    <mergeCell ref="J37:K37"/>
    <mergeCell ref="D25:F25"/>
    <mergeCell ref="I25:J25"/>
    <mergeCell ref="D26:F26"/>
    <mergeCell ref="I26:J26"/>
    <mergeCell ref="D27:F27"/>
    <mergeCell ref="I27:J27"/>
    <mergeCell ref="D22:F22"/>
    <mergeCell ref="I22:J22"/>
    <mergeCell ref="D23:F23"/>
    <mergeCell ref="I23:J23"/>
    <mergeCell ref="D24:F24"/>
    <mergeCell ref="I24:J24"/>
    <mergeCell ref="D19:F19"/>
    <mergeCell ref="I19:J19"/>
    <mergeCell ref="D20:F20"/>
    <mergeCell ref="I20:J20"/>
    <mergeCell ref="D21:F21"/>
    <mergeCell ref="I21:J21"/>
    <mergeCell ref="D16:F16"/>
    <mergeCell ref="I16:J16"/>
    <mergeCell ref="D17:F17"/>
    <mergeCell ref="I17:J17"/>
    <mergeCell ref="D18:F18"/>
    <mergeCell ref="I18:J18"/>
    <mergeCell ref="D13:F13"/>
    <mergeCell ref="I13:J13"/>
    <mergeCell ref="D14:F14"/>
    <mergeCell ref="I14:J14"/>
    <mergeCell ref="D15:F15"/>
    <mergeCell ref="I15:J15"/>
    <mergeCell ref="K6:L6"/>
    <mergeCell ref="B7:D7"/>
    <mergeCell ref="F7:H11"/>
    <mergeCell ref="K7:L7"/>
    <mergeCell ref="B8:D8"/>
    <mergeCell ref="K8:L8"/>
    <mergeCell ref="B9:D9"/>
    <mergeCell ref="K9:L9"/>
    <mergeCell ref="B10:D10"/>
    <mergeCell ref="K10:L10"/>
    <mergeCell ref="B11:D11"/>
    <mergeCell ref="K11:L11"/>
  </mergeCells>
  <pageMargins left="0.70866141732283472" right="0.31496062992125984" top="2.1653543307086616" bottom="0" header="0.31496062992125984" footer="0.31496062992125984"/>
  <pageSetup paperSize="9" scale="76" orientation="portrait" verticalDpi="300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B882A5-EF83-4358-A304-A3420F078CB3}">
  <sheetPr codeName="Sheet178">
    <tabColor rgb="FFFFFF00"/>
    <pageSetUpPr fitToPage="1"/>
  </sheetPr>
  <dimension ref="B1:O51"/>
  <sheetViews>
    <sheetView topLeftCell="A4" workbookViewId="0">
      <selection activeCell="B1" sqref="B1:L51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4.54296875" style="24" customWidth="1"/>
    <col min="7" max="7" width="8.54296875" style="24" customWidth="1"/>
    <col min="8" max="8" width="12.54296875" style="24" customWidth="1"/>
    <col min="9" max="9" width="4.54296875" style="24" customWidth="1"/>
    <col min="10" max="10" width="15.54296875" style="24" customWidth="1"/>
    <col min="11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798</v>
      </c>
      <c r="J10" s="29" t="s">
        <v>29</v>
      </c>
      <c r="K10" s="452">
        <v>202109110</v>
      </c>
      <c r="L10" s="453"/>
    </row>
    <row r="11" spans="2:12" ht="20.149999999999999" customHeight="1" x14ac:dyDescent="0.45">
      <c r="B11" s="454" t="s">
        <v>503</v>
      </c>
      <c r="C11" s="455"/>
      <c r="D11" s="456"/>
      <c r="E11" s="30"/>
      <c r="F11" s="457" t="str">
        <f>VLOOKUP(H10,'Delivery Location'!A$4:N$416,2,0)</f>
        <v xml:space="preserve">Koufu - WoodGrove                                30, Woodlands Ave 1 #01-11 Singapore 739065     (Dim Sum)                               </v>
      </c>
      <c r="G11" s="458"/>
      <c r="H11" s="459"/>
      <c r="J11" s="31" t="s">
        <v>11</v>
      </c>
      <c r="K11" s="551">
        <v>44446</v>
      </c>
      <c r="L11" s="472"/>
    </row>
    <row r="12" spans="2:12" ht="20.149999999999999" customHeight="1" x14ac:dyDescent="0.45">
      <c r="B12" s="468" t="s">
        <v>504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36</v>
      </c>
      <c r="L12" s="472"/>
    </row>
    <row r="13" spans="2:12" ht="20.149999999999999" customHeight="1" x14ac:dyDescent="0.45">
      <c r="B13" s="468" t="s">
        <v>505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14</v>
      </c>
      <c r="L13" s="472"/>
    </row>
    <row r="14" spans="2:12" ht="20.149999999999999" customHeight="1" x14ac:dyDescent="0.45">
      <c r="B14" s="468" t="s">
        <v>571</v>
      </c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55"/>
      <c r="C15" s="56"/>
      <c r="D15" s="57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15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8" t="s">
        <v>622</v>
      </c>
      <c r="I17" s="478" t="s">
        <v>621</v>
      </c>
      <c r="J17" s="479"/>
      <c r="K17" s="9" t="s">
        <v>6</v>
      </c>
      <c r="L17" s="10" t="s">
        <v>7</v>
      </c>
      <c r="M17" s="33"/>
      <c r="N17" s="33"/>
      <c r="O17" s="33"/>
    </row>
    <row r="18" spans="2:15" ht="20.149999999999999" customHeight="1" x14ac:dyDescent="0.45">
      <c r="B18" s="34"/>
      <c r="C18" s="22" t="s">
        <v>1736</v>
      </c>
      <c r="D18" s="508" t="str">
        <f>VLOOKUP(C18,'Sales Master'!B$3:D$499,2,)</f>
        <v>Coconut Milk 椰浆</v>
      </c>
      <c r="E18" s="508"/>
      <c r="F18" s="508"/>
      <c r="G18" s="22">
        <v>1</v>
      </c>
      <c r="H18" s="68" t="str">
        <f>VLOOKUP(C18,'Sales Master'!$B$3:$E$590,4,0)</f>
        <v>Kara UHT</v>
      </c>
      <c r="I18" s="450" t="str">
        <f>VLOOKUP(C18,'Sales Master'!$B$3:F$590,5,0)</f>
        <v>(1L x 12bag)/箱</v>
      </c>
      <c r="J18" s="450"/>
      <c r="K18" s="35">
        <f>VLOOKUP(C18,'Sales Master'!B$3:J$499,9,0)</f>
        <v>42</v>
      </c>
      <c r="L18" s="77">
        <f>K18*G18</f>
        <v>42</v>
      </c>
      <c r="M18" s="78"/>
    </row>
    <row r="19" spans="2:15" ht="20.149999999999999" customHeight="1" x14ac:dyDescent="0.45">
      <c r="B19" s="34"/>
      <c r="C19" s="22"/>
      <c r="D19" s="508"/>
      <c r="E19" s="508"/>
      <c r="F19" s="508"/>
      <c r="G19" s="22"/>
      <c r="H19" s="68"/>
      <c r="I19" s="450"/>
      <c r="J19" s="450"/>
      <c r="K19" s="35"/>
      <c r="L19" s="77"/>
      <c r="M19" s="78"/>
    </row>
    <row r="20" spans="2:15" ht="20.149999999999999" customHeight="1" x14ac:dyDescent="0.45">
      <c r="B20" s="34"/>
      <c r="C20" s="22"/>
      <c r="D20" s="508"/>
      <c r="E20" s="508"/>
      <c r="F20" s="508"/>
      <c r="G20" s="22"/>
      <c r="H20" s="68"/>
      <c r="I20" s="450"/>
      <c r="J20" s="450"/>
      <c r="K20" s="35"/>
      <c r="L20" s="77"/>
      <c r="M20" s="78"/>
    </row>
    <row r="21" spans="2:15" ht="20.149999999999999" customHeight="1" x14ac:dyDescent="0.45">
      <c r="B21" s="34"/>
      <c r="C21" s="22"/>
      <c r="D21" s="508"/>
      <c r="E21" s="508"/>
      <c r="F21" s="508"/>
      <c r="G21" s="22"/>
      <c r="H21" s="68"/>
      <c r="I21" s="450"/>
      <c r="J21" s="450"/>
      <c r="K21" s="35"/>
      <c r="L21" s="77"/>
      <c r="M21" s="78"/>
    </row>
    <row r="22" spans="2:15" ht="20.149999999999999" customHeight="1" x14ac:dyDescent="0.45">
      <c r="B22" s="34"/>
      <c r="C22" s="22"/>
      <c r="D22" s="508"/>
      <c r="E22" s="508"/>
      <c r="F22" s="508"/>
      <c r="G22" s="22"/>
      <c r="H22" s="68"/>
      <c r="I22" s="450"/>
      <c r="J22" s="450"/>
      <c r="K22" s="35"/>
      <c r="L22" s="77"/>
      <c r="M22" s="78"/>
    </row>
    <row r="23" spans="2:15" ht="20.149999999999999" customHeight="1" x14ac:dyDescent="0.45">
      <c r="B23" s="34"/>
      <c r="C23" s="22"/>
      <c r="D23" s="508"/>
      <c r="E23" s="508"/>
      <c r="F23" s="508"/>
      <c r="G23" s="22"/>
      <c r="H23" s="68"/>
      <c r="I23" s="450"/>
      <c r="J23" s="450"/>
      <c r="K23" s="35"/>
      <c r="L23" s="77"/>
      <c r="M23" s="78"/>
    </row>
    <row r="24" spans="2:15" ht="20.149999999999999" customHeight="1" x14ac:dyDescent="0.45">
      <c r="B24" s="34"/>
      <c r="C24" s="22"/>
      <c r="D24" s="508"/>
      <c r="E24" s="508"/>
      <c r="F24" s="508"/>
      <c r="G24" s="22"/>
      <c r="H24" s="68"/>
      <c r="I24" s="450"/>
      <c r="J24" s="450"/>
      <c r="K24" s="35"/>
      <c r="L24" s="77"/>
      <c r="M24" s="78"/>
    </row>
    <row r="25" spans="2:15" ht="20.149999999999999" customHeight="1" x14ac:dyDescent="0.45">
      <c r="B25" s="34"/>
      <c r="C25" s="22"/>
      <c r="D25" s="508"/>
      <c r="E25" s="508"/>
      <c r="F25" s="508"/>
      <c r="G25" s="22"/>
      <c r="H25" s="68"/>
      <c r="I25" s="450"/>
      <c r="J25" s="450"/>
      <c r="K25" s="35"/>
      <c r="L25" s="77"/>
      <c r="M25" s="78"/>
    </row>
    <row r="26" spans="2:15" ht="20.149999999999999" customHeight="1" x14ac:dyDescent="0.45">
      <c r="B26" s="34"/>
      <c r="C26" s="22"/>
      <c r="D26" s="508"/>
      <c r="E26" s="508"/>
      <c r="F26" s="508"/>
      <c r="G26" s="22"/>
      <c r="H26" s="68"/>
      <c r="I26" s="450"/>
      <c r="J26" s="450"/>
      <c r="K26" s="35"/>
      <c r="L26" s="77"/>
      <c r="M26" s="78"/>
    </row>
    <row r="27" spans="2:15" ht="20.149999999999999" customHeight="1" x14ac:dyDescent="0.45">
      <c r="B27" s="34"/>
      <c r="C27" s="22"/>
      <c r="D27" s="508"/>
      <c r="E27" s="508"/>
      <c r="F27" s="508"/>
      <c r="G27" s="22"/>
      <c r="H27" s="68"/>
      <c r="I27" s="450"/>
      <c r="J27" s="450"/>
      <c r="K27" s="35"/>
      <c r="L27" s="77"/>
      <c r="M27" s="78"/>
    </row>
    <row r="28" spans="2:15" ht="20.149999999999999" customHeight="1" x14ac:dyDescent="0.45">
      <c r="B28" s="34"/>
      <c r="C28" s="22"/>
      <c r="D28" s="508"/>
      <c r="E28" s="508"/>
      <c r="F28" s="508"/>
      <c r="G28" s="22"/>
      <c r="H28" s="68"/>
      <c r="I28" s="450"/>
      <c r="J28" s="450"/>
      <c r="K28" s="35"/>
      <c r="L28" s="77"/>
      <c r="M28" s="78"/>
    </row>
    <row r="29" spans="2:15" ht="20.149999999999999" customHeight="1" x14ac:dyDescent="0.45">
      <c r="B29" s="34"/>
      <c r="C29" s="22"/>
      <c r="D29" s="508"/>
      <c r="E29" s="508"/>
      <c r="F29" s="508"/>
      <c r="G29" s="22"/>
      <c r="H29" s="68"/>
      <c r="I29" s="450"/>
      <c r="J29" s="450"/>
      <c r="K29" s="35"/>
      <c r="L29" s="77"/>
      <c r="M29" s="78"/>
    </row>
    <row r="30" spans="2:15" ht="20.149999999999999" customHeight="1" x14ac:dyDescent="0.45">
      <c r="B30" s="34"/>
      <c r="C30" s="22"/>
      <c r="D30" s="508"/>
      <c r="E30" s="508"/>
      <c r="F30" s="508"/>
      <c r="G30" s="22"/>
      <c r="H30" s="68"/>
      <c r="I30" s="450"/>
      <c r="J30" s="450"/>
      <c r="K30" s="35"/>
      <c r="L30" s="77"/>
      <c r="M30" s="78"/>
    </row>
    <row r="31" spans="2:15" ht="20.149999999999999" customHeight="1" x14ac:dyDescent="0.45">
      <c r="B31" s="34"/>
      <c r="C31" s="22"/>
      <c r="D31" s="508"/>
      <c r="E31" s="508"/>
      <c r="F31" s="508"/>
      <c r="G31" s="22"/>
      <c r="H31" s="68"/>
      <c r="I31" s="450"/>
      <c r="J31" s="450"/>
      <c r="K31" s="35"/>
      <c r="L31" s="77"/>
      <c r="M31" s="78"/>
    </row>
    <row r="32" spans="2:15" ht="20.149999999999999" customHeight="1" x14ac:dyDescent="0.45">
      <c r="B32" s="34"/>
      <c r="C32" s="22"/>
      <c r="D32" s="508"/>
      <c r="E32" s="508"/>
      <c r="F32" s="508"/>
      <c r="G32" s="22"/>
      <c r="H32" s="68"/>
      <c r="I32" s="450"/>
      <c r="J32" s="450"/>
      <c r="K32" s="35"/>
      <c r="L32" s="77"/>
      <c r="M32" s="78"/>
    </row>
    <row r="33" spans="2:13" ht="20.149999999999999" customHeight="1" x14ac:dyDescent="0.45">
      <c r="B33" s="34"/>
      <c r="C33" s="22"/>
      <c r="D33" s="508"/>
      <c r="E33" s="508"/>
      <c r="F33" s="508"/>
      <c r="G33" s="22"/>
      <c r="H33" s="68"/>
      <c r="I33" s="450"/>
      <c r="J33" s="450"/>
      <c r="K33" s="35"/>
      <c r="L33" s="77"/>
      <c r="M33" s="78"/>
    </row>
    <row r="34" spans="2:13" ht="20.149999999999999" customHeight="1" x14ac:dyDescent="0.45">
      <c r="B34" s="34"/>
      <c r="C34" s="22"/>
      <c r="D34" s="508"/>
      <c r="E34" s="508"/>
      <c r="F34" s="508"/>
      <c r="G34" s="22"/>
      <c r="H34" s="68"/>
      <c r="I34" s="450"/>
      <c r="J34" s="450"/>
      <c r="K34" s="35"/>
      <c r="L34" s="77"/>
      <c r="M34" s="78"/>
    </row>
    <row r="35" spans="2:13" ht="20.149999999999999" customHeight="1" x14ac:dyDescent="0.45">
      <c r="B35" s="34"/>
      <c r="C35" s="22"/>
      <c r="D35" s="508"/>
      <c r="E35" s="508"/>
      <c r="F35" s="508"/>
      <c r="G35" s="22"/>
      <c r="H35" s="68"/>
      <c r="I35" s="450"/>
      <c r="J35" s="450"/>
      <c r="K35" s="35"/>
      <c r="L35" s="77"/>
      <c r="M35" s="78"/>
    </row>
    <row r="36" spans="2:13" ht="20.149999999999999" customHeight="1" x14ac:dyDescent="0.45">
      <c r="B36" s="34"/>
      <c r="C36" s="22"/>
      <c r="D36" s="508"/>
      <c r="E36" s="508"/>
      <c r="F36" s="508"/>
      <c r="G36" s="22"/>
      <c r="H36" s="68"/>
      <c r="I36" s="450"/>
      <c r="J36" s="450"/>
      <c r="K36" s="35"/>
      <c r="L36" s="36"/>
    </row>
    <row r="37" spans="2:13" ht="20.149999999999999" customHeight="1" thickBot="1" x14ac:dyDescent="0.5">
      <c r="B37" s="37"/>
      <c r="C37" s="38"/>
      <c r="D37" s="509"/>
      <c r="E37" s="509"/>
      <c r="F37" s="509"/>
      <c r="G37" s="38"/>
      <c r="H37" s="69"/>
      <c r="I37" s="451"/>
      <c r="J37" s="451"/>
      <c r="K37" s="39"/>
      <c r="L37" s="40"/>
    </row>
    <row r="38" spans="2:13" ht="20.149999999999999" customHeight="1" thickBot="1" x14ac:dyDescent="0.5">
      <c r="B38" s="41"/>
      <c r="L38" s="42"/>
    </row>
    <row r="39" spans="2:13" ht="20.149999999999999" customHeight="1" x14ac:dyDescent="0.45">
      <c r="B39" s="11" t="s">
        <v>18</v>
      </c>
      <c r="C39" s="7"/>
      <c r="D39" s="7"/>
      <c r="E39" s="7"/>
      <c r="F39" s="7"/>
      <c r="G39" s="7"/>
      <c r="H39" s="7"/>
      <c r="I39" s="7"/>
      <c r="J39" s="510" t="s">
        <v>15</v>
      </c>
      <c r="K39" s="511"/>
      <c r="L39" s="43">
        <f>SUM(L17:L37)</f>
        <v>42</v>
      </c>
      <c r="M39" s="76">
        <f>166+26</f>
        <v>192</v>
      </c>
    </row>
    <row r="40" spans="2:13" ht="20.149999999999999" customHeight="1" x14ac:dyDescent="0.45">
      <c r="B40" s="11" t="s">
        <v>19</v>
      </c>
      <c r="C40" s="7"/>
      <c r="D40" s="7"/>
      <c r="E40" s="7"/>
      <c r="F40" s="7"/>
      <c r="G40" s="7"/>
      <c r="H40" s="7"/>
      <c r="I40" s="7"/>
      <c r="J40" s="44" t="s">
        <v>22</v>
      </c>
      <c r="K40" s="45"/>
      <c r="L40" s="46">
        <f>L39*K40</f>
        <v>0</v>
      </c>
    </row>
    <row r="41" spans="2:13" ht="20.149999999999999" customHeight="1" x14ac:dyDescent="0.45">
      <c r="B41" s="11" t="s">
        <v>20</v>
      </c>
      <c r="C41" s="7"/>
      <c r="D41" s="7"/>
      <c r="E41" s="7"/>
      <c r="F41" s="7"/>
      <c r="G41" s="7"/>
      <c r="H41" s="7"/>
      <c r="I41" s="7"/>
      <c r="J41" s="486" t="s">
        <v>21</v>
      </c>
      <c r="K41" s="487"/>
      <c r="L41" s="46">
        <f>L39-L40</f>
        <v>42</v>
      </c>
    </row>
    <row r="42" spans="2:13" ht="20.149999999999999" customHeight="1" x14ac:dyDescent="0.45">
      <c r="B42" s="11" t="s">
        <v>24</v>
      </c>
      <c r="C42" s="7"/>
      <c r="D42" s="7"/>
      <c r="E42" s="7"/>
      <c r="F42" s="7"/>
      <c r="G42" s="7"/>
      <c r="H42" s="7"/>
      <c r="I42" s="7"/>
      <c r="J42" s="150" t="s">
        <v>17</v>
      </c>
      <c r="K42" s="151">
        <v>7.0000000000000007E-2</v>
      </c>
      <c r="L42" s="47">
        <f>L41*K42</f>
        <v>2.9400000000000004</v>
      </c>
    </row>
    <row r="43" spans="2:13" ht="20.149999999999999" customHeight="1" thickBot="1" x14ac:dyDescent="0.5">
      <c r="B43" s="11" t="s">
        <v>25</v>
      </c>
      <c r="C43" s="7"/>
      <c r="D43" s="7"/>
      <c r="E43" s="7"/>
      <c r="F43" s="7"/>
      <c r="G43" s="7"/>
      <c r="H43" s="7"/>
      <c r="I43" s="7"/>
      <c r="J43" s="488" t="s">
        <v>23</v>
      </c>
      <c r="K43" s="489"/>
      <c r="L43" s="48">
        <f>L41+L42</f>
        <v>44.94</v>
      </c>
    </row>
    <row r="44" spans="2:13" ht="20.149999999999999" customHeight="1" x14ac:dyDescent="0.45">
      <c r="B44" s="11" t="s">
        <v>26</v>
      </c>
      <c r="C44" s="7"/>
      <c r="D44" s="7"/>
      <c r="E44" s="7"/>
      <c r="F44" s="7"/>
      <c r="G44" s="7"/>
      <c r="H44" s="7"/>
      <c r="I44" s="7"/>
      <c r="L44" s="42"/>
    </row>
    <row r="45" spans="2:13" ht="20.149999999999999" customHeight="1" x14ac:dyDescent="0.45">
      <c r="B45" s="41"/>
      <c r="L45" s="42"/>
    </row>
    <row r="46" spans="2:13" ht="20.149999999999999" customHeight="1" x14ac:dyDescent="0.45">
      <c r="B46" s="41"/>
      <c r="L46" s="42"/>
    </row>
    <row r="47" spans="2:13" ht="20.149999999999999" customHeight="1" x14ac:dyDescent="0.45">
      <c r="B47" s="41"/>
      <c r="L47" s="42"/>
    </row>
    <row r="48" spans="2:13" ht="20.149999999999999" customHeight="1" x14ac:dyDescent="0.45">
      <c r="B48" s="41"/>
      <c r="L48" s="42"/>
    </row>
    <row r="49" spans="2:12" ht="20.149999999999999" customHeight="1" x14ac:dyDescent="0.45">
      <c r="B49" s="49"/>
      <c r="C49" s="50"/>
      <c r="D49" s="50"/>
      <c r="J49" s="50"/>
      <c r="K49" s="50"/>
      <c r="L49" s="51"/>
    </row>
    <row r="50" spans="2:12" ht="20.149999999999999" customHeight="1" x14ac:dyDescent="0.45">
      <c r="B50" s="41" t="s">
        <v>27</v>
      </c>
      <c r="J50" s="24" t="s">
        <v>28</v>
      </c>
      <c r="L50" s="42"/>
    </row>
    <row r="51" spans="2:12" ht="19" thickBot="1" x14ac:dyDescent="0.5">
      <c r="B51" s="52"/>
      <c r="C51" s="53"/>
      <c r="D51" s="53"/>
      <c r="E51" s="53"/>
      <c r="F51" s="53"/>
      <c r="G51" s="53"/>
      <c r="H51" s="53"/>
      <c r="I51" s="53"/>
      <c r="J51" s="53"/>
      <c r="K51" s="53"/>
      <c r="L51" s="54"/>
    </row>
  </sheetData>
  <mergeCells count="57">
    <mergeCell ref="B1:L8"/>
    <mergeCell ref="D34:F34"/>
    <mergeCell ref="I34:J34"/>
    <mergeCell ref="J39:K39"/>
    <mergeCell ref="J41:K41"/>
    <mergeCell ref="D31:F31"/>
    <mergeCell ref="I31:J31"/>
    <mergeCell ref="D32:F32"/>
    <mergeCell ref="I32:J32"/>
    <mergeCell ref="D33:F33"/>
    <mergeCell ref="I33:J33"/>
    <mergeCell ref="D28:F28"/>
    <mergeCell ref="I28:J28"/>
    <mergeCell ref="D29:F29"/>
    <mergeCell ref="I29:J29"/>
    <mergeCell ref="D30:F30"/>
    <mergeCell ref="J43:K43"/>
    <mergeCell ref="D35:F35"/>
    <mergeCell ref="I35:J35"/>
    <mergeCell ref="D36:F36"/>
    <mergeCell ref="I36:J36"/>
    <mergeCell ref="D37:F37"/>
    <mergeCell ref="I37:J37"/>
    <mergeCell ref="I30:J30"/>
    <mergeCell ref="D25:F25"/>
    <mergeCell ref="I25:J25"/>
    <mergeCell ref="D26:F26"/>
    <mergeCell ref="I26:J26"/>
    <mergeCell ref="D27:F27"/>
    <mergeCell ref="I27:J27"/>
    <mergeCell ref="D22:F22"/>
    <mergeCell ref="I22:J22"/>
    <mergeCell ref="D23:F23"/>
    <mergeCell ref="I23:J23"/>
    <mergeCell ref="D24:F24"/>
    <mergeCell ref="I24:J24"/>
    <mergeCell ref="D20:F20"/>
    <mergeCell ref="I20:J20"/>
    <mergeCell ref="D21:F21"/>
    <mergeCell ref="I21:J21"/>
    <mergeCell ref="D19:F19"/>
    <mergeCell ref="I19:J19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18:J18"/>
  </mergeCells>
  <pageMargins left="0.70866141732283472" right="0.31496062992125984" top="0.59055118110236227" bottom="0" header="0.31496062992125984" footer="0.31496062992125984"/>
  <pageSetup paperSize="9" scale="76" orientation="portrait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4E0B5-B148-4711-9D8A-43230952AEE0}">
  <sheetPr codeName="Sheet15">
    <pageSetUpPr fitToPage="1"/>
  </sheetPr>
  <dimension ref="A1:DA476"/>
  <sheetViews>
    <sheetView zoomScaleNormal="100" workbookViewId="0">
      <pane xSplit="3" ySplit="2" topLeftCell="I285" activePane="bottomRight" state="frozen"/>
      <selection activeCell="I18" sqref="I18:J18"/>
      <selection pane="topRight" activeCell="I18" sqref="I18:J18"/>
      <selection pane="bottomLeft" activeCell="I18" sqref="I18:J18"/>
      <selection pane="bottomRight" activeCell="N285" sqref="N285"/>
    </sheetView>
  </sheetViews>
  <sheetFormatPr defaultColWidth="8.7265625" defaultRowHeight="14.5" x14ac:dyDescent="0.35"/>
  <cols>
    <col min="1" max="1" width="15.26953125" customWidth="1"/>
    <col min="2" max="2" width="11.1796875" customWidth="1"/>
    <col min="3" max="3" width="47.54296875" customWidth="1"/>
    <col min="4" max="4" width="18.54296875" style="233" customWidth="1"/>
    <col min="5" max="5" width="15.7265625" style="21" customWidth="1"/>
    <col min="6" max="6" width="23.1796875" customWidth="1"/>
    <col min="7" max="7" width="8.7265625" customWidth="1"/>
    <col min="8" max="8" width="9.54296875" style="117" customWidth="1"/>
    <col min="9" max="9" width="11" style="5" customWidth="1"/>
    <col min="10" max="13" width="8.7265625" style="5" customWidth="1"/>
    <col min="14" max="14" width="8.7265625" style="119" customWidth="1"/>
    <col min="15" max="36" width="8.7265625" style="5" customWidth="1"/>
    <col min="37" max="40" width="8.7265625" customWidth="1"/>
    <col min="41" max="55" width="8.7265625" style="5" customWidth="1"/>
    <col min="56" max="58" width="8.7265625" customWidth="1"/>
    <col min="59" max="59" width="10.7265625" customWidth="1"/>
    <col min="60" max="60" width="13.1796875" customWidth="1"/>
    <col min="61" max="61" width="9.81640625" customWidth="1"/>
    <col min="62" max="75" width="8.7265625" customWidth="1"/>
    <col min="76" max="76" width="8.7265625" style="5" customWidth="1"/>
    <col min="77" max="84" width="8.7265625" style="300" customWidth="1"/>
    <col min="85" max="104" width="8.7265625" customWidth="1"/>
    <col min="105" max="105" width="10.1796875" style="300" bestFit="1" customWidth="1"/>
  </cols>
  <sheetData>
    <row r="1" spans="1:105" x14ac:dyDescent="0.35">
      <c r="E1" s="234"/>
      <c r="N1" s="119">
        <f>M1+1</f>
        <v>1</v>
      </c>
    </row>
    <row r="2" spans="1:105" ht="72.5" x14ac:dyDescent="0.35">
      <c r="A2" s="17" t="s">
        <v>2329</v>
      </c>
      <c r="B2" s="17" t="s">
        <v>0</v>
      </c>
      <c r="C2" s="18" t="s">
        <v>1</v>
      </c>
      <c r="D2" s="17" t="s">
        <v>845</v>
      </c>
      <c r="E2" s="18" t="s">
        <v>60</v>
      </c>
      <c r="F2" s="18" t="s">
        <v>31</v>
      </c>
      <c r="G2" s="18" t="s">
        <v>32</v>
      </c>
      <c r="H2" s="118" t="s">
        <v>732</v>
      </c>
      <c r="I2" s="199" t="s">
        <v>137</v>
      </c>
      <c r="J2" s="371" t="s">
        <v>138</v>
      </c>
      <c r="K2" s="16" t="s">
        <v>139</v>
      </c>
      <c r="L2" s="184" t="s">
        <v>172</v>
      </c>
      <c r="M2" s="16" t="s">
        <v>175</v>
      </c>
      <c r="N2" s="120" t="s">
        <v>648</v>
      </c>
      <c r="O2" s="16" t="s">
        <v>493</v>
      </c>
      <c r="P2" s="199" t="s">
        <v>1885</v>
      </c>
      <c r="Q2" s="63" t="s">
        <v>185</v>
      </c>
      <c r="R2" s="16" t="s">
        <v>495</v>
      </c>
      <c r="S2" s="63" t="s">
        <v>2218</v>
      </c>
      <c r="T2" s="16" t="s">
        <v>2180</v>
      </c>
      <c r="U2" s="16" t="s">
        <v>2213</v>
      </c>
      <c r="V2" s="16" t="s">
        <v>497</v>
      </c>
      <c r="W2" s="16" t="s">
        <v>195</v>
      </c>
      <c r="X2" s="16" t="s">
        <v>2284</v>
      </c>
      <c r="Y2" s="16" t="s">
        <v>238</v>
      </c>
      <c r="Z2" s="16" t="s">
        <v>241</v>
      </c>
      <c r="AA2" s="16" t="s">
        <v>244</v>
      </c>
      <c r="AB2" s="16" t="s">
        <v>247</v>
      </c>
      <c r="AC2" s="16" t="s">
        <v>248</v>
      </c>
      <c r="AD2" s="16" t="s">
        <v>2302</v>
      </c>
      <c r="AE2" s="16" t="s">
        <v>2346</v>
      </c>
      <c r="AF2" s="16" t="s">
        <v>695</v>
      </c>
      <c r="AG2" s="138" t="s">
        <v>716</v>
      </c>
      <c r="AH2" s="121" t="s">
        <v>727</v>
      </c>
      <c r="AI2" s="121" t="s">
        <v>730</v>
      </c>
      <c r="AJ2" s="16" t="s">
        <v>2366</v>
      </c>
      <c r="AK2" s="16" t="s">
        <v>753</v>
      </c>
      <c r="AL2" s="16" t="s">
        <v>755</v>
      </c>
      <c r="AM2" s="16" t="s">
        <v>761</v>
      </c>
      <c r="AN2" s="16" t="s">
        <v>799</v>
      </c>
      <c r="AO2" s="135" t="s">
        <v>814</v>
      </c>
      <c r="AP2" s="138" t="s">
        <v>822</v>
      </c>
      <c r="AQ2" s="138" t="s">
        <v>818</v>
      </c>
      <c r="AR2" s="138" t="s">
        <v>819</v>
      </c>
      <c r="AS2" s="138" t="s">
        <v>820</v>
      </c>
      <c r="AT2" s="138" t="s">
        <v>823</v>
      </c>
      <c r="AU2" s="138" t="s">
        <v>824</v>
      </c>
      <c r="AV2" s="138" t="s">
        <v>817</v>
      </c>
      <c r="AW2" s="138" t="s">
        <v>831</v>
      </c>
      <c r="AX2" s="138" t="s">
        <v>825</v>
      </c>
      <c r="AY2" s="138" t="s">
        <v>826</v>
      </c>
      <c r="AZ2" s="138" t="s">
        <v>827</v>
      </c>
      <c r="BA2" s="138" t="s">
        <v>828</v>
      </c>
      <c r="BB2" s="138" t="s">
        <v>829</v>
      </c>
      <c r="BC2" s="138" t="s">
        <v>830</v>
      </c>
      <c r="BD2" s="138" t="s">
        <v>837</v>
      </c>
      <c r="BE2" s="138" t="s">
        <v>855</v>
      </c>
      <c r="BF2" s="138" t="s">
        <v>861</v>
      </c>
      <c r="BG2" s="138" t="s">
        <v>896</v>
      </c>
      <c r="BH2" s="138" t="s">
        <v>898</v>
      </c>
      <c r="BI2" s="138" t="s">
        <v>903</v>
      </c>
      <c r="BJ2" s="138" t="s">
        <v>908</v>
      </c>
      <c r="BK2" s="138" t="s">
        <v>928</v>
      </c>
      <c r="BL2" s="138" t="s">
        <v>957</v>
      </c>
      <c r="BM2" s="138" t="s">
        <v>978</v>
      </c>
      <c r="BN2" s="138" t="s">
        <v>996</v>
      </c>
      <c r="BO2" s="138" t="s">
        <v>1073</v>
      </c>
      <c r="BP2" s="138" t="s">
        <v>1088</v>
      </c>
      <c r="BQ2" s="138" t="s">
        <v>1331</v>
      </c>
      <c r="BR2" s="138" t="s">
        <v>1205</v>
      </c>
      <c r="BS2" s="58" t="s">
        <v>1247</v>
      </c>
      <c r="BT2" s="235" t="s">
        <v>1348</v>
      </c>
      <c r="BU2" s="236" t="s">
        <v>1378</v>
      </c>
      <c r="BV2" s="235" t="s">
        <v>1396</v>
      </c>
      <c r="BW2" s="235" t="s">
        <v>1432</v>
      </c>
      <c r="BX2" s="138" t="s">
        <v>1839</v>
      </c>
      <c r="BY2" s="301" t="s">
        <v>1855</v>
      </c>
      <c r="BZ2" s="301" t="s">
        <v>2299</v>
      </c>
      <c r="CA2" s="301" t="s">
        <v>1920</v>
      </c>
      <c r="CB2" s="301" t="s">
        <v>1950</v>
      </c>
      <c r="CC2" s="301" t="s">
        <v>1960</v>
      </c>
      <c r="CD2" s="343" t="s">
        <v>2008</v>
      </c>
      <c r="CE2" s="301" t="s">
        <v>2046</v>
      </c>
      <c r="CF2" s="301" t="s">
        <v>2075</v>
      </c>
      <c r="CG2" s="309" t="s">
        <v>1894</v>
      </c>
      <c r="CH2" s="58" t="s">
        <v>2004</v>
      </c>
      <c r="CI2" s="58"/>
      <c r="CJ2" s="58"/>
      <c r="CK2" s="58"/>
      <c r="CL2" s="58"/>
      <c r="CM2" s="58"/>
      <c r="CN2" s="58"/>
      <c r="CO2" s="1"/>
      <c r="CP2" s="1"/>
      <c r="CQ2" s="1"/>
      <c r="CR2" s="1"/>
      <c r="DA2" s="378">
        <v>44639</v>
      </c>
    </row>
    <row r="3" spans="1:105" ht="20.25" customHeight="1" x14ac:dyDescent="0.35">
      <c r="A3" s="95"/>
      <c r="B3" s="200" t="s">
        <v>1440</v>
      </c>
      <c r="C3" s="200" t="s">
        <v>270</v>
      </c>
      <c r="D3" s="95" t="s">
        <v>846</v>
      </c>
      <c r="E3" s="95" t="s">
        <v>61</v>
      </c>
      <c r="F3" s="95" t="s">
        <v>2149</v>
      </c>
      <c r="G3" s="95" t="s">
        <v>42</v>
      </c>
      <c r="H3" s="237">
        <v>28</v>
      </c>
      <c r="I3" s="4"/>
      <c r="J3" s="4"/>
      <c r="K3" s="4"/>
      <c r="L3" s="4">
        <v>32</v>
      </c>
      <c r="M3" s="4">
        <v>32</v>
      </c>
      <c r="N3" s="240">
        <v>31</v>
      </c>
      <c r="O3" s="4">
        <v>32</v>
      </c>
      <c r="P3" s="240">
        <v>32</v>
      </c>
      <c r="Q3" s="4">
        <v>32</v>
      </c>
      <c r="R3" s="4">
        <v>32</v>
      </c>
      <c r="S3" s="4">
        <v>32</v>
      </c>
      <c r="T3" s="4"/>
      <c r="U3" s="4"/>
      <c r="V3" s="238"/>
      <c r="W3" s="4"/>
      <c r="X3" s="4"/>
      <c r="Y3" s="4"/>
      <c r="Z3" s="4"/>
      <c r="AA3" s="4"/>
      <c r="AB3" s="4"/>
      <c r="AC3" s="4">
        <v>31</v>
      </c>
      <c r="AD3" s="4"/>
      <c r="AE3" s="4"/>
      <c r="AF3" s="4"/>
      <c r="AG3" s="4"/>
      <c r="AH3" s="4"/>
      <c r="AI3" s="4"/>
      <c r="AJ3" s="4"/>
      <c r="AK3" s="1"/>
      <c r="AL3" s="1"/>
      <c r="AM3" s="1"/>
      <c r="AN3" s="1"/>
      <c r="AO3" s="1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4"/>
      <c r="BY3" s="136"/>
      <c r="BZ3" s="136">
        <v>32</v>
      </c>
      <c r="CA3" s="136"/>
      <c r="CB3" s="136"/>
      <c r="CC3" s="136"/>
      <c r="CD3" s="136"/>
      <c r="CE3" s="136"/>
      <c r="CF3" s="136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DA3" s="379">
        <v>18.95</v>
      </c>
    </row>
    <row r="4" spans="1:105" ht="20.25" customHeight="1" x14ac:dyDescent="0.35">
      <c r="A4" s="95" t="s">
        <v>115</v>
      </c>
      <c r="B4" s="200" t="s">
        <v>1441</v>
      </c>
      <c r="C4" s="200" t="s">
        <v>270</v>
      </c>
      <c r="D4" s="239" t="s">
        <v>846</v>
      </c>
      <c r="E4" s="95" t="s">
        <v>61</v>
      </c>
      <c r="F4" s="95" t="s">
        <v>1443</v>
      </c>
      <c r="G4" s="95" t="s">
        <v>267</v>
      </c>
      <c r="H4" s="237">
        <v>30</v>
      </c>
      <c r="I4" s="240">
        <v>33</v>
      </c>
      <c r="J4" s="4">
        <v>30</v>
      </c>
      <c r="K4" s="4"/>
      <c r="L4" s="4"/>
      <c r="M4" s="4"/>
      <c r="N4" s="122"/>
      <c r="O4" s="4"/>
      <c r="P4" s="4"/>
      <c r="Q4" s="4"/>
      <c r="R4" s="4"/>
      <c r="S4" s="4"/>
      <c r="T4" s="4"/>
      <c r="U4" s="4"/>
      <c r="V4" s="238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1"/>
      <c r="AL4" s="1"/>
      <c r="AM4" s="1"/>
      <c r="AN4" s="1"/>
      <c r="AO4" s="4">
        <v>30</v>
      </c>
      <c r="AP4" s="4">
        <v>30</v>
      </c>
      <c r="AQ4" s="4"/>
      <c r="AR4" s="4">
        <v>30</v>
      </c>
      <c r="AS4" s="4"/>
      <c r="AT4" s="4">
        <v>30</v>
      </c>
      <c r="AU4" s="4">
        <v>30</v>
      </c>
      <c r="AV4" s="4">
        <v>30</v>
      </c>
      <c r="AW4" s="4"/>
      <c r="AX4" s="4">
        <v>30</v>
      </c>
      <c r="AY4" s="4">
        <v>30</v>
      </c>
      <c r="AZ4" s="4">
        <v>30</v>
      </c>
      <c r="BA4" s="4"/>
      <c r="BB4" s="4"/>
      <c r="BC4" s="4">
        <v>30</v>
      </c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>
        <v>34</v>
      </c>
      <c r="BV4" s="1"/>
      <c r="BW4" s="1"/>
      <c r="BX4" s="4">
        <f>J4</f>
        <v>30</v>
      </c>
      <c r="BY4" s="136"/>
      <c r="BZ4" s="136"/>
      <c r="CA4" s="136"/>
      <c r="CB4" s="136"/>
      <c r="CC4" s="136"/>
      <c r="CD4" s="136"/>
      <c r="CE4" s="136"/>
      <c r="CF4" s="136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DA4" s="379">
        <v>20.27</v>
      </c>
    </row>
    <row r="5" spans="1:105" ht="20.25" customHeight="1" x14ac:dyDescent="0.35">
      <c r="A5" s="95"/>
      <c r="B5" s="200" t="s">
        <v>1442</v>
      </c>
      <c r="C5" s="200" t="s">
        <v>270</v>
      </c>
      <c r="D5" s="239" t="s">
        <v>846</v>
      </c>
      <c r="E5" s="95" t="s">
        <v>61</v>
      </c>
      <c r="F5" s="95" t="s">
        <v>2234</v>
      </c>
      <c r="G5" s="95" t="s">
        <v>33</v>
      </c>
      <c r="H5" s="237"/>
      <c r="I5" s="240"/>
      <c r="J5" s="4"/>
      <c r="K5" s="4"/>
      <c r="L5" s="4"/>
      <c r="M5" s="4"/>
      <c r="N5" s="122"/>
      <c r="O5" s="4"/>
      <c r="P5" s="4"/>
      <c r="Q5" s="4"/>
      <c r="R5" s="4"/>
      <c r="S5" s="4"/>
      <c r="T5" s="4"/>
      <c r="U5" s="4"/>
      <c r="V5" s="238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1"/>
      <c r="AL5" s="1"/>
      <c r="AM5" s="1"/>
      <c r="AN5" s="1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4"/>
      <c r="BY5" s="136"/>
      <c r="BZ5" s="136"/>
      <c r="CA5" s="136"/>
      <c r="CB5" s="136"/>
      <c r="CC5" s="136"/>
      <c r="CD5" s="136"/>
      <c r="CE5" s="136"/>
      <c r="CF5" s="136">
        <v>8</v>
      </c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DA5" s="379">
        <v>4.0999999999999996</v>
      </c>
    </row>
    <row r="6" spans="1:105" ht="20.25" customHeight="1" x14ac:dyDescent="0.35">
      <c r="A6" s="95"/>
      <c r="B6" s="200" t="s">
        <v>2148</v>
      </c>
      <c r="C6" s="200" t="s">
        <v>270</v>
      </c>
      <c r="D6" s="239" t="s">
        <v>846</v>
      </c>
      <c r="E6" s="95" t="s">
        <v>1101</v>
      </c>
      <c r="F6" s="95" t="s">
        <v>2149</v>
      </c>
      <c r="G6" s="95"/>
      <c r="H6" s="237"/>
      <c r="I6" s="240"/>
      <c r="J6" s="4"/>
      <c r="K6" s="4"/>
      <c r="L6" s="4"/>
      <c r="M6" s="4"/>
      <c r="N6" s="122"/>
      <c r="O6" s="4"/>
      <c r="P6" s="4"/>
      <c r="Q6" s="4"/>
      <c r="R6" s="4"/>
      <c r="S6" s="4"/>
      <c r="T6" s="4"/>
      <c r="U6" s="4"/>
      <c r="V6" s="238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1"/>
      <c r="AL6" s="1"/>
      <c r="AM6" s="1"/>
      <c r="AN6" s="1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4"/>
      <c r="BY6" s="136"/>
      <c r="BZ6" s="136"/>
      <c r="CA6" s="136"/>
      <c r="CB6" s="136"/>
      <c r="CC6" s="136"/>
      <c r="CD6" s="136"/>
      <c r="CE6" s="136"/>
      <c r="CF6" s="136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DA6" s="379">
        <v>19</v>
      </c>
    </row>
    <row r="7" spans="1:105" ht="20.25" customHeight="1" x14ac:dyDescent="0.35">
      <c r="A7" s="95"/>
      <c r="B7" s="200" t="s">
        <v>1445</v>
      </c>
      <c r="C7" s="200" t="s">
        <v>271</v>
      </c>
      <c r="D7" s="239" t="s">
        <v>846</v>
      </c>
      <c r="E7" s="95" t="s">
        <v>61</v>
      </c>
      <c r="F7" s="95" t="s">
        <v>1443</v>
      </c>
      <c r="G7" s="95" t="s">
        <v>267</v>
      </c>
      <c r="H7" s="237">
        <v>35</v>
      </c>
      <c r="I7" s="240">
        <v>35</v>
      </c>
      <c r="J7" s="4">
        <v>35</v>
      </c>
      <c r="K7" s="4"/>
      <c r="L7" s="4"/>
      <c r="M7" s="4"/>
      <c r="N7" s="108"/>
      <c r="O7" s="4"/>
      <c r="P7" s="4"/>
      <c r="Q7" s="4"/>
      <c r="R7" s="4"/>
      <c r="S7" s="4">
        <v>38</v>
      </c>
      <c r="T7" s="4"/>
      <c r="U7" s="4"/>
      <c r="V7" s="238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1"/>
      <c r="AL7" s="1"/>
      <c r="AM7" s="1"/>
      <c r="AN7" s="1"/>
      <c r="AO7" s="1"/>
      <c r="AP7" s="4">
        <v>35</v>
      </c>
      <c r="AQ7" s="4"/>
      <c r="AR7" s="4"/>
      <c r="AS7" s="4">
        <v>35</v>
      </c>
      <c r="AT7" s="4"/>
      <c r="AU7" s="4"/>
      <c r="AV7" s="4"/>
      <c r="AW7" s="4"/>
      <c r="AX7" s="4"/>
      <c r="AY7" s="4"/>
      <c r="AZ7" s="4">
        <v>35</v>
      </c>
      <c r="BA7" s="4"/>
      <c r="BB7" s="4"/>
      <c r="BC7" s="4">
        <v>35</v>
      </c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>
        <v>36</v>
      </c>
      <c r="BQ7" s="1"/>
      <c r="BR7" s="1"/>
      <c r="BS7" s="1"/>
      <c r="BT7" s="1"/>
      <c r="BU7" s="1"/>
      <c r="BV7" s="1"/>
      <c r="BW7" s="1"/>
      <c r="BX7" s="4"/>
      <c r="BY7" s="136"/>
      <c r="BZ7" s="136"/>
      <c r="CA7" s="136"/>
      <c r="CB7" s="136"/>
      <c r="CC7" s="136"/>
      <c r="CD7" s="136"/>
      <c r="CE7" s="136"/>
      <c r="CF7" s="136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DA7" s="379">
        <f>(4.4*150+0.86*75+32*1.4)/32</f>
        <v>24.040624999999999</v>
      </c>
    </row>
    <row r="8" spans="1:105" ht="20.25" customHeight="1" x14ac:dyDescent="0.35">
      <c r="A8" s="95"/>
      <c r="B8" s="200" t="s">
        <v>1446</v>
      </c>
      <c r="C8" s="200" t="s">
        <v>271</v>
      </c>
      <c r="D8" s="95" t="s">
        <v>846</v>
      </c>
      <c r="E8" s="95" t="s">
        <v>61</v>
      </c>
      <c r="F8" s="95" t="s">
        <v>2234</v>
      </c>
      <c r="G8" s="95" t="s">
        <v>33</v>
      </c>
      <c r="H8" s="237">
        <v>7</v>
      </c>
      <c r="I8" s="4"/>
      <c r="J8" s="4"/>
      <c r="K8" s="4"/>
      <c r="L8" s="4"/>
      <c r="M8" s="4"/>
      <c r="N8" s="108"/>
      <c r="O8" s="4"/>
      <c r="P8" s="4"/>
      <c r="Q8" s="4"/>
      <c r="R8" s="4"/>
      <c r="S8" s="4">
        <v>10</v>
      </c>
      <c r="T8" s="4"/>
      <c r="U8" s="4"/>
      <c r="V8" s="238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1"/>
      <c r="AL8" s="1"/>
      <c r="AM8" s="1"/>
      <c r="AN8" s="1"/>
      <c r="AO8" s="1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1"/>
      <c r="BE8" s="1"/>
      <c r="BF8" s="1"/>
      <c r="BG8" s="1"/>
      <c r="BH8" s="1"/>
      <c r="BI8" s="1"/>
      <c r="BJ8" s="1"/>
      <c r="BK8" s="1">
        <v>9</v>
      </c>
      <c r="BL8" s="1"/>
      <c r="BM8" s="1"/>
      <c r="BN8" s="1"/>
      <c r="BO8" s="1"/>
      <c r="BP8" s="1"/>
      <c r="BQ8" s="1"/>
      <c r="BR8" s="1"/>
      <c r="BS8" s="1"/>
      <c r="BT8" s="1">
        <v>7</v>
      </c>
      <c r="BU8" s="1"/>
      <c r="BV8" s="1"/>
      <c r="BW8" s="1"/>
      <c r="BX8" s="4"/>
      <c r="BY8" s="136">
        <v>10</v>
      </c>
      <c r="BZ8" s="136"/>
      <c r="CA8" s="136"/>
      <c r="CB8" s="136"/>
      <c r="CC8" s="136"/>
      <c r="CD8" s="136"/>
      <c r="CE8" s="136"/>
      <c r="CF8" s="136">
        <v>10</v>
      </c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DA8" s="379">
        <f>DA7/5</f>
        <v>4.8081249999999995</v>
      </c>
    </row>
    <row r="9" spans="1:105" ht="20.25" customHeight="1" x14ac:dyDescent="0.35">
      <c r="A9" s="95"/>
      <c r="B9" s="200" t="s">
        <v>2144</v>
      </c>
      <c r="C9" s="200" t="s">
        <v>271</v>
      </c>
      <c r="D9" s="95"/>
      <c r="E9" s="95" t="s">
        <v>1101</v>
      </c>
      <c r="F9" s="95" t="s">
        <v>2149</v>
      </c>
      <c r="G9" s="95"/>
      <c r="H9" s="237"/>
      <c r="I9" s="4"/>
      <c r="J9" s="4"/>
      <c r="K9" s="4"/>
      <c r="L9" s="4"/>
      <c r="M9" s="4"/>
      <c r="N9" s="108"/>
      <c r="O9" s="4"/>
      <c r="P9" s="4"/>
      <c r="Q9" s="4"/>
      <c r="R9" s="4"/>
      <c r="S9" s="4"/>
      <c r="T9" s="4"/>
      <c r="U9" s="4"/>
      <c r="V9" s="238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1"/>
      <c r="AL9" s="1"/>
      <c r="AM9" s="1"/>
      <c r="AN9" s="1"/>
      <c r="AO9" s="1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4"/>
      <c r="BY9" s="136"/>
      <c r="BZ9" s="136"/>
      <c r="CA9" s="136"/>
      <c r="CB9" s="136"/>
      <c r="CC9" s="136"/>
      <c r="CD9" s="136"/>
      <c r="CE9" s="136"/>
      <c r="CF9" s="136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DA9" s="379">
        <f>4.4*5</f>
        <v>22</v>
      </c>
    </row>
    <row r="10" spans="1:105" ht="20.25" customHeight="1" x14ac:dyDescent="0.35">
      <c r="A10" s="95" t="s">
        <v>122</v>
      </c>
      <c r="B10" s="200" t="s">
        <v>1447</v>
      </c>
      <c r="C10" s="200" t="s">
        <v>272</v>
      </c>
      <c r="D10" s="239" t="s">
        <v>846</v>
      </c>
      <c r="E10" s="95" t="s">
        <v>61</v>
      </c>
      <c r="F10" s="95" t="s">
        <v>2234</v>
      </c>
      <c r="G10" s="95" t="s">
        <v>33</v>
      </c>
      <c r="H10" s="237">
        <v>6</v>
      </c>
      <c r="I10" s="240">
        <v>8</v>
      </c>
      <c r="J10" s="250">
        <v>7</v>
      </c>
      <c r="K10" s="4"/>
      <c r="L10" s="4"/>
      <c r="M10" s="4"/>
      <c r="N10" s="240">
        <v>7</v>
      </c>
      <c r="O10" s="4">
        <v>7</v>
      </c>
      <c r="P10" s="240">
        <v>7</v>
      </c>
      <c r="Q10" s="4">
        <v>6</v>
      </c>
      <c r="R10" s="4"/>
      <c r="S10" s="4">
        <v>7</v>
      </c>
      <c r="T10" s="4"/>
      <c r="U10" s="4"/>
      <c r="V10" s="238"/>
      <c r="W10" s="4"/>
      <c r="X10" s="4"/>
      <c r="Y10" s="4"/>
      <c r="Z10" s="4"/>
      <c r="AA10" s="4"/>
      <c r="AB10" s="4"/>
      <c r="AC10" s="4">
        <v>7</v>
      </c>
      <c r="AD10" s="4"/>
      <c r="AE10" s="4"/>
      <c r="AF10" s="4"/>
      <c r="AG10" s="4"/>
      <c r="AH10" s="4"/>
      <c r="AI10" s="4"/>
      <c r="AJ10" s="4"/>
      <c r="AK10" s="1"/>
      <c r="AL10" s="1"/>
      <c r="AM10" s="1"/>
      <c r="AN10" s="1"/>
      <c r="AO10" s="1"/>
      <c r="AP10" s="250">
        <v>7</v>
      </c>
      <c r="AQ10" s="250">
        <v>7</v>
      </c>
      <c r="AR10" s="250">
        <v>7</v>
      </c>
      <c r="AS10" s="250">
        <v>7</v>
      </c>
      <c r="AT10" s="250">
        <v>7</v>
      </c>
      <c r="AU10" s="250">
        <v>7</v>
      </c>
      <c r="AV10" s="250">
        <v>7</v>
      </c>
      <c r="AW10" s="250">
        <v>7</v>
      </c>
      <c r="AX10" s="250">
        <v>7</v>
      </c>
      <c r="AY10" s="250">
        <v>7</v>
      </c>
      <c r="AZ10" s="250">
        <v>7</v>
      </c>
      <c r="BA10" s="250">
        <v>7</v>
      </c>
      <c r="BB10" s="4"/>
      <c r="BC10" s="250">
        <v>7</v>
      </c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>
        <v>7</v>
      </c>
      <c r="BU10" s="1"/>
      <c r="BV10" s="1"/>
      <c r="BW10" s="1"/>
      <c r="BX10" s="250">
        <f>J10</f>
        <v>7</v>
      </c>
      <c r="BY10" s="136"/>
      <c r="BZ10" s="136">
        <v>7</v>
      </c>
      <c r="CA10" s="136"/>
      <c r="CB10" s="136"/>
      <c r="CC10" s="136"/>
      <c r="CD10" s="136"/>
      <c r="CE10" s="136"/>
      <c r="CF10" s="136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DA10" s="379">
        <v>4.95</v>
      </c>
    </row>
    <row r="11" spans="1:105" ht="20.25" customHeight="1" x14ac:dyDescent="0.35">
      <c r="A11" s="95"/>
      <c r="B11" s="200" t="s">
        <v>2143</v>
      </c>
      <c r="C11" s="200" t="s">
        <v>272</v>
      </c>
      <c r="D11" s="239"/>
      <c r="E11" s="95" t="s">
        <v>1101</v>
      </c>
      <c r="F11" s="95" t="s">
        <v>2150</v>
      </c>
      <c r="G11" s="95"/>
      <c r="H11" s="237"/>
      <c r="I11" s="240"/>
      <c r="J11" s="4"/>
      <c r="K11" s="4"/>
      <c r="L11" s="4"/>
      <c r="M11" s="4"/>
      <c r="N11" s="240"/>
      <c r="O11" s="4"/>
      <c r="P11" s="240"/>
      <c r="Q11" s="4"/>
      <c r="R11" s="4"/>
      <c r="S11" s="4"/>
      <c r="T11" s="4"/>
      <c r="U11" s="4"/>
      <c r="V11" s="238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1"/>
      <c r="AL11" s="1"/>
      <c r="AM11" s="1"/>
      <c r="AN11" s="1"/>
      <c r="AO11" s="1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4"/>
      <c r="BY11" s="136"/>
      <c r="BZ11" s="136"/>
      <c r="CA11" s="136"/>
      <c r="CB11" s="136"/>
      <c r="CC11" s="136"/>
      <c r="CD11" s="136"/>
      <c r="CE11" s="136"/>
      <c r="CF11" s="136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DA11" s="379">
        <v>26</v>
      </c>
    </row>
    <row r="12" spans="1:105" ht="20.25" customHeight="1" x14ac:dyDescent="0.35">
      <c r="A12" s="95" t="s">
        <v>123</v>
      </c>
      <c r="B12" s="200" t="s">
        <v>1448</v>
      </c>
      <c r="C12" s="200" t="s">
        <v>273</v>
      </c>
      <c r="D12" s="239" t="s">
        <v>846</v>
      </c>
      <c r="E12" s="95" t="s">
        <v>61</v>
      </c>
      <c r="F12" s="95" t="s">
        <v>2234</v>
      </c>
      <c r="G12" s="95" t="s">
        <v>33</v>
      </c>
      <c r="H12" s="237">
        <v>6</v>
      </c>
      <c r="I12" s="240">
        <v>7</v>
      </c>
      <c r="J12" s="250">
        <v>7</v>
      </c>
      <c r="K12" s="4"/>
      <c r="L12" s="4"/>
      <c r="M12" s="4"/>
      <c r="N12" s="240">
        <v>6</v>
      </c>
      <c r="O12" s="4">
        <v>7</v>
      </c>
      <c r="P12" s="240">
        <v>6</v>
      </c>
      <c r="Q12" s="4">
        <v>6</v>
      </c>
      <c r="R12" s="4"/>
      <c r="S12" s="4">
        <v>7</v>
      </c>
      <c r="T12" s="4"/>
      <c r="U12" s="4"/>
      <c r="V12" s="238"/>
      <c r="W12" s="4"/>
      <c r="X12" s="4"/>
      <c r="Y12" s="4"/>
      <c r="Z12" s="4"/>
      <c r="AA12" s="4"/>
      <c r="AB12" s="4"/>
      <c r="AC12" s="4">
        <v>7</v>
      </c>
      <c r="AD12" s="4"/>
      <c r="AE12" s="4"/>
      <c r="AF12" s="4"/>
      <c r="AG12" s="4"/>
      <c r="AH12" s="4"/>
      <c r="AI12" s="4"/>
      <c r="AJ12" s="4"/>
      <c r="AK12" s="1"/>
      <c r="AL12" s="1"/>
      <c r="AM12" s="1"/>
      <c r="AN12" s="1"/>
      <c r="AO12" s="1"/>
      <c r="AP12" s="250">
        <v>7</v>
      </c>
      <c r="AQ12" s="250">
        <v>7</v>
      </c>
      <c r="AR12" s="250">
        <v>7</v>
      </c>
      <c r="AS12" s="250">
        <v>7</v>
      </c>
      <c r="AT12" s="250">
        <v>7</v>
      </c>
      <c r="AU12" s="250">
        <v>7</v>
      </c>
      <c r="AV12" s="250">
        <v>7</v>
      </c>
      <c r="AW12" s="250">
        <v>7</v>
      </c>
      <c r="AX12" s="250">
        <v>7</v>
      </c>
      <c r="AY12" s="250">
        <v>7</v>
      </c>
      <c r="AZ12" s="250">
        <v>7</v>
      </c>
      <c r="BA12" s="250">
        <v>7</v>
      </c>
      <c r="BB12" s="250">
        <v>7</v>
      </c>
      <c r="BC12" s="250">
        <v>7</v>
      </c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>
        <v>7</v>
      </c>
      <c r="BU12" s="1"/>
      <c r="BV12" s="1"/>
      <c r="BW12" s="1"/>
      <c r="BX12" s="250">
        <f>J12</f>
        <v>7</v>
      </c>
      <c r="BY12" s="136">
        <v>7</v>
      </c>
      <c r="BZ12" s="136">
        <v>7</v>
      </c>
      <c r="CA12" s="136"/>
      <c r="CB12" s="136"/>
      <c r="CC12" s="136"/>
      <c r="CD12" s="136"/>
      <c r="CE12" s="136"/>
      <c r="CF12" s="136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DA12" s="379">
        <v>2</v>
      </c>
    </row>
    <row r="13" spans="1:105" ht="20.25" customHeight="1" x14ac:dyDescent="0.35">
      <c r="A13" s="95"/>
      <c r="B13" s="200" t="s">
        <v>1449</v>
      </c>
      <c r="C13" s="200" t="s">
        <v>274</v>
      </c>
      <c r="D13" s="239" t="s">
        <v>846</v>
      </c>
      <c r="E13" s="95" t="s">
        <v>61</v>
      </c>
      <c r="F13" s="95" t="s">
        <v>2234</v>
      </c>
      <c r="G13" s="95" t="s">
        <v>33</v>
      </c>
      <c r="H13" s="237">
        <f>AVERAGE(I13:BC13)</f>
        <v>6.3684210526315788</v>
      </c>
      <c r="I13" s="240">
        <v>8</v>
      </c>
      <c r="J13" s="4">
        <v>6</v>
      </c>
      <c r="K13" s="4"/>
      <c r="L13" s="4"/>
      <c r="M13" s="4"/>
      <c r="N13" s="108"/>
      <c r="O13" s="4">
        <v>7</v>
      </c>
      <c r="P13" s="240">
        <v>7</v>
      </c>
      <c r="Q13" s="4">
        <v>6</v>
      </c>
      <c r="R13" s="4"/>
      <c r="S13" s="4"/>
      <c r="T13" s="4"/>
      <c r="U13" s="4"/>
      <c r="V13" s="238"/>
      <c r="W13" s="4">
        <v>8</v>
      </c>
      <c r="X13" s="4"/>
      <c r="Y13" s="4"/>
      <c r="Z13" s="4"/>
      <c r="AA13" s="4"/>
      <c r="AB13" s="4"/>
      <c r="AC13" s="4">
        <v>7</v>
      </c>
      <c r="AD13" s="4"/>
      <c r="AE13" s="4"/>
      <c r="AF13" s="4"/>
      <c r="AG13" s="4"/>
      <c r="AH13" s="4"/>
      <c r="AI13" s="4"/>
      <c r="AJ13" s="4"/>
      <c r="AK13" s="1"/>
      <c r="AL13" s="1"/>
      <c r="AM13" s="1"/>
      <c r="AN13" s="1"/>
      <c r="AO13" s="1"/>
      <c r="AP13" s="4">
        <v>6</v>
      </c>
      <c r="AQ13" s="4">
        <v>6</v>
      </c>
      <c r="AR13" s="4">
        <v>6</v>
      </c>
      <c r="AS13" s="4"/>
      <c r="AT13" s="4">
        <v>6</v>
      </c>
      <c r="AU13" s="4">
        <v>6</v>
      </c>
      <c r="AV13" s="4">
        <v>6</v>
      </c>
      <c r="AW13" s="4">
        <v>6</v>
      </c>
      <c r="AX13" s="4">
        <v>6</v>
      </c>
      <c r="AY13" s="4">
        <v>6</v>
      </c>
      <c r="AZ13" s="4">
        <v>6</v>
      </c>
      <c r="BA13" s="4">
        <v>6</v>
      </c>
      <c r="BB13" s="4"/>
      <c r="BC13" s="4">
        <v>6</v>
      </c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4"/>
      <c r="BY13" s="136">
        <v>9</v>
      </c>
      <c r="BZ13" s="136"/>
      <c r="CA13" s="136"/>
      <c r="CB13" s="136"/>
      <c r="CC13" s="136"/>
      <c r="CD13" s="136"/>
      <c r="CE13" s="136"/>
      <c r="CF13" s="136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DA13" s="379">
        <v>3</v>
      </c>
    </row>
    <row r="14" spans="1:105" ht="20.25" customHeight="1" x14ac:dyDescent="0.35">
      <c r="A14" s="6"/>
      <c r="B14" s="200" t="s">
        <v>1450</v>
      </c>
      <c r="C14" s="200" t="s">
        <v>275</v>
      </c>
      <c r="D14" s="239" t="s">
        <v>846</v>
      </c>
      <c r="E14" s="95" t="s">
        <v>36</v>
      </c>
      <c r="F14" s="95" t="s">
        <v>2234</v>
      </c>
      <c r="G14" s="95" t="s">
        <v>33</v>
      </c>
      <c r="H14" s="237">
        <v>6</v>
      </c>
      <c r="I14" s="4">
        <v>0</v>
      </c>
      <c r="J14" s="4"/>
      <c r="K14" s="4"/>
      <c r="L14" s="4"/>
      <c r="M14" s="4"/>
      <c r="N14" s="108"/>
      <c r="O14" s="4">
        <v>6</v>
      </c>
      <c r="P14" s="240">
        <v>6</v>
      </c>
      <c r="Q14" s="4">
        <v>7</v>
      </c>
      <c r="R14" s="4"/>
      <c r="S14" s="4"/>
      <c r="T14" s="4"/>
      <c r="U14" s="4"/>
      <c r="V14" s="238"/>
      <c r="W14" s="4"/>
      <c r="X14" s="4"/>
      <c r="Y14" s="4"/>
      <c r="Z14" s="4"/>
      <c r="AA14" s="4"/>
      <c r="AB14" s="4"/>
      <c r="AC14" s="4">
        <v>6</v>
      </c>
      <c r="AD14" s="4"/>
      <c r="AE14" s="4"/>
      <c r="AF14" s="4"/>
      <c r="AG14" s="4"/>
      <c r="AH14" s="4"/>
      <c r="AI14" s="4"/>
      <c r="AJ14" s="4"/>
      <c r="AK14" s="1"/>
      <c r="AL14" s="1"/>
      <c r="AM14" s="1"/>
      <c r="AN14" s="1"/>
      <c r="AO14" s="1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4"/>
      <c r="BY14" s="136"/>
      <c r="BZ14" s="136"/>
      <c r="CA14" s="136"/>
      <c r="CB14" s="136"/>
      <c r="CC14" s="136"/>
      <c r="CD14" s="136"/>
      <c r="CE14" s="136"/>
      <c r="CF14" s="136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DA14" s="379">
        <v>5</v>
      </c>
    </row>
    <row r="15" spans="1:105" ht="20.25" customHeight="1" x14ac:dyDescent="0.35">
      <c r="A15" s="95"/>
      <c r="B15" s="200" t="s">
        <v>1451</v>
      </c>
      <c r="C15" s="200" t="s">
        <v>1235</v>
      </c>
      <c r="D15" s="239" t="s">
        <v>846</v>
      </c>
      <c r="E15" s="95" t="s">
        <v>36</v>
      </c>
      <c r="F15" s="95" t="s">
        <v>2234</v>
      </c>
      <c r="G15" s="95" t="s">
        <v>33</v>
      </c>
      <c r="H15" s="237">
        <f>AVERAGE(I15:BC15)</f>
        <v>7.6</v>
      </c>
      <c r="I15" s="240">
        <v>10</v>
      </c>
      <c r="J15" s="4"/>
      <c r="K15" s="4"/>
      <c r="L15" s="4"/>
      <c r="M15" s="4"/>
      <c r="N15" s="108"/>
      <c r="O15" s="4">
        <v>7</v>
      </c>
      <c r="P15" s="240">
        <v>7</v>
      </c>
      <c r="Q15" s="4">
        <v>7</v>
      </c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>
        <v>7</v>
      </c>
      <c r="AD15" s="4"/>
      <c r="AE15" s="4"/>
      <c r="AF15" s="4"/>
      <c r="AG15" s="4"/>
      <c r="AH15" s="4"/>
      <c r="AI15" s="4"/>
      <c r="AJ15" s="4"/>
      <c r="AK15" s="1"/>
      <c r="AL15" s="1"/>
      <c r="AM15" s="1"/>
      <c r="AN15" s="1"/>
      <c r="AO15" s="1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4"/>
      <c r="BY15" s="136"/>
      <c r="BZ15" s="136"/>
      <c r="CA15" s="136"/>
      <c r="CB15" s="136"/>
      <c r="CC15" s="136"/>
      <c r="CD15" s="136"/>
      <c r="CE15" s="136"/>
      <c r="CF15" s="136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DA15" s="379"/>
    </row>
    <row r="16" spans="1:105" ht="20.25" customHeight="1" x14ac:dyDescent="0.35">
      <c r="A16" s="95"/>
      <c r="B16" s="200" t="s">
        <v>1452</v>
      </c>
      <c r="C16" s="200" t="s">
        <v>1236</v>
      </c>
      <c r="D16" s="239" t="s">
        <v>846</v>
      </c>
      <c r="E16" s="95" t="s">
        <v>36</v>
      </c>
      <c r="F16" s="95" t="s">
        <v>2234</v>
      </c>
      <c r="G16" s="95" t="s">
        <v>33</v>
      </c>
      <c r="H16" s="248">
        <v>8</v>
      </c>
      <c r="I16" s="240">
        <v>12</v>
      </c>
      <c r="J16" s="4"/>
      <c r="K16" s="4"/>
      <c r="L16" s="4"/>
      <c r="M16" s="4"/>
      <c r="N16" s="108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>
        <v>8</v>
      </c>
      <c r="AD16" s="4"/>
      <c r="AE16" s="4"/>
      <c r="AF16" s="4"/>
      <c r="AG16" s="4"/>
      <c r="AH16" s="4"/>
      <c r="AI16" s="4"/>
      <c r="AJ16" s="4"/>
      <c r="AK16" s="1"/>
      <c r="AL16" s="1"/>
      <c r="AM16" s="1"/>
      <c r="AN16" s="1"/>
      <c r="AO16" s="1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4"/>
      <c r="BY16" s="136"/>
      <c r="BZ16" s="136"/>
      <c r="CA16" s="136"/>
      <c r="CB16" s="136"/>
      <c r="CC16" s="136"/>
      <c r="CD16" s="136"/>
      <c r="CE16" s="136"/>
      <c r="CF16" s="136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DA16" s="379">
        <v>8</v>
      </c>
    </row>
    <row r="17" spans="1:105" ht="20.25" customHeight="1" x14ac:dyDescent="0.35">
      <c r="A17" s="95"/>
      <c r="B17" s="200" t="s">
        <v>1453</v>
      </c>
      <c r="C17" s="200" t="s">
        <v>350</v>
      </c>
      <c r="D17" s="239" t="s">
        <v>846</v>
      </c>
      <c r="E17" s="95" t="s">
        <v>36</v>
      </c>
      <c r="F17" s="95" t="s">
        <v>2234</v>
      </c>
      <c r="G17" s="95" t="s">
        <v>33</v>
      </c>
      <c r="H17" s="237">
        <v>5.5</v>
      </c>
      <c r="I17" s="240">
        <v>12</v>
      </c>
      <c r="J17" s="4"/>
      <c r="K17" s="4"/>
      <c r="L17" s="4"/>
      <c r="M17" s="4"/>
      <c r="N17" s="108"/>
      <c r="O17" s="4"/>
      <c r="P17" s="4"/>
      <c r="Q17" s="4"/>
      <c r="R17" s="4"/>
      <c r="S17" s="4"/>
      <c r="T17" s="4"/>
      <c r="U17" s="4"/>
      <c r="V17" s="211"/>
      <c r="W17" s="4"/>
      <c r="X17" s="4"/>
      <c r="Y17" s="4"/>
      <c r="Z17" s="4"/>
      <c r="AA17" s="4"/>
      <c r="AB17" s="4"/>
      <c r="AC17" s="4">
        <v>8</v>
      </c>
      <c r="AD17" s="4"/>
      <c r="AE17" s="4"/>
      <c r="AF17" s="4"/>
      <c r="AG17" s="4"/>
      <c r="AH17" s="4"/>
      <c r="AI17" s="4"/>
      <c r="AJ17" s="4"/>
      <c r="AK17" s="1"/>
      <c r="AL17" s="1"/>
      <c r="AM17" s="1"/>
      <c r="AN17" s="1"/>
      <c r="AO17" s="1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4"/>
      <c r="BY17" s="136"/>
      <c r="BZ17" s="136"/>
      <c r="CA17" s="136"/>
      <c r="CB17" s="136"/>
      <c r="CC17" s="136"/>
      <c r="CD17" s="136"/>
      <c r="CE17" s="136"/>
      <c r="CF17" s="136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DA17" s="379">
        <v>5.5</v>
      </c>
    </row>
    <row r="18" spans="1:105" ht="20.25" customHeight="1" x14ac:dyDescent="0.35">
      <c r="A18" s="6"/>
      <c r="B18" s="200" t="s">
        <v>1454</v>
      </c>
      <c r="C18" s="1" t="s">
        <v>348</v>
      </c>
      <c r="D18" s="239" t="s">
        <v>846</v>
      </c>
      <c r="E18" s="95" t="s">
        <v>36</v>
      </c>
      <c r="F18" s="95" t="s">
        <v>2234</v>
      </c>
      <c r="G18" s="95" t="s">
        <v>33</v>
      </c>
      <c r="H18" s="237">
        <v>8</v>
      </c>
      <c r="I18" s="4">
        <v>0</v>
      </c>
      <c r="J18" s="4"/>
      <c r="K18" s="4"/>
      <c r="L18" s="4"/>
      <c r="M18" s="4"/>
      <c r="N18" s="108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>
        <v>8</v>
      </c>
      <c r="AD18" s="4"/>
      <c r="AE18" s="4"/>
      <c r="AF18" s="4"/>
      <c r="AG18" s="4"/>
      <c r="AH18" s="4"/>
      <c r="AI18" s="4"/>
      <c r="AJ18" s="4">
        <v>9</v>
      </c>
      <c r="AK18" s="1"/>
      <c r="AL18" s="1"/>
      <c r="AM18" s="1"/>
      <c r="AN18" s="1"/>
      <c r="AO18" s="1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4"/>
      <c r="BY18" s="136"/>
      <c r="BZ18" s="136"/>
      <c r="CA18" s="136"/>
      <c r="CB18" s="136"/>
      <c r="CC18" s="136"/>
      <c r="CD18" s="136"/>
      <c r="CE18" s="136"/>
      <c r="CF18" s="136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DA18" s="379"/>
    </row>
    <row r="19" spans="1:105" ht="20.25" customHeight="1" x14ac:dyDescent="0.35">
      <c r="A19" s="6"/>
      <c r="B19" s="200" t="s">
        <v>1455</v>
      </c>
      <c r="C19" s="1" t="s">
        <v>349</v>
      </c>
      <c r="D19" s="239" t="s">
        <v>846</v>
      </c>
      <c r="E19" s="95" t="s">
        <v>36</v>
      </c>
      <c r="F19" s="95" t="s">
        <v>2234</v>
      </c>
      <c r="G19" s="95" t="s">
        <v>33</v>
      </c>
      <c r="H19" s="237">
        <f>AVERAGE(I19:BC19)</f>
        <v>0</v>
      </c>
      <c r="I19" s="4">
        <v>0</v>
      </c>
      <c r="J19" s="4"/>
      <c r="K19" s="4"/>
      <c r="L19" s="4"/>
      <c r="M19" s="4"/>
      <c r="N19" s="108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1"/>
      <c r="AL19" s="1"/>
      <c r="AM19" s="1"/>
      <c r="AN19" s="1"/>
      <c r="AO19" s="1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4"/>
      <c r="BY19" s="136"/>
      <c r="BZ19" s="136"/>
      <c r="CA19" s="136"/>
      <c r="CB19" s="136"/>
      <c r="CC19" s="136"/>
      <c r="CD19" s="136"/>
      <c r="CE19" s="136"/>
      <c r="CF19" s="136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DA19" s="379"/>
    </row>
    <row r="20" spans="1:105" ht="20.25" customHeight="1" x14ac:dyDescent="0.35">
      <c r="A20" s="6"/>
      <c r="B20" s="200" t="s">
        <v>1456</v>
      </c>
      <c r="C20" s="1" t="s">
        <v>2285</v>
      </c>
      <c r="D20" s="239" t="s">
        <v>846</v>
      </c>
      <c r="E20" s="95" t="s">
        <v>36</v>
      </c>
      <c r="F20" s="95" t="s">
        <v>2235</v>
      </c>
      <c r="G20" s="95" t="s">
        <v>40</v>
      </c>
      <c r="H20" s="237">
        <v>7</v>
      </c>
      <c r="I20" s="4"/>
      <c r="J20" s="4"/>
      <c r="K20" s="4"/>
      <c r="L20" s="4"/>
      <c r="M20" s="4"/>
      <c r="N20" s="108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>
        <v>7</v>
      </c>
      <c r="AD20" s="4"/>
      <c r="AE20" s="4"/>
      <c r="AF20" s="4"/>
      <c r="AG20" s="4"/>
      <c r="AH20" s="4"/>
      <c r="AI20" s="4"/>
      <c r="AJ20" s="4"/>
      <c r="AK20" s="1"/>
      <c r="AL20" s="1"/>
      <c r="AM20" s="1"/>
      <c r="AN20" s="1"/>
      <c r="AO20" s="1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4"/>
      <c r="BY20" s="136"/>
      <c r="BZ20" s="136"/>
      <c r="CA20" s="136"/>
      <c r="CB20" s="136"/>
      <c r="CC20" s="136"/>
      <c r="CD20" s="136"/>
      <c r="CE20" s="136"/>
      <c r="CF20" s="136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DA20" s="379">
        <v>6</v>
      </c>
    </row>
    <row r="21" spans="1:105" ht="20.25" customHeight="1" x14ac:dyDescent="0.35">
      <c r="A21" s="95" t="s">
        <v>67</v>
      </c>
      <c r="B21" s="200" t="s">
        <v>1457</v>
      </c>
      <c r="C21" s="200" t="s">
        <v>1238</v>
      </c>
      <c r="D21" s="239" t="s">
        <v>846</v>
      </c>
      <c r="E21" s="95" t="s">
        <v>61</v>
      </c>
      <c r="F21" s="95" t="s">
        <v>2236</v>
      </c>
      <c r="G21" s="95" t="s">
        <v>42</v>
      </c>
      <c r="H21" s="237">
        <v>6</v>
      </c>
      <c r="I21" s="240">
        <v>6</v>
      </c>
      <c r="J21" s="4">
        <v>6</v>
      </c>
      <c r="K21" s="4"/>
      <c r="L21" s="4"/>
      <c r="M21" s="4"/>
      <c r="N21" s="108"/>
      <c r="O21" s="4">
        <v>6</v>
      </c>
      <c r="P21" s="240">
        <v>7</v>
      </c>
      <c r="Q21" s="4">
        <v>6</v>
      </c>
      <c r="R21" s="4"/>
      <c r="S21" s="4">
        <v>7</v>
      </c>
      <c r="T21" s="4"/>
      <c r="U21" s="4">
        <v>6</v>
      </c>
      <c r="V21" s="238">
        <v>6</v>
      </c>
      <c r="W21" s="4"/>
      <c r="X21" s="4">
        <v>8</v>
      </c>
      <c r="Y21" s="4">
        <v>6.5</v>
      </c>
      <c r="Z21" s="4">
        <v>6.5</v>
      </c>
      <c r="AA21" s="4"/>
      <c r="AB21" s="4"/>
      <c r="AC21" s="4">
        <v>6</v>
      </c>
      <c r="AD21" s="4"/>
      <c r="AE21" s="4"/>
      <c r="AF21" s="4">
        <v>6</v>
      </c>
      <c r="AG21" s="4"/>
      <c r="AH21" s="4">
        <v>7</v>
      </c>
      <c r="AI21" s="4"/>
      <c r="AJ21" s="4">
        <v>6.5</v>
      </c>
      <c r="AK21" s="1"/>
      <c r="AL21" s="1"/>
      <c r="AM21" s="1"/>
      <c r="AN21" s="1">
        <f>500/100</f>
        <v>5</v>
      </c>
      <c r="AO21" s="4">
        <v>6</v>
      </c>
      <c r="AP21" s="4">
        <v>6</v>
      </c>
      <c r="AQ21" s="4">
        <v>6</v>
      </c>
      <c r="AR21" s="4">
        <v>6</v>
      </c>
      <c r="AS21" s="4"/>
      <c r="AT21" s="4">
        <v>6</v>
      </c>
      <c r="AU21" s="4">
        <v>6</v>
      </c>
      <c r="AV21" s="4">
        <v>6</v>
      </c>
      <c r="AW21" s="4">
        <v>6</v>
      </c>
      <c r="AX21" s="4">
        <v>6</v>
      </c>
      <c r="AY21" s="4">
        <v>6</v>
      </c>
      <c r="AZ21" s="4">
        <v>6</v>
      </c>
      <c r="BA21" s="4">
        <v>6</v>
      </c>
      <c r="BB21" s="4"/>
      <c r="BC21" s="4">
        <v>6</v>
      </c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4">
        <f>J21</f>
        <v>6</v>
      </c>
      <c r="BY21" s="136"/>
      <c r="BZ21" s="136">
        <v>7</v>
      </c>
      <c r="CA21" s="136"/>
      <c r="CB21" s="136"/>
      <c r="CC21" s="136"/>
      <c r="CD21" s="136"/>
      <c r="CE21" s="136"/>
      <c r="CF21" s="136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DA21" s="379">
        <v>0.71</v>
      </c>
    </row>
    <row r="22" spans="1:105" ht="20.25" customHeight="1" x14ac:dyDescent="0.35">
      <c r="A22" s="95" t="s">
        <v>70</v>
      </c>
      <c r="B22" s="200" t="s">
        <v>1458</v>
      </c>
      <c r="C22" s="200" t="s">
        <v>282</v>
      </c>
      <c r="D22" s="239" t="s">
        <v>846</v>
      </c>
      <c r="E22" s="95" t="s">
        <v>61</v>
      </c>
      <c r="F22" s="95" t="s">
        <v>2237</v>
      </c>
      <c r="G22" s="95" t="s">
        <v>42</v>
      </c>
      <c r="H22" s="237">
        <v>6.5</v>
      </c>
      <c r="I22" s="240">
        <v>6.5</v>
      </c>
      <c r="J22" s="4">
        <v>6.5</v>
      </c>
      <c r="K22" s="4"/>
      <c r="L22" s="4">
        <v>7.5</v>
      </c>
      <c r="M22" s="4">
        <v>7.5</v>
      </c>
      <c r="N22" s="108"/>
      <c r="O22" s="4">
        <v>7.5</v>
      </c>
      <c r="P22" s="240">
        <v>7.5</v>
      </c>
      <c r="Q22" s="4">
        <v>8</v>
      </c>
      <c r="R22" s="4"/>
      <c r="S22" s="4">
        <v>7.5</v>
      </c>
      <c r="T22" s="4"/>
      <c r="U22" s="4">
        <v>8</v>
      </c>
      <c r="V22" s="238">
        <v>6.5</v>
      </c>
      <c r="W22" s="4"/>
      <c r="X22" s="4"/>
      <c r="Y22" s="4"/>
      <c r="Z22" s="4">
        <v>7</v>
      </c>
      <c r="AA22" s="4"/>
      <c r="AB22" s="4">
        <v>7.5</v>
      </c>
      <c r="AC22" s="4">
        <v>7.5</v>
      </c>
      <c r="AD22" s="4"/>
      <c r="AE22" s="4"/>
      <c r="AF22" s="4"/>
      <c r="AG22" s="4"/>
      <c r="AH22" s="4"/>
      <c r="AI22" s="4"/>
      <c r="AJ22" s="4">
        <v>7</v>
      </c>
      <c r="AK22" s="1"/>
      <c r="AL22" s="1"/>
      <c r="AM22" s="1">
        <v>7</v>
      </c>
      <c r="AN22" s="1"/>
      <c r="AO22" s="1"/>
      <c r="AP22" s="4">
        <v>6.5</v>
      </c>
      <c r="AQ22" s="4">
        <v>6.5</v>
      </c>
      <c r="AR22" s="4">
        <v>6.5</v>
      </c>
      <c r="AS22" s="4"/>
      <c r="AT22" s="4">
        <v>6.5</v>
      </c>
      <c r="AU22" s="4">
        <v>6.5</v>
      </c>
      <c r="AV22" s="4">
        <v>6.5</v>
      </c>
      <c r="AW22" s="4">
        <v>6.5</v>
      </c>
      <c r="AX22" s="4">
        <v>6.5</v>
      </c>
      <c r="AY22" s="4">
        <v>6.5</v>
      </c>
      <c r="AZ22" s="4">
        <v>6.5</v>
      </c>
      <c r="BA22" s="4">
        <v>6.5</v>
      </c>
      <c r="BB22" s="4"/>
      <c r="BC22" s="4">
        <v>6.5</v>
      </c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>
        <v>7</v>
      </c>
      <c r="BV22" s="1"/>
      <c r="BW22" s="1"/>
      <c r="BX22" s="4">
        <f>J22</f>
        <v>6.5</v>
      </c>
      <c r="BY22" s="136"/>
      <c r="BZ22" s="136">
        <v>7</v>
      </c>
      <c r="CA22" s="136"/>
      <c r="CB22" s="136">
        <v>7</v>
      </c>
      <c r="CC22" s="136">
        <v>7</v>
      </c>
      <c r="CD22" s="136"/>
      <c r="CE22" s="136"/>
      <c r="CF22" s="136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DA22" s="379">
        <v>1.85</v>
      </c>
    </row>
    <row r="23" spans="1:105" ht="20.25" customHeight="1" x14ac:dyDescent="0.35">
      <c r="A23" s="95" t="s">
        <v>1875</v>
      </c>
      <c r="B23" s="200" t="s">
        <v>1876</v>
      </c>
      <c r="C23" s="200" t="s">
        <v>1877</v>
      </c>
      <c r="D23" s="239" t="s">
        <v>846</v>
      </c>
      <c r="E23" s="95" t="s">
        <v>61</v>
      </c>
      <c r="F23" s="95" t="s">
        <v>1952</v>
      </c>
      <c r="G23" s="95" t="s">
        <v>42</v>
      </c>
      <c r="H23" s="237"/>
      <c r="I23" s="240">
        <v>10</v>
      </c>
      <c r="J23" s="4"/>
      <c r="K23" s="4"/>
      <c r="L23" s="4"/>
      <c r="M23" s="4"/>
      <c r="N23" s="108"/>
      <c r="O23" s="4"/>
      <c r="P23" s="4"/>
      <c r="Q23" s="4"/>
      <c r="R23" s="4"/>
      <c r="S23" s="4"/>
      <c r="T23" s="4"/>
      <c r="U23" s="4"/>
      <c r="V23" s="238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1"/>
      <c r="AL23" s="1"/>
      <c r="AM23" s="1"/>
      <c r="AN23" s="1"/>
      <c r="AO23" s="1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4"/>
      <c r="BY23" s="136">
        <v>10</v>
      </c>
      <c r="BZ23" s="136"/>
      <c r="CA23" s="136"/>
      <c r="CB23" s="136">
        <v>10</v>
      </c>
      <c r="CC23" s="136"/>
      <c r="CD23" s="136"/>
      <c r="CE23" s="136"/>
      <c r="CF23" s="136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DA23" s="379">
        <v>2.6</v>
      </c>
    </row>
    <row r="24" spans="1:105" ht="20.25" customHeight="1" x14ac:dyDescent="0.35">
      <c r="A24" s="95"/>
      <c r="B24" s="200" t="s">
        <v>1459</v>
      </c>
      <c r="C24" s="200" t="s">
        <v>282</v>
      </c>
      <c r="D24" s="239" t="s">
        <v>846</v>
      </c>
      <c r="E24" s="95" t="s">
        <v>973</v>
      </c>
      <c r="F24" s="95" t="s">
        <v>529</v>
      </c>
      <c r="G24" s="95" t="s">
        <v>42</v>
      </c>
      <c r="H24" s="237"/>
      <c r="I24" s="4"/>
      <c r="J24" s="4"/>
      <c r="K24" s="4"/>
      <c r="L24" s="4"/>
      <c r="M24" s="4"/>
      <c r="N24" s="192">
        <v>10</v>
      </c>
      <c r="O24" s="4"/>
      <c r="P24" s="4"/>
      <c r="Q24" s="4"/>
      <c r="R24" s="4"/>
      <c r="S24" s="4"/>
      <c r="T24" s="4"/>
      <c r="U24" s="4"/>
      <c r="V24" s="238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1"/>
      <c r="AL24" s="1"/>
      <c r="AM24" s="1"/>
      <c r="AN24" s="1"/>
      <c r="AO24" s="1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4"/>
      <c r="BY24" s="136"/>
      <c r="BZ24" s="136"/>
      <c r="CA24" s="136"/>
      <c r="CB24" s="136"/>
      <c r="CC24" s="136"/>
      <c r="CD24" s="136"/>
      <c r="CE24" s="136"/>
      <c r="CF24" s="136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DA24" s="379">
        <v>6.5</v>
      </c>
    </row>
    <row r="25" spans="1:105" ht="20.25" customHeight="1" x14ac:dyDescent="0.35">
      <c r="A25" s="95" t="s">
        <v>1344</v>
      </c>
      <c r="B25" s="200" t="s">
        <v>1460</v>
      </c>
      <c r="C25" s="200" t="s">
        <v>1237</v>
      </c>
      <c r="D25" s="239" t="s">
        <v>846</v>
      </c>
      <c r="E25" s="95" t="s">
        <v>61</v>
      </c>
      <c r="F25" s="95" t="s">
        <v>2241</v>
      </c>
      <c r="G25" s="95" t="s">
        <v>186</v>
      </c>
      <c r="H25" s="237">
        <v>12</v>
      </c>
      <c r="I25" s="240">
        <v>14</v>
      </c>
      <c r="J25" s="4"/>
      <c r="K25" s="4"/>
      <c r="L25" s="4"/>
      <c r="M25" s="4"/>
      <c r="N25" s="108"/>
      <c r="O25" s="4">
        <v>0</v>
      </c>
      <c r="P25" s="4">
        <v>0</v>
      </c>
      <c r="Q25" s="4">
        <v>14</v>
      </c>
      <c r="R25" s="4"/>
      <c r="S25" s="4">
        <v>15</v>
      </c>
      <c r="T25" s="4"/>
      <c r="U25" s="4">
        <v>14</v>
      </c>
      <c r="V25" s="4"/>
      <c r="W25" s="4"/>
      <c r="X25" s="4"/>
      <c r="Y25" s="4">
        <v>13</v>
      </c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>
        <v>14</v>
      </c>
      <c r="AK25" s="1"/>
      <c r="AL25" s="1"/>
      <c r="AM25" s="1"/>
      <c r="AN25" s="1"/>
      <c r="AO25" s="1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>
        <v>13</v>
      </c>
      <c r="BO25" s="1"/>
      <c r="BP25" s="1"/>
      <c r="BQ25" s="1"/>
      <c r="BR25" s="1"/>
      <c r="BS25" s="1"/>
      <c r="BT25" s="1"/>
      <c r="BU25" s="1">
        <v>13</v>
      </c>
      <c r="BV25" s="1"/>
      <c r="BW25" s="1"/>
      <c r="BX25" s="4"/>
      <c r="BY25" s="136"/>
      <c r="BZ25" s="136">
        <v>14</v>
      </c>
      <c r="CA25" s="136"/>
      <c r="CB25" s="136"/>
      <c r="CC25" s="136"/>
      <c r="CD25" s="136"/>
      <c r="CE25" s="136"/>
      <c r="CF25" s="136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DA25" s="379">
        <v>9.27</v>
      </c>
    </row>
    <row r="26" spans="1:105" ht="20.25" customHeight="1" x14ac:dyDescent="0.35">
      <c r="A26" s="6"/>
      <c r="B26" s="200" t="s">
        <v>1461</v>
      </c>
      <c r="C26" s="200" t="s">
        <v>1942</v>
      </c>
      <c r="D26" s="239" t="s">
        <v>846</v>
      </c>
      <c r="E26" s="6" t="s">
        <v>61</v>
      </c>
      <c r="F26" s="95" t="s">
        <v>2241</v>
      </c>
      <c r="G26" s="95" t="s">
        <v>186</v>
      </c>
      <c r="H26" s="237">
        <f>AVERAGE(I26:BC26)</f>
        <v>6</v>
      </c>
      <c r="I26" s="4">
        <v>0</v>
      </c>
      <c r="J26" s="4"/>
      <c r="K26" s="4"/>
      <c r="L26" s="4"/>
      <c r="M26" s="4"/>
      <c r="N26" s="108"/>
      <c r="O26" s="4">
        <v>0</v>
      </c>
      <c r="P26" s="4">
        <v>0</v>
      </c>
      <c r="Q26" s="4"/>
      <c r="R26" s="4"/>
      <c r="S26" s="4"/>
      <c r="T26" s="4"/>
      <c r="U26" s="4"/>
      <c r="V26" s="4"/>
      <c r="W26" s="4"/>
      <c r="X26" s="4"/>
      <c r="Y26" s="4">
        <v>24</v>
      </c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1"/>
      <c r="AL26" s="1"/>
      <c r="AM26" s="1"/>
      <c r="AN26" s="1"/>
      <c r="AO26" s="1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4"/>
      <c r="BY26" s="136"/>
      <c r="BZ26" s="136"/>
      <c r="CA26" s="136"/>
      <c r="CB26" s="136"/>
      <c r="CC26" s="136"/>
      <c r="CD26" s="136"/>
      <c r="CE26" s="136"/>
      <c r="CF26" s="136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DA26" s="379"/>
    </row>
    <row r="27" spans="1:105" ht="20.25" customHeight="1" x14ac:dyDescent="0.35">
      <c r="A27" s="95"/>
      <c r="B27" s="200" t="s">
        <v>1462</v>
      </c>
      <c r="C27" s="200" t="s">
        <v>320</v>
      </c>
      <c r="D27" s="239" t="s">
        <v>1229</v>
      </c>
      <c r="E27" s="95" t="s">
        <v>61</v>
      </c>
      <c r="F27" s="95" t="s">
        <v>803</v>
      </c>
      <c r="G27" s="95" t="s">
        <v>37</v>
      </c>
      <c r="H27" s="237">
        <v>5</v>
      </c>
      <c r="I27" s="240">
        <v>8</v>
      </c>
      <c r="J27" s="4">
        <v>7</v>
      </c>
      <c r="K27" s="4"/>
      <c r="L27" s="4"/>
      <c r="M27" s="4"/>
      <c r="N27" s="108"/>
      <c r="O27" s="4"/>
      <c r="P27" s="240">
        <v>5</v>
      </c>
      <c r="Q27" s="4">
        <v>5</v>
      </c>
      <c r="R27" s="4"/>
      <c r="S27" s="4">
        <v>6</v>
      </c>
      <c r="T27" s="4"/>
      <c r="U27" s="4"/>
      <c r="V27" s="238"/>
      <c r="W27" s="4"/>
      <c r="X27" s="4"/>
      <c r="Y27" s="4"/>
      <c r="Z27" s="4"/>
      <c r="AA27" s="4"/>
      <c r="AB27" s="4"/>
      <c r="AC27" s="4"/>
      <c r="AD27" s="4"/>
      <c r="AE27" s="4"/>
      <c r="AF27" s="4">
        <v>5</v>
      </c>
      <c r="AG27" s="4"/>
      <c r="AH27" s="4"/>
      <c r="AI27" s="4"/>
      <c r="AJ27" s="4"/>
      <c r="AK27" s="1">
        <v>5</v>
      </c>
      <c r="AL27" s="1"/>
      <c r="AM27" s="1">
        <v>6</v>
      </c>
      <c r="AN27" s="1"/>
      <c r="AO27" s="4">
        <v>7</v>
      </c>
      <c r="AP27" s="4">
        <v>7</v>
      </c>
      <c r="AQ27" s="4">
        <v>7</v>
      </c>
      <c r="AR27" s="4">
        <v>7</v>
      </c>
      <c r="AS27" s="4"/>
      <c r="AT27" s="4">
        <v>7</v>
      </c>
      <c r="AU27" s="4">
        <v>7</v>
      </c>
      <c r="AV27" s="4">
        <v>7</v>
      </c>
      <c r="AW27" s="4">
        <v>7</v>
      </c>
      <c r="AX27" s="4">
        <v>7</v>
      </c>
      <c r="AY27" s="4">
        <v>7</v>
      </c>
      <c r="AZ27" s="4">
        <v>7</v>
      </c>
      <c r="BA27" s="4">
        <v>7</v>
      </c>
      <c r="BB27" s="4"/>
      <c r="BC27" s="4">
        <v>7</v>
      </c>
      <c r="BD27" s="1"/>
      <c r="BE27" s="1"/>
      <c r="BF27" s="1"/>
      <c r="BG27" s="1"/>
      <c r="BH27" s="1"/>
      <c r="BI27" s="1"/>
      <c r="BJ27" s="1"/>
      <c r="BK27" s="1">
        <v>5</v>
      </c>
      <c r="BL27" s="1"/>
      <c r="BM27" s="1"/>
      <c r="BN27" s="1"/>
      <c r="BO27" s="1"/>
      <c r="BP27" s="1"/>
      <c r="BQ27" s="1"/>
      <c r="BR27" s="1"/>
      <c r="BS27" s="1"/>
      <c r="BT27" s="1"/>
      <c r="BU27" s="1">
        <v>5</v>
      </c>
      <c r="BV27" s="1"/>
      <c r="BW27" s="1"/>
      <c r="BX27" s="4">
        <v>7</v>
      </c>
      <c r="BY27" s="136"/>
      <c r="BZ27" s="136">
        <v>5</v>
      </c>
      <c r="CA27" s="136"/>
      <c r="CB27" s="136"/>
      <c r="CC27" s="136"/>
      <c r="CD27" s="136"/>
      <c r="CE27" s="136"/>
      <c r="CF27" s="136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DA27" s="379">
        <v>0.85</v>
      </c>
    </row>
    <row r="28" spans="1:105" ht="20.25" customHeight="1" x14ac:dyDescent="0.35">
      <c r="A28" s="95"/>
      <c r="B28" s="200" t="s">
        <v>1463</v>
      </c>
      <c r="C28" s="200" t="s">
        <v>1464</v>
      </c>
      <c r="D28" s="95" t="s">
        <v>846</v>
      </c>
      <c r="E28" s="95" t="s">
        <v>1465</v>
      </c>
      <c r="F28" s="95" t="s">
        <v>1466</v>
      </c>
      <c r="G28" s="95" t="s">
        <v>42</v>
      </c>
      <c r="H28" s="237"/>
      <c r="I28" s="240"/>
      <c r="J28" s="4"/>
      <c r="K28" s="4"/>
      <c r="L28" s="4"/>
      <c r="M28" s="4"/>
      <c r="N28" s="108"/>
      <c r="O28" s="4"/>
      <c r="P28" s="4"/>
      <c r="Q28" s="4"/>
      <c r="R28" s="4"/>
      <c r="S28" s="4"/>
      <c r="T28" s="4"/>
      <c r="U28" s="4"/>
      <c r="V28" s="238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1"/>
      <c r="AL28" s="1"/>
      <c r="AM28" s="1"/>
      <c r="AN28" s="1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>
        <v>2.2999999999999998</v>
      </c>
      <c r="BV28" s="1"/>
      <c r="BW28" s="1"/>
      <c r="BX28" s="4"/>
      <c r="BY28" s="136"/>
      <c r="BZ28" s="136"/>
      <c r="CA28" s="136"/>
      <c r="CB28" s="136"/>
      <c r="CC28" s="136"/>
      <c r="CD28" s="136"/>
      <c r="CE28" s="136"/>
      <c r="CF28" s="136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DA28" s="379"/>
    </row>
    <row r="29" spans="1:105" ht="20.25" customHeight="1" x14ac:dyDescent="0.35">
      <c r="A29" s="95"/>
      <c r="B29" s="200" t="s">
        <v>1467</v>
      </c>
      <c r="C29" s="200" t="s">
        <v>1468</v>
      </c>
      <c r="D29" s="95" t="s">
        <v>846</v>
      </c>
      <c r="E29" s="95" t="s">
        <v>1465</v>
      </c>
      <c r="F29" s="95" t="s">
        <v>1466</v>
      </c>
      <c r="G29" s="95" t="s">
        <v>42</v>
      </c>
      <c r="H29" s="237"/>
      <c r="I29" s="240"/>
      <c r="J29" s="4"/>
      <c r="K29" s="4"/>
      <c r="L29" s="4"/>
      <c r="M29" s="4"/>
      <c r="N29" s="108"/>
      <c r="O29" s="4"/>
      <c r="P29" s="4"/>
      <c r="Q29" s="4"/>
      <c r="R29" s="4"/>
      <c r="S29" s="4"/>
      <c r="T29" s="4"/>
      <c r="U29" s="4"/>
      <c r="V29" s="238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1"/>
      <c r="AL29" s="1"/>
      <c r="AM29" s="1"/>
      <c r="AN29" s="1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>
        <v>2.2999999999999998</v>
      </c>
      <c r="BV29" s="1"/>
      <c r="BW29" s="1"/>
      <c r="BX29" s="4"/>
      <c r="BY29" s="136"/>
      <c r="BZ29" s="136"/>
      <c r="CA29" s="136"/>
      <c r="CB29" s="136"/>
      <c r="CC29" s="136"/>
      <c r="CD29" s="136"/>
      <c r="CE29" s="136"/>
      <c r="CF29" s="136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DA29" s="379"/>
    </row>
    <row r="30" spans="1:105" ht="20.25" customHeight="1" x14ac:dyDescent="0.35">
      <c r="A30" s="95"/>
      <c r="B30" s="200" t="s">
        <v>1469</v>
      </c>
      <c r="C30" s="200" t="s">
        <v>1470</v>
      </c>
      <c r="D30" s="95" t="s">
        <v>846</v>
      </c>
      <c r="E30" s="95" t="s">
        <v>1465</v>
      </c>
      <c r="F30" s="95" t="s">
        <v>1466</v>
      </c>
      <c r="G30" s="95" t="s">
        <v>42</v>
      </c>
      <c r="H30" s="237"/>
      <c r="I30" s="240"/>
      <c r="J30" s="4"/>
      <c r="K30" s="4"/>
      <c r="L30" s="4"/>
      <c r="M30" s="4"/>
      <c r="N30" s="108"/>
      <c r="O30" s="4"/>
      <c r="P30" s="4"/>
      <c r="Q30" s="4"/>
      <c r="R30" s="4"/>
      <c r="S30" s="4"/>
      <c r="T30" s="4"/>
      <c r="U30" s="4"/>
      <c r="V30" s="238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1"/>
      <c r="AL30" s="1"/>
      <c r="AM30" s="1"/>
      <c r="AN30" s="1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>
        <v>2.2999999999999998</v>
      </c>
      <c r="BV30" s="1"/>
      <c r="BW30" s="1"/>
      <c r="BX30" s="4"/>
      <c r="BY30" s="136"/>
      <c r="BZ30" s="136"/>
      <c r="CA30" s="136"/>
      <c r="CB30" s="136"/>
      <c r="CC30" s="136"/>
      <c r="CD30" s="136"/>
      <c r="CE30" s="136"/>
      <c r="CF30" s="136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DA30" s="379"/>
    </row>
    <row r="31" spans="1:105" ht="20.25" customHeight="1" x14ac:dyDescent="0.35">
      <c r="A31" s="6"/>
      <c r="B31" s="200" t="s">
        <v>1471</v>
      </c>
      <c r="C31" s="200" t="s">
        <v>1160</v>
      </c>
      <c r="D31" s="95" t="s">
        <v>1101</v>
      </c>
      <c r="E31" s="71" t="s">
        <v>36</v>
      </c>
      <c r="F31" s="95" t="s">
        <v>2239</v>
      </c>
      <c r="G31" s="95" t="s">
        <v>42</v>
      </c>
      <c r="H31" s="237"/>
      <c r="I31" s="4"/>
      <c r="J31" s="4"/>
      <c r="K31" s="4"/>
      <c r="L31" s="4"/>
      <c r="M31" s="4"/>
      <c r="N31" s="108"/>
      <c r="O31" s="4"/>
      <c r="P31" s="4"/>
      <c r="Q31" s="4"/>
      <c r="R31" s="4"/>
      <c r="S31" s="4"/>
      <c r="T31" s="4"/>
      <c r="U31" s="4"/>
      <c r="V31" s="238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1"/>
      <c r="AL31" s="1"/>
      <c r="AM31" s="1"/>
      <c r="AN31" s="1"/>
      <c r="AO31" s="1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>
        <v>0.7</v>
      </c>
      <c r="BP31" s="1"/>
      <c r="BQ31" s="1"/>
      <c r="BR31" s="1"/>
      <c r="BS31" s="1"/>
      <c r="BT31" s="1"/>
      <c r="BU31" s="1"/>
      <c r="BV31" s="1"/>
      <c r="BW31" s="1"/>
      <c r="BX31" s="4"/>
      <c r="BY31" s="136"/>
      <c r="BZ31" s="136"/>
      <c r="CA31" s="136"/>
      <c r="CB31" s="136"/>
      <c r="CC31" s="136"/>
      <c r="CD31" s="136"/>
      <c r="CE31" s="136"/>
      <c r="CF31" s="136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DA31" s="379">
        <v>0.4</v>
      </c>
    </row>
    <row r="32" spans="1:105" ht="20.25" customHeight="1" x14ac:dyDescent="0.35">
      <c r="A32" s="6"/>
      <c r="B32" s="200" t="s">
        <v>1472</v>
      </c>
      <c r="C32" s="200" t="s">
        <v>1161</v>
      </c>
      <c r="D32" s="95" t="s">
        <v>1101</v>
      </c>
      <c r="E32" s="71" t="s">
        <v>36</v>
      </c>
      <c r="F32" s="95" t="s">
        <v>2240</v>
      </c>
      <c r="G32" s="95" t="s">
        <v>42</v>
      </c>
      <c r="H32" s="237"/>
      <c r="I32" s="4"/>
      <c r="J32" s="4"/>
      <c r="K32" s="4"/>
      <c r="L32" s="4"/>
      <c r="M32" s="4"/>
      <c r="N32" s="108"/>
      <c r="O32" s="4"/>
      <c r="P32" s="4"/>
      <c r="Q32" s="4"/>
      <c r="R32" s="4"/>
      <c r="S32" s="4"/>
      <c r="T32" s="4"/>
      <c r="U32" s="4"/>
      <c r="V32" s="238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1"/>
      <c r="AL32" s="1"/>
      <c r="AM32" s="1"/>
      <c r="AN32" s="1"/>
      <c r="AO32" s="1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>
        <v>0.7</v>
      </c>
      <c r="BP32" s="1"/>
      <c r="BQ32" s="1"/>
      <c r="BR32" s="1"/>
      <c r="BS32" s="1"/>
      <c r="BT32" s="1"/>
      <c r="BU32" s="1"/>
      <c r="BV32" s="1"/>
      <c r="BW32" s="1"/>
      <c r="BX32" s="4"/>
      <c r="BY32" s="136"/>
      <c r="BZ32" s="136"/>
      <c r="CA32" s="136"/>
      <c r="CB32" s="136"/>
      <c r="CC32" s="136"/>
      <c r="CD32" s="136"/>
      <c r="CE32" s="136"/>
      <c r="CF32" s="136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DA32" s="379">
        <v>0.4</v>
      </c>
    </row>
    <row r="33" spans="1:105" ht="20.25" customHeight="1" x14ac:dyDescent="0.35">
      <c r="A33" s="6"/>
      <c r="B33" s="200" t="s">
        <v>1853</v>
      </c>
      <c r="C33" s="200" t="s">
        <v>1161</v>
      </c>
      <c r="D33" s="95" t="s">
        <v>1101</v>
      </c>
      <c r="E33" s="71" t="s">
        <v>36</v>
      </c>
      <c r="F33" s="95" t="s">
        <v>1528</v>
      </c>
      <c r="G33" s="95" t="s">
        <v>42</v>
      </c>
      <c r="H33" s="237"/>
      <c r="I33" s="4"/>
      <c r="J33" s="4"/>
      <c r="K33" s="4"/>
      <c r="L33" s="4"/>
      <c r="M33" s="4"/>
      <c r="N33" s="108"/>
      <c r="O33" s="4"/>
      <c r="P33" s="4"/>
      <c r="Q33" s="4"/>
      <c r="R33" s="4"/>
      <c r="S33" s="4"/>
      <c r="T33" s="4"/>
      <c r="U33" s="4"/>
      <c r="V33" s="238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1"/>
      <c r="AL33" s="1"/>
      <c r="AM33" s="1"/>
      <c r="AN33" s="1"/>
      <c r="AO33" s="1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4"/>
      <c r="BY33" s="136">
        <v>8</v>
      </c>
      <c r="BZ33" s="136"/>
      <c r="CA33" s="136"/>
      <c r="CB33" s="136"/>
      <c r="CC33" s="136"/>
      <c r="CD33" s="136"/>
      <c r="CE33" s="136"/>
      <c r="CF33" s="136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DA33" s="379">
        <v>4</v>
      </c>
    </row>
    <row r="34" spans="1:105" ht="20.25" customHeight="1" x14ac:dyDescent="0.35">
      <c r="A34" s="6"/>
      <c r="B34" s="200" t="s">
        <v>2305</v>
      </c>
      <c r="C34" s="200" t="s">
        <v>2310</v>
      </c>
      <c r="D34" s="95" t="s">
        <v>1101</v>
      </c>
      <c r="E34" s="95" t="s">
        <v>36</v>
      </c>
      <c r="F34" s="95" t="s">
        <v>2306</v>
      </c>
      <c r="G34" s="95" t="s">
        <v>33</v>
      </c>
      <c r="H34" s="237"/>
      <c r="I34" s="4"/>
      <c r="J34" s="4"/>
      <c r="K34" s="4"/>
      <c r="L34" s="4"/>
      <c r="M34" s="4"/>
      <c r="N34" s="108"/>
      <c r="O34" s="4"/>
      <c r="P34" s="4"/>
      <c r="Q34" s="4"/>
      <c r="R34" s="4"/>
      <c r="S34" s="4"/>
      <c r="T34" s="4"/>
      <c r="U34" s="4"/>
      <c r="V34" s="238"/>
      <c r="W34" s="4"/>
      <c r="X34" s="4"/>
      <c r="Y34" s="4"/>
      <c r="Z34" s="4"/>
      <c r="AA34" s="4"/>
      <c r="AB34" s="4"/>
      <c r="AC34" s="4"/>
      <c r="AD34" s="4">
        <v>8.5</v>
      </c>
      <c r="AE34" s="4"/>
      <c r="AF34" s="4"/>
      <c r="AG34" s="4"/>
      <c r="AH34" s="4"/>
      <c r="AI34" s="4"/>
      <c r="AJ34" s="4"/>
      <c r="AK34" s="1"/>
      <c r="AL34" s="1"/>
      <c r="AM34" s="1"/>
      <c r="AN34" s="1"/>
      <c r="AO34" s="1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4"/>
      <c r="BY34" s="136"/>
      <c r="BZ34" s="136"/>
      <c r="CA34" s="136"/>
      <c r="CB34" s="136"/>
      <c r="CC34" s="136"/>
      <c r="CD34" s="136"/>
      <c r="CE34" s="136"/>
      <c r="CF34" s="136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DA34" s="379">
        <v>4.4000000000000004</v>
      </c>
    </row>
    <row r="35" spans="1:105" ht="20.25" customHeight="1" x14ac:dyDescent="0.35">
      <c r="A35" s="6"/>
      <c r="B35" s="200" t="s">
        <v>1473</v>
      </c>
      <c r="C35" s="200" t="s">
        <v>1162</v>
      </c>
      <c r="D35" s="95" t="s">
        <v>1101</v>
      </c>
      <c r="E35" s="71" t="s">
        <v>36</v>
      </c>
      <c r="F35" s="95" t="s">
        <v>2239</v>
      </c>
      <c r="G35" s="95" t="s">
        <v>42</v>
      </c>
      <c r="H35" s="237"/>
      <c r="I35" s="4"/>
      <c r="J35" s="4"/>
      <c r="K35" s="4"/>
      <c r="L35" s="4"/>
      <c r="M35" s="4"/>
      <c r="N35" s="108"/>
      <c r="O35" s="4"/>
      <c r="P35" s="4"/>
      <c r="Q35" s="4"/>
      <c r="R35" s="4"/>
      <c r="S35" s="4"/>
      <c r="T35" s="4"/>
      <c r="U35" s="4"/>
      <c r="V35" s="238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1"/>
      <c r="AL35" s="1"/>
      <c r="AM35" s="1"/>
      <c r="AN35" s="1"/>
      <c r="AO35" s="1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>
        <v>0.7</v>
      </c>
      <c r="BP35" s="1"/>
      <c r="BQ35" s="1"/>
      <c r="BR35" s="1"/>
      <c r="BS35" s="1"/>
      <c r="BT35" s="1"/>
      <c r="BU35" s="1"/>
      <c r="BV35" s="1"/>
      <c r="BW35" s="1"/>
      <c r="BX35" s="4"/>
      <c r="BY35" s="136"/>
      <c r="BZ35" s="136"/>
      <c r="CA35" s="136"/>
      <c r="CB35" s="136"/>
      <c r="CC35" s="136"/>
      <c r="CD35" s="136"/>
      <c r="CE35" s="136"/>
      <c r="CF35" s="136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DA35" s="379">
        <v>0.4</v>
      </c>
    </row>
    <row r="36" spans="1:105" ht="20.25" customHeight="1" x14ac:dyDescent="0.35">
      <c r="A36" s="6"/>
      <c r="B36" s="200" t="s">
        <v>1854</v>
      </c>
      <c r="C36" s="200" t="s">
        <v>1162</v>
      </c>
      <c r="D36" s="95" t="s">
        <v>1101</v>
      </c>
      <c r="E36" s="71" t="s">
        <v>36</v>
      </c>
      <c r="F36" s="95" t="s">
        <v>1528</v>
      </c>
      <c r="G36" s="95" t="s">
        <v>42</v>
      </c>
      <c r="H36" s="237"/>
      <c r="I36" s="4"/>
      <c r="J36" s="4"/>
      <c r="K36" s="4"/>
      <c r="L36" s="4"/>
      <c r="M36" s="4"/>
      <c r="N36" s="108"/>
      <c r="O36" s="4"/>
      <c r="P36" s="4"/>
      <c r="Q36" s="4"/>
      <c r="R36" s="4"/>
      <c r="S36" s="4"/>
      <c r="T36" s="4"/>
      <c r="U36" s="4"/>
      <c r="V36" s="238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>
        <v>7</v>
      </c>
      <c r="AK36" s="1"/>
      <c r="AL36" s="1"/>
      <c r="AM36" s="1"/>
      <c r="AN36" s="1"/>
      <c r="AO36" s="1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4"/>
      <c r="BY36" s="136">
        <v>8</v>
      </c>
      <c r="BZ36" s="136"/>
      <c r="CA36" s="136"/>
      <c r="CB36" s="136"/>
      <c r="CC36" s="136"/>
      <c r="CD36" s="136"/>
      <c r="CE36" s="136"/>
      <c r="CF36" s="136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DA36" s="379">
        <v>4</v>
      </c>
    </row>
    <row r="37" spans="1:105" ht="20.25" customHeight="1" x14ac:dyDescent="0.35">
      <c r="A37" s="95"/>
      <c r="B37" s="200" t="s">
        <v>1474</v>
      </c>
      <c r="C37" s="200" t="s">
        <v>1181</v>
      </c>
      <c r="D37" s="239" t="s">
        <v>846</v>
      </c>
      <c r="E37" s="95" t="s">
        <v>61</v>
      </c>
      <c r="F37" s="95" t="s">
        <v>2238</v>
      </c>
      <c r="G37" s="95" t="s">
        <v>33</v>
      </c>
      <c r="H37" s="237"/>
      <c r="I37" s="240">
        <v>6</v>
      </c>
      <c r="J37" s="192">
        <v>6</v>
      </c>
      <c r="K37" s="4"/>
      <c r="L37" s="4"/>
      <c r="M37" s="4"/>
      <c r="N37" s="108"/>
      <c r="O37" s="4"/>
      <c r="P37" s="4"/>
      <c r="Q37" s="4"/>
      <c r="R37" s="4"/>
      <c r="S37" s="4"/>
      <c r="T37" s="4"/>
      <c r="U37" s="4"/>
      <c r="V37" s="238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1"/>
      <c r="AL37" s="1"/>
      <c r="AM37" s="1"/>
      <c r="AN37" s="1"/>
      <c r="AO37" s="1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>
        <v>7</v>
      </c>
      <c r="BR37" s="1"/>
      <c r="BS37" s="1"/>
      <c r="BT37" s="1"/>
      <c r="BU37" s="1"/>
      <c r="BV37" s="1"/>
      <c r="BW37" s="1"/>
      <c r="BX37" s="4"/>
      <c r="BY37" s="136"/>
      <c r="BZ37" s="136"/>
      <c r="CA37" s="136"/>
      <c r="CB37" s="136"/>
      <c r="CC37" s="136"/>
      <c r="CD37" s="136"/>
      <c r="CE37" s="136"/>
      <c r="CF37" s="136"/>
      <c r="CG37" s="71" t="s">
        <v>1895</v>
      </c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DA37" s="379"/>
    </row>
    <row r="38" spans="1:105" ht="20.25" customHeight="1" x14ac:dyDescent="0.35">
      <c r="A38" s="95"/>
      <c r="B38" s="200" t="s">
        <v>1475</v>
      </c>
      <c r="C38" s="200" t="s">
        <v>1182</v>
      </c>
      <c r="D38" s="239" t="s">
        <v>846</v>
      </c>
      <c r="E38" s="95" t="s">
        <v>61</v>
      </c>
      <c r="F38" s="95" t="s">
        <v>2238</v>
      </c>
      <c r="G38" s="95" t="s">
        <v>33</v>
      </c>
      <c r="H38" s="237"/>
      <c r="I38" s="240">
        <v>7</v>
      </c>
      <c r="J38" s="192">
        <v>7</v>
      </c>
      <c r="K38" s="4"/>
      <c r="L38" s="4"/>
      <c r="M38" s="4"/>
      <c r="N38" s="108"/>
      <c r="O38" s="4"/>
      <c r="P38" s="4"/>
      <c r="Q38" s="4"/>
      <c r="R38" s="4"/>
      <c r="S38" s="4"/>
      <c r="T38" s="4"/>
      <c r="U38" s="4"/>
      <c r="V38" s="238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1"/>
      <c r="AL38" s="1"/>
      <c r="AM38" s="1"/>
      <c r="AN38" s="1"/>
      <c r="AO38" s="1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>
        <v>8</v>
      </c>
      <c r="BR38" s="1"/>
      <c r="BS38" s="1"/>
      <c r="BT38" s="1"/>
      <c r="BU38" s="1"/>
      <c r="BV38" s="1"/>
      <c r="BW38" s="1"/>
      <c r="BX38" s="4"/>
      <c r="BY38" s="136"/>
      <c r="BZ38" s="136"/>
      <c r="CA38" s="136"/>
      <c r="CB38" s="136"/>
      <c r="CC38" s="136"/>
      <c r="CD38" s="136"/>
      <c r="CE38" s="136"/>
      <c r="CF38" s="136"/>
      <c r="CG38" s="71" t="s">
        <v>1895</v>
      </c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DA38" s="379"/>
    </row>
    <row r="39" spans="1:105" ht="20.25" customHeight="1" x14ac:dyDescent="0.35">
      <c r="A39" s="95"/>
      <c r="B39" s="200" t="s">
        <v>1476</v>
      </c>
      <c r="C39" s="200" t="s">
        <v>1183</v>
      </c>
      <c r="D39" s="239" t="s">
        <v>846</v>
      </c>
      <c r="E39" s="95" t="s">
        <v>61</v>
      </c>
      <c r="F39" s="95" t="s">
        <v>2238</v>
      </c>
      <c r="G39" s="95" t="s">
        <v>33</v>
      </c>
      <c r="H39" s="237"/>
      <c r="I39" s="240">
        <v>6</v>
      </c>
      <c r="J39" s="192">
        <v>6</v>
      </c>
      <c r="K39" s="4"/>
      <c r="L39" s="4"/>
      <c r="M39" s="4"/>
      <c r="N39" s="108"/>
      <c r="O39" s="4"/>
      <c r="P39" s="4"/>
      <c r="Q39" s="4"/>
      <c r="R39" s="4"/>
      <c r="S39" s="4"/>
      <c r="T39" s="4"/>
      <c r="U39" s="4"/>
      <c r="V39" s="238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1"/>
      <c r="AL39" s="1"/>
      <c r="AM39" s="1"/>
      <c r="AN39" s="1"/>
      <c r="AO39" s="1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>
        <v>8</v>
      </c>
      <c r="BR39" s="1"/>
      <c r="BS39" s="1"/>
      <c r="BT39" s="1"/>
      <c r="BU39" s="1"/>
      <c r="BV39" s="1"/>
      <c r="BW39" s="1"/>
      <c r="BX39" s="4"/>
      <c r="BY39" s="136"/>
      <c r="BZ39" s="136"/>
      <c r="CA39" s="136"/>
      <c r="CB39" s="136"/>
      <c r="CC39" s="136"/>
      <c r="CD39" s="136"/>
      <c r="CE39" s="136"/>
      <c r="CF39" s="136"/>
      <c r="CG39" s="71" t="s">
        <v>1895</v>
      </c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DA39" s="379"/>
    </row>
    <row r="40" spans="1:105" ht="20.25" customHeight="1" x14ac:dyDescent="0.35">
      <c r="A40" s="6"/>
      <c r="B40" s="200" t="s">
        <v>1477</v>
      </c>
      <c r="C40" s="200" t="s">
        <v>1184</v>
      </c>
      <c r="D40" s="239" t="s">
        <v>846</v>
      </c>
      <c r="E40" s="95" t="s">
        <v>61</v>
      </c>
      <c r="F40" s="95" t="s">
        <v>879</v>
      </c>
      <c r="G40" s="95" t="s">
        <v>864</v>
      </c>
      <c r="H40" s="237"/>
      <c r="I40" s="4"/>
      <c r="J40" s="4"/>
      <c r="K40" s="4"/>
      <c r="L40" s="4"/>
      <c r="M40" s="4"/>
      <c r="N40" s="108"/>
      <c r="O40" s="4"/>
      <c r="P40" s="4"/>
      <c r="Q40" s="4"/>
      <c r="R40" s="4"/>
      <c r="S40" s="4"/>
      <c r="T40" s="4"/>
      <c r="U40" s="4"/>
      <c r="V40" s="238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1"/>
      <c r="AL40" s="1"/>
      <c r="AM40" s="1"/>
      <c r="AN40" s="1"/>
      <c r="AO40" s="1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4"/>
      <c r="BY40" s="136"/>
      <c r="BZ40" s="136"/>
      <c r="CA40" s="136"/>
      <c r="CB40" s="136"/>
      <c r="CC40" s="136"/>
      <c r="CD40" s="136"/>
      <c r="CE40" s="136"/>
      <c r="CF40" s="136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DA40" s="379"/>
    </row>
    <row r="41" spans="1:105" ht="20.25" customHeight="1" x14ac:dyDescent="0.35">
      <c r="A41" s="6"/>
      <c r="B41" s="200" t="s">
        <v>1478</v>
      </c>
      <c r="C41" s="200" t="s">
        <v>1185</v>
      </c>
      <c r="D41" s="239" t="s">
        <v>846</v>
      </c>
      <c r="E41" s="95" t="s">
        <v>61</v>
      </c>
      <c r="F41" s="95" t="s">
        <v>1186</v>
      </c>
      <c r="G41" s="95" t="s">
        <v>174</v>
      </c>
      <c r="H41" s="237"/>
      <c r="I41" s="4"/>
      <c r="J41" s="4"/>
      <c r="K41" s="4"/>
      <c r="L41" s="4"/>
      <c r="M41" s="4"/>
      <c r="N41" s="108"/>
      <c r="O41" s="4"/>
      <c r="P41" s="4"/>
      <c r="Q41" s="4"/>
      <c r="R41" s="4"/>
      <c r="S41" s="4"/>
      <c r="T41" s="4"/>
      <c r="U41" s="4"/>
      <c r="V41" s="238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1"/>
      <c r="AL41" s="1"/>
      <c r="AM41" s="1"/>
      <c r="AN41" s="1"/>
      <c r="AO41" s="1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4"/>
      <c r="BY41" s="136"/>
      <c r="BZ41" s="136"/>
      <c r="CA41" s="136"/>
      <c r="CB41" s="136"/>
      <c r="CC41" s="136"/>
      <c r="CD41" s="136"/>
      <c r="CE41" s="136"/>
      <c r="CF41" s="136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DA41" s="379">
        <v>0</v>
      </c>
    </row>
    <row r="42" spans="1:105" ht="20.25" customHeight="1" x14ac:dyDescent="0.35">
      <c r="A42" s="6"/>
      <c r="B42" s="423" t="s">
        <v>1992</v>
      </c>
      <c r="C42" s="14" t="s">
        <v>1993</v>
      </c>
      <c r="D42" s="71" t="s">
        <v>846</v>
      </c>
      <c r="E42" s="95" t="s">
        <v>61</v>
      </c>
      <c r="F42" s="62" t="s">
        <v>1994</v>
      </c>
      <c r="G42" s="62" t="s">
        <v>43</v>
      </c>
      <c r="H42" s="237"/>
      <c r="I42" s="4"/>
      <c r="J42" s="4"/>
      <c r="K42" s="4"/>
      <c r="L42" s="4"/>
      <c r="M42" s="4"/>
      <c r="N42" s="108"/>
      <c r="O42" s="4"/>
      <c r="P42" s="4"/>
      <c r="Q42" s="4"/>
      <c r="R42" s="4"/>
      <c r="S42" s="4"/>
      <c r="T42" s="4"/>
      <c r="U42" s="4"/>
      <c r="V42" s="238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1"/>
      <c r="AL42" s="1"/>
      <c r="AM42" s="1"/>
      <c r="AN42" s="1"/>
      <c r="AO42" s="1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4"/>
      <c r="BY42" s="136"/>
      <c r="BZ42" s="136"/>
      <c r="CA42" s="136"/>
      <c r="CB42" s="136"/>
      <c r="CC42" s="136"/>
      <c r="CD42" s="136"/>
      <c r="CE42" s="136"/>
      <c r="CF42" s="136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DA42" s="379">
        <v>0</v>
      </c>
    </row>
    <row r="43" spans="1:105" ht="20.25" customHeight="1" x14ac:dyDescent="0.35">
      <c r="A43" s="6"/>
      <c r="B43" s="307" t="s">
        <v>1995</v>
      </c>
      <c r="C43" s="79" t="s">
        <v>2327</v>
      </c>
      <c r="D43" s="95" t="s">
        <v>846</v>
      </c>
      <c r="E43" s="95" t="s">
        <v>61</v>
      </c>
      <c r="F43" s="62" t="s">
        <v>2328</v>
      </c>
      <c r="G43" s="62" t="s">
        <v>174</v>
      </c>
      <c r="H43" s="237"/>
      <c r="I43" s="4"/>
      <c r="J43" s="4"/>
      <c r="K43" s="4"/>
      <c r="L43" s="4"/>
      <c r="M43" s="4"/>
      <c r="N43" s="108"/>
      <c r="O43" s="4"/>
      <c r="P43" s="4"/>
      <c r="Q43" s="4"/>
      <c r="R43" s="4"/>
      <c r="S43" s="4"/>
      <c r="T43" s="4"/>
      <c r="U43" s="4"/>
      <c r="V43" s="238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1"/>
      <c r="AL43" s="1"/>
      <c r="AM43" s="1"/>
      <c r="AN43" s="1"/>
      <c r="AO43" s="1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4"/>
      <c r="BY43" s="136"/>
      <c r="BZ43" s="136"/>
      <c r="CA43" s="136"/>
      <c r="CB43" s="136"/>
      <c r="CC43" s="136"/>
      <c r="CD43" s="136"/>
      <c r="CE43" s="136"/>
      <c r="CF43" s="136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DA43" s="379">
        <v>0</v>
      </c>
    </row>
    <row r="44" spans="1:105" ht="20.25" customHeight="1" x14ac:dyDescent="0.35">
      <c r="A44" s="6"/>
      <c r="B44" s="307" t="s">
        <v>1996</v>
      </c>
      <c r="C44" s="200" t="s">
        <v>1997</v>
      </c>
      <c r="D44" s="95" t="s">
        <v>846</v>
      </c>
      <c r="E44" s="95" t="s">
        <v>61</v>
      </c>
      <c r="F44" s="62" t="s">
        <v>1955</v>
      </c>
      <c r="G44" s="62" t="s">
        <v>174</v>
      </c>
      <c r="H44" s="237"/>
      <c r="I44" s="4"/>
      <c r="J44" s="4"/>
      <c r="K44" s="4"/>
      <c r="L44" s="4"/>
      <c r="M44" s="4"/>
      <c r="N44" s="108"/>
      <c r="O44" s="4"/>
      <c r="P44" s="4"/>
      <c r="Q44" s="4"/>
      <c r="R44" s="4"/>
      <c r="S44" s="4"/>
      <c r="T44" s="4"/>
      <c r="U44" s="4"/>
      <c r="V44" s="238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1"/>
      <c r="AL44" s="1"/>
      <c r="AM44" s="1"/>
      <c r="AN44" s="1"/>
      <c r="AO44" s="1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4"/>
      <c r="BY44" s="136"/>
      <c r="BZ44" s="136"/>
      <c r="CA44" s="136"/>
      <c r="CB44" s="136"/>
      <c r="CC44" s="136"/>
      <c r="CD44" s="136"/>
      <c r="CE44" s="136"/>
      <c r="CF44" s="136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DA44" s="379">
        <v>0</v>
      </c>
    </row>
    <row r="45" spans="1:105" ht="20.25" customHeight="1" x14ac:dyDescent="0.35">
      <c r="A45" s="6"/>
      <c r="B45" s="307" t="s">
        <v>2085</v>
      </c>
      <c r="C45" s="200" t="s">
        <v>1997</v>
      </c>
      <c r="D45" s="95" t="s">
        <v>846</v>
      </c>
      <c r="E45" s="95" t="s">
        <v>61</v>
      </c>
      <c r="F45" s="62" t="s">
        <v>34</v>
      </c>
      <c r="G45" s="62" t="s">
        <v>174</v>
      </c>
      <c r="H45" s="237"/>
      <c r="I45" s="4"/>
      <c r="J45" s="4"/>
      <c r="K45" s="4"/>
      <c r="L45" s="4"/>
      <c r="M45" s="4"/>
      <c r="N45" s="108"/>
      <c r="O45" s="4"/>
      <c r="P45" s="4"/>
      <c r="Q45" s="4"/>
      <c r="R45" s="4"/>
      <c r="S45" s="4"/>
      <c r="T45" s="4"/>
      <c r="U45" s="4"/>
      <c r="V45" s="238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1"/>
      <c r="AL45" s="1"/>
      <c r="AM45" s="1"/>
      <c r="AN45" s="1"/>
      <c r="AO45" s="1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4"/>
      <c r="BY45" s="136"/>
      <c r="BZ45" s="136"/>
      <c r="CA45" s="136"/>
      <c r="CB45" s="136"/>
      <c r="CC45" s="136"/>
      <c r="CD45" s="136"/>
      <c r="CE45" s="136"/>
      <c r="CF45" s="136">
        <v>10</v>
      </c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DA45" s="379">
        <v>0</v>
      </c>
    </row>
    <row r="46" spans="1:105" ht="20.25" customHeight="1" x14ac:dyDescent="0.35">
      <c r="A46" s="6"/>
      <c r="B46" s="307" t="s">
        <v>1991</v>
      </c>
      <c r="C46" s="200" t="s">
        <v>1998</v>
      </c>
      <c r="D46" s="95" t="s">
        <v>846</v>
      </c>
      <c r="E46" s="95" t="s">
        <v>61</v>
      </c>
      <c r="F46" s="62" t="s">
        <v>1955</v>
      </c>
      <c r="G46" s="62" t="s">
        <v>174</v>
      </c>
      <c r="H46" s="237"/>
      <c r="I46" s="4"/>
      <c r="J46" s="4"/>
      <c r="K46" s="4"/>
      <c r="L46" s="4"/>
      <c r="M46" s="4"/>
      <c r="N46" s="108"/>
      <c r="O46" s="4"/>
      <c r="P46" s="4"/>
      <c r="Q46" s="4"/>
      <c r="R46" s="4"/>
      <c r="S46" s="4"/>
      <c r="T46" s="4"/>
      <c r="U46" s="4"/>
      <c r="V46" s="238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1"/>
      <c r="AL46" s="1"/>
      <c r="AM46" s="1"/>
      <c r="AN46" s="1"/>
      <c r="AO46" s="1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4"/>
      <c r="BY46" s="136"/>
      <c r="BZ46" s="136"/>
      <c r="CA46" s="136"/>
      <c r="CB46" s="136"/>
      <c r="CC46" s="136"/>
      <c r="CD46" s="136"/>
      <c r="CE46" s="136"/>
      <c r="CF46" s="136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DA46" s="379">
        <v>0</v>
      </c>
    </row>
    <row r="47" spans="1:105" ht="20.25" customHeight="1" x14ac:dyDescent="0.35">
      <c r="A47" s="6"/>
      <c r="B47" s="307" t="s">
        <v>2086</v>
      </c>
      <c r="C47" s="200" t="s">
        <v>1998</v>
      </c>
      <c r="D47" s="95" t="s">
        <v>846</v>
      </c>
      <c r="E47" s="95" t="s">
        <v>61</v>
      </c>
      <c r="F47" s="62" t="s">
        <v>34</v>
      </c>
      <c r="G47" s="62" t="s">
        <v>174</v>
      </c>
      <c r="H47" s="237"/>
      <c r="I47" s="4"/>
      <c r="J47" s="4"/>
      <c r="K47" s="4"/>
      <c r="L47" s="4"/>
      <c r="M47" s="4"/>
      <c r="N47" s="108"/>
      <c r="O47" s="4"/>
      <c r="P47" s="4"/>
      <c r="Q47" s="4"/>
      <c r="R47" s="4"/>
      <c r="S47" s="4"/>
      <c r="T47" s="4"/>
      <c r="U47" s="4"/>
      <c r="V47" s="238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1"/>
      <c r="AL47" s="1"/>
      <c r="AM47" s="1"/>
      <c r="AN47" s="1"/>
      <c r="AO47" s="1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4"/>
      <c r="BY47" s="136"/>
      <c r="BZ47" s="136"/>
      <c r="CA47" s="136"/>
      <c r="CB47" s="136"/>
      <c r="CC47" s="136"/>
      <c r="CD47" s="136"/>
      <c r="CE47" s="136"/>
      <c r="CF47" s="136">
        <v>8</v>
      </c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DA47" s="379">
        <v>0</v>
      </c>
    </row>
    <row r="48" spans="1:105" ht="20.25" customHeight="1" x14ac:dyDescent="0.35">
      <c r="A48" s="6"/>
      <c r="B48" s="200" t="s">
        <v>1999</v>
      </c>
      <c r="C48" s="200" t="s">
        <v>2000</v>
      </c>
      <c r="D48" s="239" t="s">
        <v>846</v>
      </c>
      <c r="E48" s="95" t="s">
        <v>61</v>
      </c>
      <c r="F48" s="95" t="s">
        <v>1513</v>
      </c>
      <c r="G48" s="95" t="s">
        <v>174</v>
      </c>
      <c r="H48" s="237"/>
      <c r="I48" s="4"/>
      <c r="J48" s="4"/>
      <c r="K48" s="4"/>
      <c r="L48" s="4"/>
      <c r="M48" s="4"/>
      <c r="N48" s="108"/>
      <c r="O48" s="4"/>
      <c r="P48" s="4"/>
      <c r="Q48" s="4"/>
      <c r="R48" s="4"/>
      <c r="S48" s="4"/>
      <c r="T48" s="4"/>
      <c r="U48" s="4"/>
      <c r="V48" s="238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1"/>
      <c r="AL48" s="1"/>
      <c r="AM48" s="1"/>
      <c r="AN48" s="1"/>
      <c r="AO48" s="1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4"/>
      <c r="BY48" s="136"/>
      <c r="BZ48" s="136"/>
      <c r="CA48" s="136"/>
      <c r="CB48" s="136"/>
      <c r="CC48" s="136"/>
      <c r="CD48" s="136"/>
      <c r="CE48" s="136"/>
      <c r="CF48" s="136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DA48" s="379">
        <v>0</v>
      </c>
    </row>
    <row r="49" spans="1:105" ht="20.25" customHeight="1" x14ac:dyDescent="0.35">
      <c r="A49" s="6"/>
      <c r="B49" s="200" t="s">
        <v>2087</v>
      </c>
      <c r="C49" s="200" t="s">
        <v>2043</v>
      </c>
      <c r="D49" s="239" t="s">
        <v>846</v>
      </c>
      <c r="E49" s="95" t="s">
        <v>61</v>
      </c>
      <c r="F49" s="95" t="s">
        <v>2088</v>
      </c>
      <c r="G49" s="95" t="s">
        <v>33</v>
      </c>
      <c r="H49" s="237"/>
      <c r="I49" s="4"/>
      <c r="J49" s="4"/>
      <c r="K49" s="4"/>
      <c r="L49" s="4"/>
      <c r="M49" s="4"/>
      <c r="N49" s="108"/>
      <c r="O49" s="4"/>
      <c r="P49" s="4"/>
      <c r="Q49" s="4"/>
      <c r="R49" s="4"/>
      <c r="S49" s="4"/>
      <c r="T49" s="4"/>
      <c r="U49" s="4"/>
      <c r="V49" s="238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1"/>
      <c r="AL49" s="1"/>
      <c r="AM49" s="1"/>
      <c r="AN49" s="1"/>
      <c r="AO49" s="1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4"/>
      <c r="BY49" s="136"/>
      <c r="BZ49" s="136"/>
      <c r="CA49" s="136"/>
      <c r="CB49" s="136"/>
      <c r="CC49" s="136"/>
      <c r="CD49" s="136"/>
      <c r="CE49" s="136"/>
      <c r="CF49" s="136">
        <v>1.8</v>
      </c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DA49" s="379">
        <v>0</v>
      </c>
    </row>
    <row r="50" spans="1:105" ht="20.25" customHeight="1" x14ac:dyDescent="0.35">
      <c r="A50" s="6"/>
      <c r="B50" s="200" t="s">
        <v>2092</v>
      </c>
      <c r="C50" s="200" t="s">
        <v>2093</v>
      </c>
      <c r="D50" s="239" t="s">
        <v>1101</v>
      </c>
      <c r="E50" s="95" t="s">
        <v>2104</v>
      </c>
      <c r="F50" s="95" t="s">
        <v>1843</v>
      </c>
      <c r="G50" s="95" t="s">
        <v>51</v>
      </c>
      <c r="H50" s="304">
        <v>9</v>
      </c>
      <c r="I50" s="4"/>
      <c r="J50" s="4"/>
      <c r="K50" s="4"/>
      <c r="L50" s="4"/>
      <c r="M50" s="4"/>
      <c r="N50" s="108"/>
      <c r="O50" s="4"/>
      <c r="P50" s="4"/>
      <c r="Q50" s="4"/>
      <c r="R50" s="4"/>
      <c r="S50" s="4"/>
      <c r="T50" s="4"/>
      <c r="U50" s="4"/>
      <c r="V50" s="238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1"/>
      <c r="AL50" s="1"/>
      <c r="AM50" s="1"/>
      <c r="AN50" s="1"/>
      <c r="AO50" s="1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4"/>
      <c r="BY50" s="136"/>
      <c r="BZ50" s="136"/>
      <c r="CA50" s="136"/>
      <c r="CB50" s="136"/>
      <c r="CC50" s="136"/>
      <c r="CD50" s="136"/>
      <c r="CE50" s="136"/>
      <c r="CF50" s="136">
        <v>12.8</v>
      </c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DA50" s="379">
        <v>9</v>
      </c>
    </row>
    <row r="51" spans="1:105" ht="20.25" customHeight="1" x14ac:dyDescent="0.35">
      <c r="A51" s="6"/>
      <c r="B51" s="200" t="s">
        <v>2099</v>
      </c>
      <c r="C51" s="200" t="s">
        <v>2094</v>
      </c>
      <c r="D51" s="239" t="s">
        <v>1101</v>
      </c>
      <c r="E51" s="95" t="s">
        <v>2104</v>
      </c>
      <c r="F51" s="95" t="s">
        <v>1843</v>
      </c>
      <c r="G51" s="95" t="s">
        <v>51</v>
      </c>
      <c r="H51" s="304">
        <v>9</v>
      </c>
      <c r="I51" s="4"/>
      <c r="J51" s="4"/>
      <c r="K51" s="4"/>
      <c r="L51" s="4"/>
      <c r="M51" s="4"/>
      <c r="N51" s="108"/>
      <c r="O51" s="4"/>
      <c r="P51" s="4"/>
      <c r="Q51" s="4"/>
      <c r="R51" s="4"/>
      <c r="S51" s="4"/>
      <c r="T51" s="4"/>
      <c r="U51" s="4"/>
      <c r="V51" s="238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1"/>
      <c r="AL51" s="1"/>
      <c r="AM51" s="1"/>
      <c r="AN51" s="1"/>
      <c r="AO51" s="1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4"/>
      <c r="BY51" s="136"/>
      <c r="BZ51" s="136"/>
      <c r="CA51" s="136"/>
      <c r="CB51" s="136"/>
      <c r="CC51" s="136"/>
      <c r="CD51" s="136"/>
      <c r="CE51" s="136"/>
      <c r="CF51" s="136">
        <v>12.8</v>
      </c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DA51" s="379">
        <v>9</v>
      </c>
    </row>
    <row r="52" spans="1:105" ht="20.25" customHeight="1" x14ac:dyDescent="0.35">
      <c r="A52" s="6" t="s">
        <v>2184</v>
      </c>
      <c r="B52" s="200" t="s">
        <v>2100</v>
      </c>
      <c r="C52" s="200" t="s">
        <v>2095</v>
      </c>
      <c r="D52" s="239" t="s">
        <v>1101</v>
      </c>
      <c r="E52" s="95" t="s">
        <v>2104</v>
      </c>
      <c r="F52" s="95" t="s">
        <v>1843</v>
      </c>
      <c r="G52" s="95" t="s">
        <v>51</v>
      </c>
      <c r="H52" s="304">
        <v>9</v>
      </c>
      <c r="I52" s="4"/>
      <c r="J52" s="4"/>
      <c r="K52" s="4"/>
      <c r="L52" s="4"/>
      <c r="M52" s="4"/>
      <c r="N52" s="108"/>
      <c r="O52" s="4"/>
      <c r="P52" s="4"/>
      <c r="Q52" s="4"/>
      <c r="R52" s="4"/>
      <c r="S52" s="4"/>
      <c r="T52" s="4"/>
      <c r="U52" s="4"/>
      <c r="V52" s="238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1"/>
      <c r="AL52" s="1"/>
      <c r="AM52" s="1"/>
      <c r="AN52" s="1"/>
      <c r="AO52" s="1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4"/>
      <c r="BY52" s="136"/>
      <c r="BZ52" s="136"/>
      <c r="CA52" s="136"/>
      <c r="CB52" s="136"/>
      <c r="CC52" s="136"/>
      <c r="CD52" s="136"/>
      <c r="CE52" s="136"/>
      <c r="CF52" s="136">
        <v>12.8</v>
      </c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DA52" s="379">
        <v>9</v>
      </c>
    </row>
    <row r="53" spans="1:105" ht="20.25" customHeight="1" x14ac:dyDescent="0.35">
      <c r="A53" s="6" t="s">
        <v>2185</v>
      </c>
      <c r="B53" s="200" t="s">
        <v>2101</v>
      </c>
      <c r="C53" s="200" t="s">
        <v>2096</v>
      </c>
      <c r="D53" s="239" t="s">
        <v>1101</v>
      </c>
      <c r="E53" s="95" t="s">
        <v>2104</v>
      </c>
      <c r="F53" s="95" t="s">
        <v>1843</v>
      </c>
      <c r="G53" s="95" t="s">
        <v>51</v>
      </c>
      <c r="H53" s="304">
        <v>9</v>
      </c>
      <c r="I53" s="4"/>
      <c r="J53" s="4"/>
      <c r="K53" s="4"/>
      <c r="L53" s="4"/>
      <c r="M53" s="4"/>
      <c r="N53" s="108"/>
      <c r="O53" s="4"/>
      <c r="P53" s="4"/>
      <c r="Q53" s="4"/>
      <c r="R53" s="4"/>
      <c r="S53" s="4"/>
      <c r="T53" s="4"/>
      <c r="U53" s="4"/>
      <c r="V53" s="238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1"/>
      <c r="AL53" s="1"/>
      <c r="AM53" s="1"/>
      <c r="AN53" s="1"/>
      <c r="AO53" s="1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4"/>
      <c r="BY53" s="136"/>
      <c r="BZ53" s="136"/>
      <c r="CA53" s="136"/>
      <c r="CB53" s="136"/>
      <c r="CC53" s="136"/>
      <c r="CD53" s="136"/>
      <c r="CE53" s="136"/>
      <c r="CF53" s="136">
        <v>12.8</v>
      </c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DA53" s="379">
        <v>9</v>
      </c>
    </row>
    <row r="54" spans="1:105" ht="20.25" customHeight="1" x14ac:dyDescent="0.35">
      <c r="A54" s="6"/>
      <c r="B54" s="200" t="s">
        <v>2102</v>
      </c>
      <c r="C54" s="200" t="s">
        <v>2097</v>
      </c>
      <c r="D54" s="239" t="s">
        <v>1101</v>
      </c>
      <c r="E54" s="95" t="s">
        <v>2104</v>
      </c>
      <c r="F54" s="95" t="s">
        <v>1843</v>
      </c>
      <c r="G54" s="95" t="s">
        <v>51</v>
      </c>
      <c r="H54" s="304">
        <v>9</v>
      </c>
      <c r="I54" s="4"/>
      <c r="J54" s="4"/>
      <c r="K54" s="4"/>
      <c r="L54" s="4"/>
      <c r="M54" s="4"/>
      <c r="N54" s="108"/>
      <c r="O54" s="4"/>
      <c r="P54" s="4"/>
      <c r="Q54" s="4"/>
      <c r="R54" s="4"/>
      <c r="S54" s="4"/>
      <c r="T54" s="4"/>
      <c r="U54" s="4"/>
      <c r="V54" s="238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1"/>
      <c r="AL54" s="1"/>
      <c r="AM54" s="1"/>
      <c r="AN54" s="1"/>
      <c r="AO54" s="1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4"/>
      <c r="BY54" s="136"/>
      <c r="BZ54" s="136"/>
      <c r="CA54" s="136"/>
      <c r="CB54" s="136"/>
      <c r="CC54" s="136"/>
      <c r="CD54" s="136"/>
      <c r="CE54" s="136"/>
      <c r="CF54" s="136">
        <v>12.8</v>
      </c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DA54" s="379">
        <v>9</v>
      </c>
    </row>
    <row r="55" spans="1:105" ht="20.25" customHeight="1" x14ac:dyDescent="0.35">
      <c r="A55" s="6"/>
      <c r="B55" s="200" t="s">
        <v>2103</v>
      </c>
      <c r="C55" s="200" t="s">
        <v>2098</v>
      </c>
      <c r="D55" s="239" t="s">
        <v>1101</v>
      </c>
      <c r="E55" s="95" t="s">
        <v>2104</v>
      </c>
      <c r="F55" s="95" t="s">
        <v>1843</v>
      </c>
      <c r="G55" s="95" t="s">
        <v>51</v>
      </c>
      <c r="H55" s="304">
        <v>10</v>
      </c>
      <c r="I55" s="4"/>
      <c r="J55" s="4"/>
      <c r="K55" s="4"/>
      <c r="L55" s="4"/>
      <c r="M55" s="4"/>
      <c r="N55" s="108"/>
      <c r="O55" s="4"/>
      <c r="P55" s="4"/>
      <c r="Q55" s="4"/>
      <c r="R55" s="4"/>
      <c r="S55" s="4"/>
      <c r="T55" s="4"/>
      <c r="U55" s="4"/>
      <c r="V55" s="238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1"/>
      <c r="AL55" s="1"/>
      <c r="AM55" s="1"/>
      <c r="AN55" s="1"/>
      <c r="AO55" s="1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4"/>
      <c r="BY55" s="136"/>
      <c r="BZ55" s="136"/>
      <c r="CA55" s="136"/>
      <c r="CB55" s="136"/>
      <c r="CC55" s="136"/>
      <c r="CD55" s="136"/>
      <c r="CE55" s="136"/>
      <c r="CF55" s="136">
        <v>12.8</v>
      </c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DA55" s="379">
        <v>9</v>
      </c>
    </row>
    <row r="56" spans="1:105" ht="20.25" customHeight="1" x14ac:dyDescent="0.35">
      <c r="A56" s="6"/>
      <c r="B56" s="200" t="s">
        <v>2176</v>
      </c>
      <c r="C56" s="200" t="s">
        <v>2177</v>
      </c>
      <c r="D56" s="239" t="s">
        <v>846</v>
      </c>
      <c r="E56" s="95" t="s">
        <v>61</v>
      </c>
      <c r="F56" s="95" t="s">
        <v>2182</v>
      </c>
      <c r="G56" s="95"/>
      <c r="H56" s="237"/>
      <c r="I56" s="4">
        <v>7.5</v>
      </c>
      <c r="J56" s="4"/>
      <c r="K56" s="4"/>
      <c r="L56" s="4"/>
      <c r="M56" s="4"/>
      <c r="N56" s="108"/>
      <c r="O56" s="4"/>
      <c r="P56" s="4"/>
      <c r="Q56" s="4"/>
      <c r="R56" s="4"/>
      <c r="S56" s="4"/>
      <c r="T56" s="4"/>
      <c r="U56" s="4"/>
      <c r="V56" s="238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1"/>
      <c r="AL56" s="1"/>
      <c r="AM56" s="1"/>
      <c r="AN56" s="1"/>
      <c r="AO56" s="1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4"/>
      <c r="BY56" s="136"/>
      <c r="BZ56" s="136"/>
      <c r="CA56" s="136"/>
      <c r="CB56" s="136"/>
      <c r="CC56" s="136"/>
      <c r="CD56" s="136"/>
      <c r="CE56" s="136"/>
      <c r="CF56" s="136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DA56" s="379">
        <v>4.9000000000000004</v>
      </c>
    </row>
    <row r="57" spans="1:105" ht="20.25" customHeight="1" x14ac:dyDescent="0.35">
      <c r="A57" s="6" t="s">
        <v>2193</v>
      </c>
      <c r="B57" s="200" t="s">
        <v>2242</v>
      </c>
      <c r="C57" s="200" t="s">
        <v>2177</v>
      </c>
      <c r="D57" s="239" t="s">
        <v>846</v>
      </c>
      <c r="E57" s="95" t="s">
        <v>61</v>
      </c>
      <c r="F57" s="95" t="s">
        <v>1156</v>
      </c>
      <c r="G57" s="95"/>
      <c r="H57" s="237"/>
      <c r="I57" s="4">
        <v>8.5</v>
      </c>
      <c r="J57" s="4"/>
      <c r="K57" s="4"/>
      <c r="L57" s="4"/>
      <c r="M57" s="4"/>
      <c r="N57" s="108"/>
      <c r="O57" s="4"/>
      <c r="P57" s="4"/>
      <c r="Q57" s="4"/>
      <c r="R57" s="4"/>
      <c r="S57" s="4"/>
      <c r="T57" s="4"/>
      <c r="U57" s="4"/>
      <c r="V57" s="238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>
        <v>10</v>
      </c>
      <c r="AK57" s="1"/>
      <c r="AL57" s="1"/>
      <c r="AM57" s="1"/>
      <c r="AN57" s="1"/>
      <c r="AO57" s="1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4"/>
      <c r="BY57" s="136"/>
      <c r="BZ57" s="136"/>
      <c r="CA57" s="136"/>
      <c r="CB57" s="136"/>
      <c r="CC57" s="136"/>
      <c r="CD57" s="136"/>
      <c r="CE57" s="136"/>
      <c r="CF57" s="136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DA57" s="379">
        <v>5.5</v>
      </c>
    </row>
    <row r="58" spans="1:105" ht="20.25" customHeight="1" x14ac:dyDescent="0.35">
      <c r="A58" s="6"/>
      <c r="B58" s="200" t="s">
        <v>2367</v>
      </c>
      <c r="C58" s="200" t="s">
        <v>2369</v>
      </c>
      <c r="D58" s="239" t="s">
        <v>846</v>
      </c>
      <c r="E58" s="95" t="s">
        <v>36</v>
      </c>
      <c r="F58" s="95" t="s">
        <v>2371</v>
      </c>
      <c r="G58" s="95" t="s">
        <v>174</v>
      </c>
      <c r="H58" s="237"/>
      <c r="I58" s="4"/>
      <c r="J58" s="4"/>
      <c r="K58" s="4"/>
      <c r="L58" s="4"/>
      <c r="M58" s="4"/>
      <c r="N58" s="108"/>
      <c r="O58" s="4"/>
      <c r="P58" s="4"/>
      <c r="Q58" s="4"/>
      <c r="R58" s="4"/>
      <c r="S58" s="4"/>
      <c r="T58" s="4"/>
      <c r="U58" s="4"/>
      <c r="V58" s="238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>
        <v>3.4</v>
      </c>
      <c r="AK58" s="1"/>
      <c r="AL58" s="1"/>
      <c r="AM58" s="1"/>
      <c r="AN58" s="1"/>
      <c r="AO58" s="1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4"/>
      <c r="BY58" s="136"/>
      <c r="BZ58" s="136"/>
      <c r="CA58" s="136"/>
      <c r="CB58" s="136"/>
      <c r="CC58" s="136"/>
      <c r="CD58" s="136"/>
      <c r="CE58" s="136"/>
      <c r="CF58" s="136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DA58" s="379">
        <v>2.4</v>
      </c>
    </row>
    <row r="59" spans="1:105" ht="20.25" customHeight="1" x14ac:dyDescent="0.35">
      <c r="A59" s="6"/>
      <c r="B59" s="200" t="s">
        <v>2368</v>
      </c>
      <c r="C59" s="200" t="s">
        <v>2370</v>
      </c>
      <c r="D59" s="239" t="s">
        <v>846</v>
      </c>
      <c r="E59" s="95" t="s">
        <v>36</v>
      </c>
      <c r="F59" s="95" t="s">
        <v>2371</v>
      </c>
      <c r="G59" s="95" t="s">
        <v>174</v>
      </c>
      <c r="H59" s="237"/>
      <c r="I59" s="4"/>
      <c r="J59" s="4"/>
      <c r="K59" s="4"/>
      <c r="L59" s="4"/>
      <c r="M59" s="4"/>
      <c r="N59" s="108"/>
      <c r="O59" s="4"/>
      <c r="P59" s="4"/>
      <c r="Q59" s="4"/>
      <c r="R59" s="4"/>
      <c r="S59" s="4"/>
      <c r="T59" s="4"/>
      <c r="U59" s="4"/>
      <c r="V59" s="238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>
        <v>3.4</v>
      </c>
      <c r="AK59" s="1"/>
      <c r="AL59" s="1"/>
      <c r="AM59" s="1"/>
      <c r="AN59" s="1"/>
      <c r="AO59" s="1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4"/>
      <c r="BY59" s="136"/>
      <c r="BZ59" s="136"/>
      <c r="CA59" s="136"/>
      <c r="CB59" s="136"/>
      <c r="CC59" s="136"/>
      <c r="CD59" s="136"/>
      <c r="CE59" s="136"/>
      <c r="CF59" s="136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DA59" s="379">
        <v>2.4</v>
      </c>
    </row>
    <row r="60" spans="1:105" ht="20.25" customHeight="1" x14ac:dyDescent="0.35">
      <c r="A60" s="95"/>
      <c r="B60" s="200" t="s">
        <v>1479</v>
      </c>
      <c r="C60" s="200" t="s">
        <v>237</v>
      </c>
      <c r="D60" s="239" t="s">
        <v>1177</v>
      </c>
      <c r="E60" s="95" t="s">
        <v>36</v>
      </c>
      <c r="F60" s="95" t="s">
        <v>1481</v>
      </c>
      <c r="G60" s="95" t="s">
        <v>107</v>
      </c>
      <c r="H60" s="237">
        <v>44</v>
      </c>
      <c r="I60" s="240">
        <v>0</v>
      </c>
      <c r="J60" s="4"/>
      <c r="K60" s="4"/>
      <c r="L60" s="4"/>
      <c r="M60" s="4"/>
      <c r="N60" s="108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>
        <v>52</v>
      </c>
      <c r="AD60" s="4"/>
      <c r="AE60" s="4"/>
      <c r="AF60" s="4"/>
      <c r="AG60" s="4"/>
      <c r="AH60" s="4"/>
      <c r="AI60" s="4"/>
      <c r="AJ60" s="4"/>
      <c r="AK60" s="1"/>
      <c r="AL60" s="1"/>
      <c r="AM60" s="1"/>
      <c r="AN60" s="1"/>
      <c r="AO60" s="1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4"/>
      <c r="BY60" s="136"/>
      <c r="BZ60" s="136"/>
      <c r="CA60" s="136"/>
      <c r="CB60" s="136"/>
      <c r="CC60" s="136"/>
      <c r="CD60" s="136"/>
      <c r="CE60" s="136"/>
      <c r="CF60" s="136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DA60" s="379">
        <v>44</v>
      </c>
    </row>
    <row r="61" spans="1:105" ht="20.25" customHeight="1" x14ac:dyDescent="0.35">
      <c r="A61" s="6"/>
      <c r="B61" s="200" t="s">
        <v>1480</v>
      </c>
      <c r="C61" s="200" t="s">
        <v>237</v>
      </c>
      <c r="D61" s="239" t="s">
        <v>1177</v>
      </c>
      <c r="E61" s="95" t="s">
        <v>36</v>
      </c>
      <c r="F61" s="95" t="s">
        <v>1223</v>
      </c>
      <c r="G61" s="95" t="s">
        <v>107</v>
      </c>
      <c r="H61" s="237">
        <v>11</v>
      </c>
      <c r="I61" s="4">
        <v>16</v>
      </c>
      <c r="J61" s="4"/>
      <c r="K61" s="4"/>
      <c r="L61" s="4"/>
      <c r="M61" s="4"/>
      <c r="N61" s="108"/>
      <c r="O61" s="4"/>
      <c r="P61" s="4"/>
      <c r="Q61" s="4"/>
      <c r="R61" s="4">
        <v>15</v>
      </c>
      <c r="S61" s="4"/>
      <c r="T61" s="4"/>
      <c r="U61" s="4"/>
      <c r="V61" s="238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1"/>
      <c r="AL61" s="1"/>
      <c r="AM61" s="1"/>
      <c r="AN61" s="1"/>
      <c r="AO61" s="1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4"/>
      <c r="BY61" s="136">
        <v>15</v>
      </c>
      <c r="BZ61" s="136"/>
      <c r="CA61" s="136"/>
      <c r="CB61" s="136"/>
      <c r="CC61" s="136"/>
      <c r="CD61" s="136"/>
      <c r="CE61" s="136"/>
      <c r="CF61" s="136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DA61" s="379">
        <v>11</v>
      </c>
    </row>
    <row r="62" spans="1:105" ht="20.25" customHeight="1" x14ac:dyDescent="0.35">
      <c r="A62" s="95" t="s">
        <v>2084</v>
      </c>
      <c r="B62" s="200" t="s">
        <v>1482</v>
      </c>
      <c r="C62" s="200" t="s">
        <v>277</v>
      </c>
      <c r="D62" s="239" t="s">
        <v>1101</v>
      </c>
      <c r="E62" s="95" t="s">
        <v>1972</v>
      </c>
      <c r="F62" s="95" t="s">
        <v>1222</v>
      </c>
      <c r="G62" s="95" t="s">
        <v>42</v>
      </c>
      <c r="H62" s="237">
        <v>6</v>
      </c>
      <c r="I62" s="240">
        <v>6</v>
      </c>
      <c r="J62" s="4">
        <v>6</v>
      </c>
      <c r="K62" s="4"/>
      <c r="L62" s="4">
        <v>6.5</v>
      </c>
      <c r="M62" s="4">
        <v>6.5</v>
      </c>
      <c r="N62" s="240">
        <v>6</v>
      </c>
      <c r="O62" s="4">
        <v>6.5</v>
      </c>
      <c r="P62" s="240">
        <v>6.5</v>
      </c>
      <c r="Q62" s="4">
        <v>6.5</v>
      </c>
      <c r="R62" s="4">
        <v>6</v>
      </c>
      <c r="S62" s="4">
        <v>7</v>
      </c>
      <c r="T62" s="4"/>
      <c r="U62" s="4"/>
      <c r="V62" s="238">
        <v>6</v>
      </c>
      <c r="W62" s="4"/>
      <c r="X62" s="4"/>
      <c r="Y62" s="4"/>
      <c r="Z62" s="4"/>
      <c r="AA62" s="4"/>
      <c r="AB62" s="4">
        <v>6.5</v>
      </c>
      <c r="AC62" s="4">
        <v>6</v>
      </c>
      <c r="AD62" s="4"/>
      <c r="AE62" s="4"/>
      <c r="AF62" s="4"/>
      <c r="AG62" s="4"/>
      <c r="AH62" s="4"/>
      <c r="AI62" s="4"/>
      <c r="AJ62" s="4"/>
      <c r="AK62" s="1"/>
      <c r="AL62" s="1"/>
      <c r="AM62" s="1">
        <v>6.5</v>
      </c>
      <c r="AN62" s="1"/>
      <c r="AO62" s="4">
        <v>6</v>
      </c>
      <c r="AP62" s="4">
        <v>6</v>
      </c>
      <c r="AQ62" s="4">
        <v>6</v>
      </c>
      <c r="AR62" s="4">
        <v>6</v>
      </c>
      <c r="AS62" s="4"/>
      <c r="AT62" s="4">
        <v>6</v>
      </c>
      <c r="AU62" s="4">
        <v>6</v>
      </c>
      <c r="AV62" s="4">
        <v>6</v>
      </c>
      <c r="AW62" s="4">
        <v>6</v>
      </c>
      <c r="AX62" s="4">
        <v>6</v>
      </c>
      <c r="AY62" s="4">
        <v>6</v>
      </c>
      <c r="AZ62" s="4">
        <v>6</v>
      </c>
      <c r="BA62" s="4">
        <v>6</v>
      </c>
      <c r="BB62" s="4"/>
      <c r="BC62" s="4">
        <v>6</v>
      </c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4">
        <f>J62</f>
        <v>6</v>
      </c>
      <c r="BY62" s="136"/>
      <c r="BZ62" s="136"/>
      <c r="CA62" s="136"/>
      <c r="CB62" s="136"/>
      <c r="CC62" s="136"/>
      <c r="CD62" s="136"/>
      <c r="CE62" s="136"/>
      <c r="CF62" s="136">
        <v>6.5</v>
      </c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DA62" s="379">
        <f>220/44</f>
        <v>5</v>
      </c>
    </row>
    <row r="63" spans="1:105" ht="20.25" customHeight="1" x14ac:dyDescent="0.35">
      <c r="A63" s="95" t="s">
        <v>2083</v>
      </c>
      <c r="B63" s="200" t="s">
        <v>1483</v>
      </c>
      <c r="C63" s="200" t="s">
        <v>276</v>
      </c>
      <c r="D63" s="239" t="s">
        <v>1101</v>
      </c>
      <c r="E63" s="95" t="s">
        <v>1972</v>
      </c>
      <c r="F63" s="95" t="s">
        <v>1222</v>
      </c>
      <c r="G63" s="95" t="s">
        <v>42</v>
      </c>
      <c r="H63" s="237">
        <v>6</v>
      </c>
      <c r="I63" s="240">
        <v>6</v>
      </c>
      <c r="J63" s="4">
        <v>0</v>
      </c>
      <c r="K63" s="4"/>
      <c r="L63" s="4"/>
      <c r="M63" s="4"/>
      <c r="N63" s="108"/>
      <c r="O63" s="4">
        <v>6</v>
      </c>
      <c r="P63" s="240">
        <v>6</v>
      </c>
      <c r="Q63" s="4">
        <v>6</v>
      </c>
      <c r="R63" s="4">
        <v>6</v>
      </c>
      <c r="S63" s="4"/>
      <c r="T63" s="4"/>
      <c r="U63" s="4">
        <v>6</v>
      </c>
      <c r="V63" s="238">
        <v>6</v>
      </c>
      <c r="W63" s="4"/>
      <c r="X63" s="4"/>
      <c r="Y63" s="4"/>
      <c r="Z63" s="4"/>
      <c r="AA63" s="4"/>
      <c r="AB63" s="4"/>
      <c r="AC63" s="4">
        <v>6</v>
      </c>
      <c r="AD63" s="4"/>
      <c r="AE63" s="4"/>
      <c r="AF63" s="4"/>
      <c r="AG63" s="4"/>
      <c r="AH63" s="4"/>
      <c r="AI63" s="4"/>
      <c r="AJ63" s="4"/>
      <c r="AK63" s="1"/>
      <c r="AL63" s="1"/>
      <c r="AM63" s="1"/>
      <c r="AN63" s="1"/>
      <c r="AO63" s="1"/>
      <c r="AP63" s="4">
        <v>0</v>
      </c>
      <c r="AQ63" s="4">
        <v>0</v>
      </c>
      <c r="AR63" s="4">
        <v>0</v>
      </c>
      <c r="AS63" s="4"/>
      <c r="AT63" s="4">
        <v>0</v>
      </c>
      <c r="AU63" s="4">
        <v>0</v>
      </c>
      <c r="AV63" s="4">
        <v>0</v>
      </c>
      <c r="AW63" s="4">
        <v>0</v>
      </c>
      <c r="AX63" s="4">
        <v>0</v>
      </c>
      <c r="AY63" s="4">
        <v>0</v>
      </c>
      <c r="AZ63" s="4">
        <v>0</v>
      </c>
      <c r="BA63" s="4">
        <v>0</v>
      </c>
      <c r="BB63" s="4"/>
      <c r="BC63" s="4">
        <v>0</v>
      </c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4"/>
      <c r="BY63" s="136"/>
      <c r="BZ63" s="136"/>
      <c r="CA63" s="136"/>
      <c r="CB63" s="136"/>
      <c r="CC63" s="136"/>
      <c r="CD63" s="136"/>
      <c r="CE63" s="136"/>
      <c r="CF63" s="136">
        <v>6</v>
      </c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DA63" s="379">
        <v>4</v>
      </c>
    </row>
    <row r="64" spans="1:105" ht="20.25" customHeight="1" x14ac:dyDescent="0.35">
      <c r="A64" s="95"/>
      <c r="B64" s="200" t="s">
        <v>1484</v>
      </c>
      <c r="C64" s="200" t="s">
        <v>278</v>
      </c>
      <c r="D64" s="95" t="s">
        <v>846</v>
      </c>
      <c r="E64" s="95" t="s">
        <v>36</v>
      </c>
      <c r="F64" s="95" t="s">
        <v>1222</v>
      </c>
      <c r="G64" s="95" t="s">
        <v>42</v>
      </c>
      <c r="H64" s="248">
        <v>6</v>
      </c>
      <c r="I64" s="4">
        <v>0</v>
      </c>
      <c r="J64" s="4"/>
      <c r="K64" s="4"/>
      <c r="L64" s="4"/>
      <c r="M64" s="4"/>
      <c r="N64" s="108"/>
      <c r="O64" s="4"/>
      <c r="P64" s="240">
        <v>7</v>
      </c>
      <c r="Q64" s="4"/>
      <c r="R64" s="4"/>
      <c r="S64" s="4"/>
      <c r="T64" s="4"/>
      <c r="U64" s="4"/>
      <c r="V64" s="238"/>
      <c r="W64" s="4"/>
      <c r="X64" s="4"/>
      <c r="Y64" s="4"/>
      <c r="Z64" s="4"/>
      <c r="AA64" s="4"/>
      <c r="AB64" s="4">
        <v>7.5</v>
      </c>
      <c r="AC64" s="4">
        <v>7</v>
      </c>
      <c r="AD64" s="4"/>
      <c r="AE64" s="4"/>
      <c r="AF64" s="4">
        <v>7</v>
      </c>
      <c r="AG64" s="4"/>
      <c r="AH64" s="4"/>
      <c r="AI64" s="4"/>
      <c r="AJ64" s="4"/>
      <c r="AK64" s="1"/>
      <c r="AL64" s="1"/>
      <c r="AM64" s="1"/>
      <c r="AN64" s="1"/>
      <c r="AO64" s="1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1"/>
      <c r="BE64" s="1"/>
      <c r="BF64" s="1"/>
      <c r="BG64" s="1"/>
      <c r="BH64" s="1"/>
      <c r="BI64" s="1"/>
      <c r="BJ64" s="1">
        <v>8</v>
      </c>
      <c r="BK64" s="1">
        <v>7</v>
      </c>
      <c r="BL64" s="1"/>
      <c r="BM64" s="1"/>
      <c r="BN64" s="1"/>
      <c r="BO64" s="1"/>
      <c r="BP64" s="1"/>
      <c r="BQ64" s="1"/>
      <c r="BR64" s="1"/>
      <c r="BS64" s="1"/>
      <c r="BT64" s="1"/>
      <c r="BU64" s="1">
        <v>8</v>
      </c>
      <c r="BV64" s="1"/>
      <c r="BW64" s="1"/>
      <c r="BX64" s="4"/>
      <c r="BY64" s="136"/>
      <c r="BZ64" s="136"/>
      <c r="CA64" s="136"/>
      <c r="CB64" s="136"/>
      <c r="CC64" s="136"/>
      <c r="CD64" s="136"/>
      <c r="CE64" s="136"/>
      <c r="CF64" s="136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DA64" s="379">
        <v>6</v>
      </c>
    </row>
    <row r="65" spans="1:105" ht="20.25" customHeight="1" x14ac:dyDescent="0.35">
      <c r="A65" s="95" t="s">
        <v>2082</v>
      </c>
      <c r="B65" s="200" t="s">
        <v>1485</v>
      </c>
      <c r="C65" s="200" t="s">
        <v>1351</v>
      </c>
      <c r="D65" s="95" t="s">
        <v>846</v>
      </c>
      <c r="E65" s="95" t="s">
        <v>2089</v>
      </c>
      <c r="F65" s="95" t="s">
        <v>1222</v>
      </c>
      <c r="G65" s="95" t="s">
        <v>42</v>
      </c>
      <c r="H65" s="237">
        <v>5</v>
      </c>
      <c r="I65" s="4"/>
      <c r="J65" s="4"/>
      <c r="K65" s="4"/>
      <c r="L65" s="4"/>
      <c r="M65" s="4"/>
      <c r="N65" s="108"/>
      <c r="O65" s="4"/>
      <c r="P65" s="4"/>
      <c r="Q65" s="4"/>
      <c r="R65" s="4"/>
      <c r="S65" s="4"/>
      <c r="T65" s="4"/>
      <c r="U65" s="4"/>
      <c r="V65" s="238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1"/>
      <c r="AL65" s="1"/>
      <c r="AM65" s="1"/>
      <c r="AN65" s="1"/>
      <c r="AO65" s="1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>
        <v>8</v>
      </c>
      <c r="BU65" s="1">
        <v>8</v>
      </c>
      <c r="BV65" s="1"/>
      <c r="BW65" s="1"/>
      <c r="BX65" s="4"/>
      <c r="BY65" s="136"/>
      <c r="BZ65" s="136"/>
      <c r="CA65" s="136"/>
      <c r="CB65" s="136"/>
      <c r="CC65" s="136"/>
      <c r="CD65" s="136"/>
      <c r="CE65" s="136"/>
      <c r="CF65" s="136">
        <v>7</v>
      </c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DA65" s="379">
        <v>5</v>
      </c>
    </row>
    <row r="66" spans="1:105" ht="20.25" customHeight="1" x14ac:dyDescent="0.35">
      <c r="A66" s="95"/>
      <c r="B66" s="200" t="s">
        <v>1486</v>
      </c>
      <c r="C66" s="200" t="s">
        <v>1175</v>
      </c>
      <c r="D66" s="239" t="s">
        <v>1177</v>
      </c>
      <c r="E66" s="95" t="s">
        <v>36</v>
      </c>
      <c r="F66" s="95" t="s">
        <v>1489</v>
      </c>
      <c r="G66" s="95" t="s">
        <v>42</v>
      </c>
      <c r="H66" s="237">
        <f>AVERAGE(I66:BC66)</f>
        <v>22</v>
      </c>
      <c r="I66" s="240"/>
      <c r="J66" s="192">
        <v>23</v>
      </c>
      <c r="K66" s="4"/>
      <c r="L66" s="4"/>
      <c r="M66" s="4"/>
      <c r="N66" s="108"/>
      <c r="O66" s="4"/>
      <c r="P66" s="4"/>
      <c r="Q66" s="4"/>
      <c r="R66" s="4"/>
      <c r="S66" s="4"/>
      <c r="T66" s="4"/>
      <c r="U66" s="4"/>
      <c r="V66" s="238"/>
      <c r="W66" s="4"/>
      <c r="X66" s="4"/>
      <c r="Y66" s="4"/>
      <c r="Z66" s="4">
        <v>21</v>
      </c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1"/>
      <c r="AL66" s="1"/>
      <c r="AM66" s="1"/>
      <c r="AN66" s="1"/>
      <c r="AO66" s="1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>
        <v>21</v>
      </c>
      <c r="BV66" s="1"/>
      <c r="BW66" s="1"/>
      <c r="BX66" s="4"/>
      <c r="BY66" s="136"/>
      <c r="BZ66" s="136"/>
      <c r="CA66" s="136"/>
      <c r="CB66" s="136"/>
      <c r="CC66" s="136"/>
      <c r="CD66" s="136"/>
      <c r="CE66" s="136"/>
      <c r="CF66" s="136"/>
      <c r="CG66" s="71" t="s">
        <v>1895</v>
      </c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DA66" s="379">
        <v>15.8</v>
      </c>
    </row>
    <row r="67" spans="1:105" ht="20.25" customHeight="1" x14ac:dyDescent="0.35">
      <c r="A67" s="95"/>
      <c r="B67" s="200" t="s">
        <v>1491</v>
      </c>
      <c r="C67" s="200" t="s">
        <v>1175</v>
      </c>
      <c r="D67" s="239" t="s">
        <v>1177</v>
      </c>
      <c r="E67" s="95" t="s">
        <v>36</v>
      </c>
      <c r="F67" s="95" t="s">
        <v>1222</v>
      </c>
      <c r="G67" s="95" t="s">
        <v>42</v>
      </c>
      <c r="H67" s="237"/>
      <c r="I67" s="240">
        <v>6.5</v>
      </c>
      <c r="J67" s="4"/>
      <c r="K67" s="4"/>
      <c r="L67" s="4"/>
      <c r="M67" s="4"/>
      <c r="N67" s="108"/>
      <c r="O67" s="4"/>
      <c r="P67" s="4"/>
      <c r="Q67" s="4"/>
      <c r="R67" s="4"/>
      <c r="S67" s="4"/>
      <c r="T67" s="4"/>
      <c r="U67" s="4">
        <v>7</v>
      </c>
      <c r="V67" s="238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1"/>
      <c r="AL67" s="1"/>
      <c r="AM67" s="1"/>
      <c r="AN67" s="1"/>
      <c r="AO67" s="1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1"/>
      <c r="BE67" s="1"/>
      <c r="BF67" s="1"/>
      <c r="BG67" s="1"/>
      <c r="BH67" s="1"/>
      <c r="BI67" s="1"/>
      <c r="BJ67" s="1">
        <v>7</v>
      </c>
      <c r="BK67" s="1"/>
      <c r="BL67" s="1"/>
      <c r="BM67" s="1"/>
      <c r="BN67" s="1"/>
      <c r="BO67" s="1"/>
      <c r="BP67" s="1"/>
      <c r="BQ67" s="1"/>
      <c r="BR67" s="1"/>
      <c r="BS67" s="1"/>
      <c r="BT67" s="1">
        <v>7</v>
      </c>
      <c r="BU67" s="1"/>
      <c r="BV67" s="1"/>
      <c r="BW67" s="1"/>
      <c r="BX67" s="4"/>
      <c r="BY67" s="136"/>
      <c r="BZ67" s="136"/>
      <c r="CA67" s="136"/>
      <c r="CB67" s="136"/>
      <c r="CC67" s="136"/>
      <c r="CD67" s="136"/>
      <c r="CE67" s="136"/>
      <c r="CF67" s="136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DA67" s="379"/>
    </row>
    <row r="68" spans="1:105" ht="20.25" customHeight="1" x14ac:dyDescent="0.35">
      <c r="A68" s="95"/>
      <c r="B68" s="200" t="s">
        <v>1487</v>
      </c>
      <c r="C68" s="200" t="s">
        <v>1176</v>
      </c>
      <c r="D68" s="239" t="s">
        <v>1177</v>
      </c>
      <c r="E68" s="95" t="s">
        <v>36</v>
      </c>
      <c r="F68" s="95" t="s">
        <v>1489</v>
      </c>
      <c r="G68" s="95" t="s">
        <v>42</v>
      </c>
      <c r="H68" s="237">
        <f>AVERAGE(I68:BC68)</f>
        <v>23</v>
      </c>
      <c r="I68" s="240"/>
      <c r="J68" s="192">
        <v>23</v>
      </c>
      <c r="K68" s="4"/>
      <c r="L68" s="4"/>
      <c r="M68" s="4"/>
      <c r="N68" s="108"/>
      <c r="O68" s="4"/>
      <c r="P68" s="4"/>
      <c r="Q68" s="4"/>
      <c r="R68" s="4"/>
      <c r="S68" s="4"/>
      <c r="T68" s="4"/>
      <c r="U68" s="4"/>
      <c r="V68" s="238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1"/>
      <c r="AL68" s="1"/>
      <c r="AM68" s="1"/>
      <c r="AN68" s="1"/>
      <c r="AO68" s="1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4"/>
      <c r="BY68" s="136"/>
      <c r="BZ68" s="136"/>
      <c r="CA68" s="136"/>
      <c r="CB68" s="136"/>
      <c r="CC68" s="136"/>
      <c r="CD68" s="136"/>
      <c r="CE68" s="136"/>
      <c r="CF68" s="136"/>
      <c r="CG68" s="71" t="s">
        <v>1895</v>
      </c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DA68" s="379"/>
    </row>
    <row r="69" spans="1:105" ht="20.25" customHeight="1" x14ac:dyDescent="0.35">
      <c r="A69" s="95"/>
      <c r="B69" s="200" t="s">
        <v>1492</v>
      </c>
      <c r="C69" s="200" t="s">
        <v>1176</v>
      </c>
      <c r="D69" s="239" t="s">
        <v>1177</v>
      </c>
      <c r="E69" s="95" t="s">
        <v>36</v>
      </c>
      <c r="F69" s="95" t="s">
        <v>1222</v>
      </c>
      <c r="G69" s="95" t="s">
        <v>42</v>
      </c>
      <c r="H69" s="237"/>
      <c r="I69" s="240">
        <v>6.5</v>
      </c>
      <c r="J69" s="4"/>
      <c r="K69" s="4"/>
      <c r="L69" s="4"/>
      <c r="M69" s="4"/>
      <c r="N69" s="108"/>
      <c r="O69" s="4"/>
      <c r="P69" s="4"/>
      <c r="Q69" s="4"/>
      <c r="R69" s="4"/>
      <c r="S69" s="4"/>
      <c r="T69" s="4"/>
      <c r="U69" s="4"/>
      <c r="V69" s="238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1"/>
      <c r="AL69" s="1"/>
      <c r="AM69" s="1"/>
      <c r="AN69" s="1"/>
      <c r="AO69" s="1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1"/>
      <c r="BE69" s="1"/>
      <c r="BF69" s="1"/>
      <c r="BG69" s="1"/>
      <c r="BH69" s="1"/>
      <c r="BI69" s="1"/>
      <c r="BJ69" s="1">
        <v>7</v>
      </c>
      <c r="BK69" s="1"/>
      <c r="BL69" s="1"/>
      <c r="BM69" s="1"/>
      <c r="BN69" s="1"/>
      <c r="BO69" s="1"/>
      <c r="BP69" s="1"/>
      <c r="BQ69" s="1"/>
      <c r="BR69" s="1"/>
      <c r="BS69" s="1"/>
      <c r="BT69" s="1">
        <v>7</v>
      </c>
      <c r="BU69" s="1"/>
      <c r="BV69" s="1"/>
      <c r="BW69" s="1"/>
      <c r="BX69" s="4"/>
      <c r="BY69" s="136"/>
      <c r="BZ69" s="136"/>
      <c r="CA69" s="136"/>
      <c r="CB69" s="136"/>
      <c r="CC69" s="136"/>
      <c r="CD69" s="136"/>
      <c r="CE69" s="136"/>
      <c r="CF69" s="136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DA69" s="379"/>
    </row>
    <row r="70" spans="1:105" ht="20.25" customHeight="1" x14ac:dyDescent="0.35">
      <c r="A70" s="95"/>
      <c r="B70" s="200" t="s">
        <v>1488</v>
      </c>
      <c r="C70" s="200" t="s">
        <v>1178</v>
      </c>
      <c r="D70" s="239" t="s">
        <v>1177</v>
      </c>
      <c r="E70" s="95" t="s">
        <v>36</v>
      </c>
      <c r="F70" s="95" t="s">
        <v>1489</v>
      </c>
      <c r="G70" s="95" t="s">
        <v>42</v>
      </c>
      <c r="H70" s="237"/>
      <c r="I70" s="240"/>
      <c r="J70" s="192">
        <v>23</v>
      </c>
      <c r="K70" s="4"/>
      <c r="L70" s="4"/>
      <c r="M70" s="4"/>
      <c r="N70" s="108"/>
      <c r="O70" s="4"/>
      <c r="P70" s="4"/>
      <c r="Q70" s="4"/>
      <c r="R70" s="4"/>
      <c r="S70" s="4"/>
      <c r="T70" s="4"/>
      <c r="U70" s="4"/>
      <c r="V70" s="238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1"/>
      <c r="AL70" s="1"/>
      <c r="AM70" s="1"/>
      <c r="AN70" s="1"/>
      <c r="AO70" s="1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>
        <v>21</v>
      </c>
      <c r="BV70" s="1"/>
      <c r="BW70" s="1"/>
      <c r="BX70" s="4"/>
      <c r="BY70" s="136"/>
      <c r="BZ70" s="136"/>
      <c r="CA70" s="136"/>
      <c r="CB70" s="136"/>
      <c r="CC70" s="136"/>
      <c r="CD70" s="136"/>
      <c r="CE70" s="136"/>
      <c r="CF70" s="136"/>
      <c r="CG70" s="71" t="s">
        <v>1895</v>
      </c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DA70" s="379">
        <v>15.8</v>
      </c>
    </row>
    <row r="71" spans="1:105" ht="20.25" customHeight="1" x14ac:dyDescent="0.35">
      <c r="A71" s="95"/>
      <c r="B71" s="200" t="s">
        <v>1490</v>
      </c>
      <c r="C71" s="200" t="s">
        <v>1178</v>
      </c>
      <c r="D71" s="239" t="s">
        <v>1177</v>
      </c>
      <c r="E71" s="95" t="s">
        <v>36</v>
      </c>
      <c r="F71" s="95" t="s">
        <v>1222</v>
      </c>
      <c r="G71" s="95" t="s">
        <v>42</v>
      </c>
      <c r="H71" s="237"/>
      <c r="I71" s="240">
        <v>6.5</v>
      </c>
      <c r="J71" s="4"/>
      <c r="K71" s="4"/>
      <c r="L71" s="4"/>
      <c r="M71" s="4"/>
      <c r="N71" s="108"/>
      <c r="O71" s="4"/>
      <c r="P71" s="4"/>
      <c r="Q71" s="4"/>
      <c r="R71" s="4"/>
      <c r="S71" s="4"/>
      <c r="T71" s="4"/>
      <c r="U71" s="4"/>
      <c r="V71" s="238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1"/>
      <c r="AL71" s="1"/>
      <c r="AM71" s="1"/>
      <c r="AN71" s="1"/>
      <c r="AO71" s="1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>
        <v>7</v>
      </c>
      <c r="BU71" s="1"/>
      <c r="BV71" s="1"/>
      <c r="BW71" s="1"/>
      <c r="BX71" s="4"/>
      <c r="BY71" s="136"/>
      <c r="BZ71" s="136"/>
      <c r="CA71" s="136"/>
      <c r="CB71" s="136"/>
      <c r="CC71" s="136"/>
      <c r="CD71" s="136"/>
      <c r="CE71" s="136"/>
      <c r="CF71" s="136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DA71" s="379"/>
    </row>
    <row r="72" spans="1:105" ht="20.25" customHeight="1" x14ac:dyDescent="0.35">
      <c r="A72" s="95"/>
      <c r="B72" s="307" t="s">
        <v>1892</v>
      </c>
      <c r="C72" s="307" t="s">
        <v>2288</v>
      </c>
      <c r="D72" s="95" t="s">
        <v>1177</v>
      </c>
      <c r="E72" s="95" t="s">
        <v>36</v>
      </c>
      <c r="F72" s="95" t="s">
        <v>34</v>
      </c>
      <c r="G72" s="95" t="s">
        <v>40</v>
      </c>
      <c r="H72" s="308">
        <v>5.4</v>
      </c>
      <c r="I72" s="240">
        <v>7</v>
      </c>
      <c r="J72" s="192">
        <v>8</v>
      </c>
      <c r="K72" s="4"/>
      <c r="L72" s="4"/>
      <c r="M72" s="4"/>
      <c r="N72" s="108"/>
      <c r="O72" s="4"/>
      <c r="P72" s="4"/>
      <c r="Q72" s="4"/>
      <c r="R72" s="4"/>
      <c r="S72" s="4"/>
      <c r="T72" s="4">
        <v>7</v>
      </c>
      <c r="U72" s="4"/>
      <c r="V72" s="238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1"/>
      <c r="AL72" s="1"/>
      <c r="AM72" s="1"/>
      <c r="AN72" s="1"/>
      <c r="AO72" s="1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4">
        <v>7.5</v>
      </c>
      <c r="BV72" s="1"/>
      <c r="BW72" s="1"/>
      <c r="BX72" s="4"/>
      <c r="BY72" s="136"/>
      <c r="BZ72" s="136">
        <v>7.5</v>
      </c>
      <c r="CA72" s="136"/>
      <c r="CB72" s="136"/>
      <c r="CC72" s="136"/>
      <c r="CD72" s="136"/>
      <c r="CE72" s="136"/>
      <c r="CF72" s="136"/>
      <c r="CG72" s="71" t="s">
        <v>1895</v>
      </c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DA72" s="379">
        <v>5</v>
      </c>
    </row>
    <row r="73" spans="1:105" ht="20.25" customHeight="1" x14ac:dyDescent="0.35">
      <c r="A73" s="95"/>
      <c r="B73" s="307" t="s">
        <v>1893</v>
      </c>
      <c r="C73" s="307" t="s">
        <v>2289</v>
      </c>
      <c r="D73" s="95" t="s">
        <v>1177</v>
      </c>
      <c r="E73" s="95" t="s">
        <v>36</v>
      </c>
      <c r="F73" s="95" t="s">
        <v>34</v>
      </c>
      <c r="G73" s="95" t="s">
        <v>40</v>
      </c>
      <c r="H73" s="308">
        <v>5.4</v>
      </c>
      <c r="I73" s="385">
        <v>0</v>
      </c>
      <c r="J73" s="192">
        <v>8</v>
      </c>
      <c r="K73" s="4"/>
      <c r="L73" s="4"/>
      <c r="M73" s="4"/>
      <c r="N73" s="108"/>
      <c r="O73" s="4"/>
      <c r="P73" s="4"/>
      <c r="Q73" s="4"/>
      <c r="R73" s="4"/>
      <c r="S73" s="4"/>
      <c r="T73" s="4"/>
      <c r="U73" s="4"/>
      <c r="V73" s="238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1"/>
      <c r="AL73" s="1"/>
      <c r="AM73" s="1"/>
      <c r="AN73" s="1"/>
      <c r="AO73" s="1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4"/>
      <c r="BY73" s="136"/>
      <c r="BZ73" s="136">
        <v>7.5</v>
      </c>
      <c r="CA73" s="136"/>
      <c r="CB73" s="136"/>
      <c r="CC73" s="136"/>
      <c r="CD73" s="136"/>
      <c r="CE73" s="136"/>
      <c r="CF73" s="136"/>
      <c r="CG73" s="71" t="s">
        <v>1895</v>
      </c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DA73" s="379">
        <v>5.5</v>
      </c>
    </row>
    <row r="74" spans="1:105" ht="20.25" customHeight="1" x14ac:dyDescent="0.35">
      <c r="A74" s="95"/>
      <c r="B74" s="200" t="s">
        <v>1493</v>
      </c>
      <c r="C74" s="200" t="s">
        <v>1240</v>
      </c>
      <c r="D74" s="239" t="s">
        <v>1229</v>
      </c>
      <c r="E74" s="95" t="s">
        <v>36</v>
      </c>
      <c r="F74" s="95" t="s">
        <v>1496</v>
      </c>
      <c r="G74" s="95" t="s">
        <v>35</v>
      </c>
      <c r="H74" s="304">
        <v>93</v>
      </c>
      <c r="I74" s="240"/>
      <c r="J74" s="4"/>
      <c r="K74" s="4"/>
      <c r="L74" s="4"/>
      <c r="M74" s="4"/>
      <c r="N74" s="240">
        <v>118</v>
      </c>
      <c r="O74" s="4"/>
      <c r="P74" s="4"/>
      <c r="Q74" s="4"/>
      <c r="R74" s="4"/>
      <c r="S74" s="4"/>
      <c r="T74" s="4"/>
      <c r="U74" s="4"/>
      <c r="V74" s="238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1"/>
      <c r="AL74" s="1"/>
      <c r="AM74" s="1"/>
      <c r="AN74" s="1"/>
      <c r="AO74" s="1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4"/>
      <c r="BY74" s="136"/>
      <c r="BZ74" s="136"/>
      <c r="CA74" s="136"/>
      <c r="CB74" s="136"/>
      <c r="CC74" s="136"/>
      <c r="CD74" s="136"/>
      <c r="CE74" s="136"/>
      <c r="CF74" s="136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DA74" s="379"/>
    </row>
    <row r="75" spans="1:105" ht="20.25" customHeight="1" x14ac:dyDescent="0.35">
      <c r="A75" s="95"/>
      <c r="B75" s="200" t="s">
        <v>1494</v>
      </c>
      <c r="C75" s="200" t="s">
        <v>1240</v>
      </c>
      <c r="D75" s="239" t="s">
        <v>1229</v>
      </c>
      <c r="E75" s="95" t="s">
        <v>36</v>
      </c>
      <c r="F75" s="95" t="s">
        <v>2276</v>
      </c>
      <c r="G75" s="95" t="s">
        <v>242</v>
      </c>
      <c r="H75" s="304">
        <f>H74/10*2</f>
        <v>18.600000000000001</v>
      </c>
      <c r="I75" s="240">
        <v>24</v>
      </c>
      <c r="J75" s="4"/>
      <c r="K75" s="4"/>
      <c r="L75" s="4">
        <v>0</v>
      </c>
      <c r="M75" s="4"/>
      <c r="N75" s="108"/>
      <c r="O75" s="241">
        <v>26</v>
      </c>
      <c r="P75" s="240">
        <v>26</v>
      </c>
      <c r="Q75" s="241">
        <v>26</v>
      </c>
      <c r="R75" s="4"/>
      <c r="S75" s="4"/>
      <c r="T75" s="241"/>
      <c r="U75" s="4"/>
      <c r="V75" s="4"/>
      <c r="W75" s="4"/>
      <c r="X75" s="4"/>
      <c r="Y75" s="4"/>
      <c r="Z75" s="241">
        <v>26</v>
      </c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1"/>
      <c r="AL75" s="1"/>
      <c r="AM75" s="1"/>
      <c r="AN75" s="1"/>
      <c r="AO75" s="1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1"/>
      <c r="BE75" s="1"/>
      <c r="BF75" s="1"/>
      <c r="BG75" s="1"/>
      <c r="BH75" s="1"/>
      <c r="BI75" s="1"/>
      <c r="BJ75" s="1"/>
      <c r="BK75" s="1"/>
      <c r="BL75" s="1"/>
      <c r="BM75" s="1">
        <v>26</v>
      </c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4"/>
      <c r="BY75" s="136"/>
      <c r="BZ75" s="136">
        <v>26</v>
      </c>
      <c r="CA75" s="136"/>
      <c r="CB75" s="136"/>
      <c r="CC75" s="136"/>
      <c r="CD75" s="136"/>
      <c r="CE75" s="136"/>
      <c r="CF75" s="136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DA75" s="379">
        <f>93/10*2</f>
        <v>18.600000000000001</v>
      </c>
    </row>
    <row r="76" spans="1:105" ht="20.25" customHeight="1" x14ac:dyDescent="0.35">
      <c r="A76" s="95"/>
      <c r="B76" s="200" t="s">
        <v>1495</v>
      </c>
      <c r="C76" s="200" t="s">
        <v>1240</v>
      </c>
      <c r="D76" s="239" t="s">
        <v>1229</v>
      </c>
      <c r="E76" s="95" t="s">
        <v>36</v>
      </c>
      <c r="F76" s="95" t="s">
        <v>2275</v>
      </c>
      <c r="G76" s="95" t="s">
        <v>242</v>
      </c>
      <c r="H76" s="304">
        <f>H75/4</f>
        <v>4.6500000000000004</v>
      </c>
      <c r="I76" s="240">
        <v>6</v>
      </c>
      <c r="J76" s="4"/>
      <c r="K76" s="4"/>
      <c r="L76" s="4"/>
      <c r="M76" s="4"/>
      <c r="N76" s="108"/>
      <c r="O76" s="241"/>
      <c r="P76" s="4"/>
      <c r="Q76" s="241"/>
      <c r="R76" s="4"/>
      <c r="S76" s="4"/>
      <c r="T76" s="241"/>
      <c r="U76" s="4"/>
      <c r="V76" s="4"/>
      <c r="W76" s="4"/>
      <c r="X76" s="4"/>
      <c r="Y76" s="4"/>
      <c r="Z76" s="241"/>
      <c r="AA76" s="4"/>
      <c r="AB76" s="4"/>
      <c r="AC76" s="4">
        <v>6.5</v>
      </c>
      <c r="AD76" s="4"/>
      <c r="AE76" s="4"/>
      <c r="AF76" s="4"/>
      <c r="AG76" s="4"/>
      <c r="AH76" s="4"/>
      <c r="AI76" s="4"/>
      <c r="AJ76" s="4"/>
      <c r="AK76" s="1"/>
      <c r="AL76" s="1"/>
      <c r="AM76" s="1"/>
      <c r="AN76" s="1"/>
      <c r="AO76" s="1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>
        <v>7</v>
      </c>
      <c r="BP76" s="1"/>
      <c r="BQ76" s="1"/>
      <c r="BR76" s="1"/>
      <c r="BS76" s="1"/>
      <c r="BT76" s="1"/>
      <c r="BU76" s="1"/>
      <c r="BV76" s="1"/>
      <c r="BW76" s="1"/>
      <c r="BX76" s="4"/>
      <c r="BY76" s="136"/>
      <c r="BZ76" s="136"/>
      <c r="CA76" s="136"/>
      <c r="CB76" s="136"/>
      <c r="CC76" s="136"/>
      <c r="CD76" s="136"/>
      <c r="CE76" s="136"/>
      <c r="CF76" s="136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DA76" s="379"/>
    </row>
    <row r="77" spans="1:105" ht="20.25" customHeight="1" x14ac:dyDescent="0.35">
      <c r="A77" s="95"/>
      <c r="B77" s="200" t="s">
        <v>1497</v>
      </c>
      <c r="C77" s="200" t="s">
        <v>1861</v>
      </c>
      <c r="D77" s="200"/>
      <c r="E77" s="95" t="s">
        <v>537</v>
      </c>
      <c r="F77" s="95" t="s">
        <v>34</v>
      </c>
      <c r="G77" s="95" t="s">
        <v>42</v>
      </c>
      <c r="H77" s="237">
        <v>35</v>
      </c>
      <c r="I77" s="4">
        <v>0</v>
      </c>
      <c r="J77" s="4"/>
      <c r="K77" s="4"/>
      <c r="L77" s="4">
        <v>0</v>
      </c>
      <c r="M77" s="4"/>
      <c r="N77" s="240">
        <v>35</v>
      </c>
      <c r="O77" s="4"/>
      <c r="P77" s="4"/>
      <c r="Q77" s="4"/>
      <c r="R77" s="4"/>
      <c r="S77" s="4"/>
      <c r="T77" s="4"/>
      <c r="U77" s="4"/>
      <c r="V77" s="238"/>
      <c r="W77" s="4"/>
      <c r="X77" s="4"/>
      <c r="Y77" s="4"/>
      <c r="Z77" s="4"/>
      <c r="AA77" s="4"/>
      <c r="AB77" s="4">
        <v>35</v>
      </c>
      <c r="AC77" s="4"/>
      <c r="AD77" s="4"/>
      <c r="AE77" s="4"/>
      <c r="AF77" s="4"/>
      <c r="AG77" s="4"/>
      <c r="AH77" s="4"/>
      <c r="AI77" s="4"/>
      <c r="AJ77" s="4"/>
      <c r="AK77" s="1"/>
      <c r="AL77" s="1"/>
      <c r="AM77" s="1"/>
      <c r="AN77" s="1"/>
      <c r="AO77" s="1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1"/>
      <c r="BE77" s="1"/>
      <c r="BF77" s="1"/>
      <c r="BG77" s="1">
        <v>40</v>
      </c>
      <c r="BH77" s="1"/>
      <c r="BI77" s="1"/>
      <c r="BJ77" s="1"/>
      <c r="BK77" s="1"/>
      <c r="BL77" s="1">
        <v>38</v>
      </c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4"/>
      <c r="BY77" s="136"/>
      <c r="BZ77" s="136"/>
      <c r="CA77" s="136"/>
      <c r="CB77" s="136"/>
      <c r="CC77" s="136"/>
      <c r="CD77" s="136"/>
      <c r="CE77" s="136"/>
      <c r="CF77" s="136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DA77" s="379">
        <v>25</v>
      </c>
    </row>
    <row r="78" spans="1:105" ht="20.25" customHeight="1" x14ac:dyDescent="0.35">
      <c r="A78" s="95" t="s">
        <v>117</v>
      </c>
      <c r="B78" s="200" t="s">
        <v>1498</v>
      </c>
      <c r="C78" s="200" t="s">
        <v>1861</v>
      </c>
      <c r="D78" s="95" t="s">
        <v>1231</v>
      </c>
      <c r="E78" s="95" t="s">
        <v>537</v>
      </c>
      <c r="F78" s="95" t="s">
        <v>1211</v>
      </c>
      <c r="G78" s="95" t="s">
        <v>42</v>
      </c>
      <c r="H78" s="237">
        <v>25</v>
      </c>
      <c r="I78" s="240">
        <v>30</v>
      </c>
      <c r="J78" s="4">
        <v>28</v>
      </c>
      <c r="K78" s="4"/>
      <c r="L78" s="4">
        <v>0</v>
      </c>
      <c r="M78" s="4"/>
      <c r="N78" s="108"/>
      <c r="O78" s="4">
        <v>25</v>
      </c>
      <c r="P78" s="240">
        <v>25</v>
      </c>
      <c r="Q78" s="4">
        <v>25</v>
      </c>
      <c r="R78" s="4">
        <v>25</v>
      </c>
      <c r="S78" s="4">
        <v>28</v>
      </c>
      <c r="T78" s="4"/>
      <c r="U78" s="4">
        <v>30</v>
      </c>
      <c r="V78" s="238">
        <v>25</v>
      </c>
      <c r="W78" s="4"/>
      <c r="X78" s="4"/>
      <c r="Y78" s="4"/>
      <c r="Z78" s="4">
        <v>25</v>
      </c>
      <c r="AA78" s="4"/>
      <c r="AB78" s="4"/>
      <c r="AC78" s="4">
        <v>25</v>
      </c>
      <c r="AD78" s="4"/>
      <c r="AE78" s="4"/>
      <c r="AF78" s="4"/>
      <c r="AG78" s="4"/>
      <c r="AH78" s="4"/>
      <c r="AI78" s="4"/>
      <c r="AJ78" s="4"/>
      <c r="AK78" s="1"/>
      <c r="AL78" s="1"/>
      <c r="AM78" s="1"/>
      <c r="AN78" s="1"/>
      <c r="AO78" s="4">
        <v>28</v>
      </c>
      <c r="AP78" s="4">
        <v>28</v>
      </c>
      <c r="AQ78" s="4">
        <v>28</v>
      </c>
      <c r="AR78" s="4">
        <v>28</v>
      </c>
      <c r="AS78" s="4"/>
      <c r="AT78" s="4">
        <v>28</v>
      </c>
      <c r="AU78" s="4">
        <v>28</v>
      </c>
      <c r="AV78" s="4">
        <v>28</v>
      </c>
      <c r="AW78" s="4">
        <v>28</v>
      </c>
      <c r="AX78" s="4">
        <v>28</v>
      </c>
      <c r="AY78" s="4">
        <v>28</v>
      </c>
      <c r="AZ78" s="4">
        <v>28</v>
      </c>
      <c r="BA78" s="4">
        <v>28</v>
      </c>
      <c r="BB78" s="4"/>
      <c r="BC78" s="4">
        <v>28</v>
      </c>
      <c r="BD78" s="1"/>
      <c r="BE78" s="1"/>
      <c r="BF78" s="1"/>
      <c r="BG78" s="4">
        <v>28</v>
      </c>
      <c r="BH78" s="1"/>
      <c r="BI78" s="1"/>
      <c r="BJ78" s="1"/>
      <c r="BK78" s="1">
        <v>28</v>
      </c>
      <c r="BL78" s="1"/>
      <c r="BM78" s="1"/>
      <c r="BN78" s="1"/>
      <c r="BO78" s="1"/>
      <c r="BP78" s="1"/>
      <c r="BQ78" s="1"/>
      <c r="BR78" s="1"/>
      <c r="BS78" s="1"/>
      <c r="BT78" s="1"/>
      <c r="BU78" s="1">
        <v>25</v>
      </c>
      <c r="BV78" s="1"/>
      <c r="BW78" s="1"/>
      <c r="BX78" s="4">
        <v>28</v>
      </c>
      <c r="BY78" s="136">
        <v>25</v>
      </c>
      <c r="BZ78" s="136">
        <v>27</v>
      </c>
      <c r="CA78" s="136"/>
      <c r="CB78" s="136"/>
      <c r="CC78" s="136"/>
      <c r="CD78" s="136"/>
      <c r="CE78" s="136"/>
      <c r="CF78" s="136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DA78" s="379">
        <f>DA77/1000*42*10</f>
        <v>10.5</v>
      </c>
    </row>
    <row r="79" spans="1:105" ht="20.25" customHeight="1" x14ac:dyDescent="0.35">
      <c r="A79" s="95"/>
      <c r="B79" s="200" t="s">
        <v>1499</v>
      </c>
      <c r="C79" s="200" t="s">
        <v>1500</v>
      </c>
      <c r="D79" s="239" t="s">
        <v>1231</v>
      </c>
      <c r="E79" s="95" t="s">
        <v>537</v>
      </c>
      <c r="F79" s="95" t="s">
        <v>606</v>
      </c>
      <c r="G79" s="95" t="s">
        <v>42</v>
      </c>
      <c r="H79" s="237">
        <f>AVERAGE(I79:BC79)</f>
        <v>18</v>
      </c>
      <c r="I79" s="4"/>
      <c r="J79" s="4">
        <v>18</v>
      </c>
      <c r="K79" s="4"/>
      <c r="L79" s="4"/>
      <c r="M79" s="4"/>
      <c r="N79" s="108"/>
      <c r="O79" s="4"/>
      <c r="P79" s="240">
        <v>18</v>
      </c>
      <c r="Q79" s="4"/>
      <c r="R79" s="4"/>
      <c r="S79" s="4"/>
      <c r="T79" s="4"/>
      <c r="U79" s="4"/>
      <c r="V79" s="238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1"/>
      <c r="AL79" s="1"/>
      <c r="AM79" s="1"/>
      <c r="AN79" s="1"/>
      <c r="AO79" s="1"/>
      <c r="AP79" s="4">
        <v>18</v>
      </c>
      <c r="AQ79" s="4">
        <v>18</v>
      </c>
      <c r="AR79" s="4">
        <v>18</v>
      </c>
      <c r="AS79" s="4"/>
      <c r="AT79" s="4">
        <v>18</v>
      </c>
      <c r="AU79" s="4"/>
      <c r="AV79" s="4">
        <v>18</v>
      </c>
      <c r="AW79" s="4">
        <v>18</v>
      </c>
      <c r="AX79" s="4">
        <v>18</v>
      </c>
      <c r="AY79" s="4">
        <v>18</v>
      </c>
      <c r="AZ79" s="4">
        <v>18</v>
      </c>
      <c r="BA79" s="4">
        <v>18</v>
      </c>
      <c r="BB79" s="4"/>
      <c r="BC79" s="4">
        <v>18</v>
      </c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4"/>
      <c r="BY79" s="136"/>
      <c r="BZ79" s="136"/>
      <c r="CA79" s="136"/>
      <c r="CB79" s="136"/>
      <c r="CC79" s="136"/>
      <c r="CD79" s="136"/>
      <c r="CE79" s="136"/>
      <c r="CF79" s="136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DA79" s="379">
        <f>DA77/1000*30*10</f>
        <v>7.5</v>
      </c>
    </row>
    <row r="80" spans="1:105" ht="20.25" customHeight="1" x14ac:dyDescent="0.35">
      <c r="A80" s="95"/>
      <c r="B80" s="200" t="s">
        <v>2312</v>
      </c>
      <c r="C80" s="200" t="s">
        <v>2314</v>
      </c>
      <c r="D80" s="95" t="s">
        <v>1231</v>
      </c>
      <c r="E80" s="95" t="s">
        <v>537</v>
      </c>
      <c r="F80" s="95" t="s">
        <v>2313</v>
      </c>
      <c r="G80" s="95" t="s">
        <v>42</v>
      </c>
      <c r="H80" s="237"/>
      <c r="I80" s="4"/>
      <c r="J80" s="4"/>
      <c r="K80" s="4"/>
      <c r="L80" s="4"/>
      <c r="M80" s="4"/>
      <c r="N80" s="108"/>
      <c r="O80" s="4"/>
      <c r="P80" s="240"/>
      <c r="Q80" s="4"/>
      <c r="R80" s="4"/>
      <c r="S80" s="4"/>
      <c r="T80" s="4"/>
      <c r="U80" s="4"/>
      <c r="V80" s="238"/>
      <c r="W80" s="4"/>
      <c r="X80" s="4"/>
      <c r="Y80" s="4"/>
      <c r="Z80" s="4"/>
      <c r="AA80" s="4"/>
      <c r="AB80" s="4"/>
      <c r="AC80" s="4"/>
      <c r="AD80" s="4">
        <v>2.8</v>
      </c>
      <c r="AE80" s="4"/>
      <c r="AF80" s="4"/>
      <c r="AG80" s="4"/>
      <c r="AH80" s="4"/>
      <c r="AI80" s="4"/>
      <c r="AJ80" s="4"/>
      <c r="AK80" s="1"/>
      <c r="AL80" s="1"/>
      <c r="AM80" s="1"/>
      <c r="AN80" s="1"/>
      <c r="AO80" s="1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4"/>
      <c r="BY80" s="136"/>
      <c r="BZ80" s="136"/>
      <c r="CA80" s="136"/>
      <c r="CB80" s="136"/>
      <c r="CC80" s="136"/>
      <c r="CD80" s="136"/>
      <c r="CE80" s="136"/>
      <c r="CF80" s="136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DA80" s="379"/>
    </row>
    <row r="81" spans="1:105" ht="20.25" customHeight="1" x14ac:dyDescent="0.35">
      <c r="A81" s="95"/>
      <c r="B81" s="200" t="s">
        <v>1501</v>
      </c>
      <c r="C81" s="200" t="s">
        <v>285</v>
      </c>
      <c r="D81" s="95"/>
      <c r="E81" s="6" t="s">
        <v>535</v>
      </c>
      <c r="F81" s="95" t="s">
        <v>34</v>
      </c>
      <c r="G81" s="95" t="s">
        <v>40</v>
      </c>
      <c r="H81" s="237"/>
      <c r="I81" s="4"/>
      <c r="J81" s="4"/>
      <c r="K81" s="4"/>
      <c r="L81" s="4"/>
      <c r="M81" s="4"/>
      <c r="N81" s="108"/>
      <c r="O81" s="4"/>
      <c r="P81" s="4"/>
      <c r="Q81" s="4"/>
      <c r="R81" s="4"/>
      <c r="S81" s="4"/>
      <c r="T81" s="4"/>
      <c r="U81" s="4"/>
      <c r="V81" s="238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1"/>
      <c r="AL81" s="1"/>
      <c r="AM81" s="1"/>
      <c r="AN81" s="1"/>
      <c r="AO81" s="1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1"/>
      <c r="BE81" s="1"/>
      <c r="BF81" s="1"/>
      <c r="BG81" s="1">
        <v>45</v>
      </c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4"/>
      <c r="BY81" s="136"/>
      <c r="BZ81" s="136"/>
      <c r="CA81" s="136"/>
      <c r="CB81" s="136"/>
      <c r="CC81" s="136"/>
      <c r="CD81" s="136"/>
      <c r="CE81" s="136"/>
      <c r="CF81" s="136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DA81" s="379">
        <v>35</v>
      </c>
    </row>
    <row r="82" spans="1:105" ht="20.25" customHeight="1" x14ac:dyDescent="0.35">
      <c r="A82" s="95" t="s">
        <v>120</v>
      </c>
      <c r="B82" s="200" t="s">
        <v>1502</v>
      </c>
      <c r="C82" s="200" t="s">
        <v>285</v>
      </c>
      <c r="D82" s="239" t="s">
        <v>1101</v>
      </c>
      <c r="E82" s="95" t="s">
        <v>535</v>
      </c>
      <c r="F82" s="95" t="s">
        <v>1353</v>
      </c>
      <c r="G82" s="95" t="s">
        <v>42</v>
      </c>
      <c r="H82" s="237">
        <v>30</v>
      </c>
      <c r="I82" s="240">
        <v>30</v>
      </c>
      <c r="J82" s="4">
        <v>30</v>
      </c>
      <c r="K82" s="4"/>
      <c r="L82" s="4">
        <v>0</v>
      </c>
      <c r="M82" s="4"/>
      <c r="N82" s="108"/>
      <c r="O82" s="4"/>
      <c r="P82" s="240">
        <v>30</v>
      </c>
      <c r="Q82" s="4">
        <v>30</v>
      </c>
      <c r="R82" s="4">
        <v>30</v>
      </c>
      <c r="S82" s="4">
        <v>30</v>
      </c>
      <c r="T82" s="4"/>
      <c r="U82" s="4"/>
      <c r="V82" s="238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1"/>
      <c r="AL82" s="1"/>
      <c r="AM82" s="1"/>
      <c r="AN82" s="1"/>
      <c r="AO82" s="1"/>
      <c r="AP82" s="4">
        <v>30</v>
      </c>
      <c r="AQ82" s="4">
        <v>30</v>
      </c>
      <c r="AR82" s="4">
        <v>30</v>
      </c>
      <c r="AS82" s="4"/>
      <c r="AT82" s="4">
        <v>30</v>
      </c>
      <c r="AU82" s="4"/>
      <c r="AV82" s="4">
        <v>30</v>
      </c>
      <c r="AW82" s="4">
        <v>30</v>
      </c>
      <c r="AX82" s="4"/>
      <c r="AY82" s="4">
        <v>30</v>
      </c>
      <c r="AZ82" s="4">
        <v>30</v>
      </c>
      <c r="BA82" s="4">
        <v>30</v>
      </c>
      <c r="BB82" s="4"/>
      <c r="BC82" s="4">
        <v>30</v>
      </c>
      <c r="BD82" s="1"/>
      <c r="BE82" s="1"/>
      <c r="BF82" s="1"/>
      <c r="BG82" s="1">
        <v>30</v>
      </c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>
        <v>32</v>
      </c>
      <c r="BV82" s="1"/>
      <c r="BW82" s="1"/>
      <c r="BX82" s="4"/>
      <c r="BY82" s="136"/>
      <c r="BZ82" s="136">
        <v>32</v>
      </c>
      <c r="CA82" s="136"/>
      <c r="CB82" s="136"/>
      <c r="CC82" s="136"/>
      <c r="CD82" s="136"/>
      <c r="CE82" s="136"/>
      <c r="CF82" s="136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DA82" s="379">
        <f>DA81/1000*43*10</f>
        <v>15.05</v>
      </c>
    </row>
    <row r="83" spans="1:105" ht="20.25" customHeight="1" x14ac:dyDescent="0.35">
      <c r="A83" s="95"/>
      <c r="B83" s="200" t="s">
        <v>1503</v>
      </c>
      <c r="C83" s="200" t="s">
        <v>285</v>
      </c>
      <c r="D83" s="239" t="s">
        <v>1101</v>
      </c>
      <c r="E83" s="95" t="s">
        <v>140</v>
      </c>
      <c r="F83" s="95" t="s">
        <v>1504</v>
      </c>
      <c r="G83" s="95" t="s">
        <v>35</v>
      </c>
      <c r="H83" s="237"/>
      <c r="I83" s="240"/>
      <c r="J83" s="4"/>
      <c r="K83" s="4"/>
      <c r="L83" s="4"/>
      <c r="M83" s="4"/>
      <c r="N83" s="108"/>
      <c r="O83" s="4"/>
      <c r="P83" s="4"/>
      <c r="Q83" s="4"/>
      <c r="R83" s="4"/>
      <c r="S83" s="4"/>
      <c r="T83" s="4"/>
      <c r="U83" s="4"/>
      <c r="V83" s="238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1"/>
      <c r="AL83" s="1"/>
      <c r="AM83" s="1"/>
      <c r="AN83" s="1"/>
      <c r="AO83" s="1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4"/>
      <c r="BY83" s="136"/>
      <c r="BZ83" s="136"/>
      <c r="CA83" s="136"/>
      <c r="CB83" s="136"/>
      <c r="CC83" s="136"/>
      <c r="CD83" s="136"/>
      <c r="CE83" s="136"/>
      <c r="CF83" s="136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DA83" s="379"/>
    </row>
    <row r="84" spans="1:105" ht="20.25" customHeight="1" x14ac:dyDescent="0.35">
      <c r="A84" s="95"/>
      <c r="B84" s="200" t="s">
        <v>1505</v>
      </c>
      <c r="C84" s="200" t="s">
        <v>285</v>
      </c>
      <c r="D84" s="239" t="s">
        <v>1101</v>
      </c>
      <c r="E84" s="95" t="s">
        <v>140</v>
      </c>
      <c r="F84" s="95" t="s">
        <v>668</v>
      </c>
      <c r="G84" s="95" t="s">
        <v>33</v>
      </c>
      <c r="H84" s="237">
        <v>11</v>
      </c>
      <c r="I84" s="240">
        <v>11</v>
      </c>
      <c r="J84" s="4">
        <v>11</v>
      </c>
      <c r="K84" s="4"/>
      <c r="L84" s="4">
        <v>0</v>
      </c>
      <c r="M84" s="4"/>
      <c r="N84" s="108"/>
      <c r="O84" s="4"/>
      <c r="P84" s="4"/>
      <c r="Q84" s="4"/>
      <c r="R84" s="4"/>
      <c r="S84" s="4"/>
      <c r="T84" s="4"/>
      <c r="U84" s="4"/>
      <c r="V84" s="238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1"/>
      <c r="AL84" s="1"/>
      <c r="AM84" s="1">
        <v>11</v>
      </c>
      <c r="AN84" s="1"/>
      <c r="AO84" s="1">
        <v>11</v>
      </c>
      <c r="AP84" s="4">
        <v>11</v>
      </c>
      <c r="AQ84" s="4">
        <v>11</v>
      </c>
      <c r="AR84" s="4">
        <v>11</v>
      </c>
      <c r="AS84" s="4"/>
      <c r="AT84" s="4">
        <v>11</v>
      </c>
      <c r="AU84" s="4"/>
      <c r="AV84" s="4"/>
      <c r="AW84" s="4">
        <v>11</v>
      </c>
      <c r="AX84" s="4">
        <v>11</v>
      </c>
      <c r="AY84" s="4">
        <v>11</v>
      </c>
      <c r="AZ84" s="4">
        <v>11</v>
      </c>
      <c r="BA84" s="4">
        <v>11</v>
      </c>
      <c r="BB84" s="4">
        <v>11</v>
      </c>
      <c r="BC84" s="4">
        <v>11</v>
      </c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>
        <v>12</v>
      </c>
      <c r="BP84" s="1"/>
      <c r="BQ84" s="1"/>
      <c r="BR84" s="1"/>
      <c r="BS84" s="1"/>
      <c r="BT84" s="1"/>
      <c r="BU84" s="1"/>
      <c r="BV84" s="1"/>
      <c r="BW84" s="1"/>
      <c r="BX84" s="4"/>
      <c r="BY84" s="136"/>
      <c r="BZ84" s="136"/>
      <c r="CA84" s="136"/>
      <c r="CB84" s="136"/>
      <c r="CC84" s="136"/>
      <c r="CD84" s="136"/>
      <c r="CE84" s="136"/>
      <c r="CF84" s="136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DA84" s="379">
        <v>9</v>
      </c>
    </row>
    <row r="85" spans="1:105" ht="20.25" customHeight="1" x14ac:dyDescent="0.35">
      <c r="A85" s="95"/>
      <c r="B85" s="200" t="s">
        <v>1506</v>
      </c>
      <c r="C85" s="200" t="s">
        <v>353</v>
      </c>
      <c r="D85" s="239" t="s">
        <v>1229</v>
      </c>
      <c r="E85" s="95" t="s">
        <v>36</v>
      </c>
      <c r="F85" s="95" t="s">
        <v>34</v>
      </c>
      <c r="G85" s="95" t="s">
        <v>37</v>
      </c>
      <c r="H85" s="237">
        <f>23*1.3</f>
        <v>29.900000000000002</v>
      </c>
      <c r="I85" s="240">
        <v>30</v>
      </c>
      <c r="J85" s="4"/>
      <c r="K85" s="4"/>
      <c r="L85" s="4"/>
      <c r="M85" s="4"/>
      <c r="N85" s="108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>
        <v>30</v>
      </c>
      <c r="AD85" s="4"/>
      <c r="AE85" s="4"/>
      <c r="AF85" s="4"/>
      <c r="AG85" s="4"/>
      <c r="AH85" s="4"/>
      <c r="AI85" s="4"/>
      <c r="AJ85" s="4"/>
      <c r="AK85" s="1"/>
      <c r="AL85" s="1"/>
      <c r="AM85" s="1"/>
      <c r="AN85" s="1"/>
      <c r="AO85" s="1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4"/>
      <c r="BY85" s="136"/>
      <c r="BZ85" s="136">
        <v>31</v>
      </c>
      <c r="CA85" s="136"/>
      <c r="CB85" s="136"/>
      <c r="CC85" s="136"/>
      <c r="CD85" s="136"/>
      <c r="CE85" s="136"/>
      <c r="CF85" s="136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DA85" s="379">
        <v>23</v>
      </c>
    </row>
    <row r="86" spans="1:105" x14ac:dyDescent="0.35">
      <c r="A86" s="95"/>
      <c r="B86" s="200" t="s">
        <v>1507</v>
      </c>
      <c r="C86" s="200" t="s">
        <v>604</v>
      </c>
      <c r="D86" s="239" t="s">
        <v>1101</v>
      </c>
      <c r="E86" s="95" t="s">
        <v>36</v>
      </c>
      <c r="F86" s="95" t="s">
        <v>1509</v>
      </c>
      <c r="G86" s="95" t="s">
        <v>42</v>
      </c>
      <c r="H86" s="237"/>
      <c r="I86" s="240"/>
      <c r="J86" s="4"/>
      <c r="K86" s="4"/>
      <c r="L86" s="4"/>
      <c r="M86" s="4"/>
      <c r="N86" s="108"/>
      <c r="O86" s="4"/>
      <c r="P86" s="4"/>
      <c r="Q86" s="4"/>
      <c r="R86" s="4"/>
      <c r="S86" s="4"/>
      <c r="T86" s="4"/>
      <c r="U86" s="4"/>
      <c r="V86" s="238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1"/>
      <c r="AL86" s="1"/>
      <c r="AM86" s="1"/>
      <c r="AN86" s="1"/>
      <c r="AO86" s="1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4"/>
      <c r="BY86" s="136"/>
      <c r="BZ86" s="136"/>
      <c r="CA86" s="136"/>
      <c r="CB86" s="136"/>
      <c r="CC86" s="136"/>
      <c r="CD86" s="136"/>
      <c r="CE86" s="136"/>
      <c r="CF86" s="136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DA86" s="379"/>
    </row>
    <row r="87" spans="1:105" ht="20.25" customHeight="1" x14ac:dyDescent="0.35">
      <c r="A87" s="95" t="s">
        <v>1508</v>
      </c>
      <c r="B87" s="200" t="s">
        <v>1510</v>
      </c>
      <c r="C87" s="200" t="s">
        <v>604</v>
      </c>
      <c r="D87" s="239" t="s">
        <v>1101</v>
      </c>
      <c r="E87" s="95" t="s">
        <v>36</v>
      </c>
      <c r="F87" s="95" t="s">
        <v>1511</v>
      </c>
      <c r="G87" s="95" t="s">
        <v>42</v>
      </c>
      <c r="H87" s="237"/>
      <c r="I87" s="240">
        <v>30</v>
      </c>
      <c r="J87" s="4">
        <v>28</v>
      </c>
      <c r="K87" s="4"/>
      <c r="L87" s="4"/>
      <c r="M87" s="4"/>
      <c r="N87" s="108"/>
      <c r="O87" s="4">
        <v>28</v>
      </c>
      <c r="P87" s="240">
        <v>28</v>
      </c>
      <c r="Q87" s="4">
        <v>28</v>
      </c>
      <c r="R87" s="4">
        <v>28</v>
      </c>
      <c r="S87" s="4"/>
      <c r="T87" s="4"/>
      <c r="U87" s="4"/>
      <c r="V87" s="238"/>
      <c r="W87" s="4"/>
      <c r="X87" s="4"/>
      <c r="Y87" s="4"/>
      <c r="Z87" s="4"/>
      <c r="AA87" s="4"/>
      <c r="AB87" s="4"/>
      <c r="AC87" s="4">
        <v>28</v>
      </c>
      <c r="AD87" s="4"/>
      <c r="AE87" s="4"/>
      <c r="AF87" s="4"/>
      <c r="AG87" s="4"/>
      <c r="AH87" s="4"/>
      <c r="AI87" s="4"/>
      <c r="AJ87" s="4"/>
      <c r="AK87" s="1"/>
      <c r="AL87" s="1"/>
      <c r="AM87" s="1"/>
      <c r="AN87" s="1">
        <v>28</v>
      </c>
      <c r="AO87" s="1"/>
      <c r="AP87" s="4"/>
      <c r="AQ87" s="4"/>
      <c r="AR87" s="4"/>
      <c r="AS87" s="4"/>
      <c r="AT87" s="4">
        <v>28</v>
      </c>
      <c r="AU87" s="4"/>
      <c r="AV87" s="4"/>
      <c r="AW87" s="4"/>
      <c r="AX87" s="4"/>
      <c r="AY87" s="4"/>
      <c r="AZ87" s="4"/>
      <c r="BA87" s="4"/>
      <c r="BB87" s="4"/>
      <c r="BC87" s="4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>
        <v>26</v>
      </c>
      <c r="BR87" s="1"/>
      <c r="BS87" s="1"/>
      <c r="BT87" s="1"/>
      <c r="BU87" s="1"/>
      <c r="BV87" s="1"/>
      <c r="BW87" s="1"/>
      <c r="BX87" s="4"/>
      <c r="BY87" s="136">
        <v>28</v>
      </c>
      <c r="BZ87" s="136"/>
      <c r="CA87" s="136"/>
      <c r="CB87" s="136"/>
      <c r="CC87" s="136"/>
      <c r="CD87" s="136"/>
      <c r="CE87" s="136"/>
      <c r="CF87" s="136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DA87" s="379">
        <v>15</v>
      </c>
    </row>
    <row r="88" spans="1:105" ht="20.25" customHeight="1" x14ac:dyDescent="0.35">
      <c r="A88" s="95"/>
      <c r="B88" s="200" t="s">
        <v>1512</v>
      </c>
      <c r="C88" s="200" t="s">
        <v>604</v>
      </c>
      <c r="D88" s="239" t="s">
        <v>1101</v>
      </c>
      <c r="E88" s="95" t="s">
        <v>36</v>
      </c>
      <c r="F88" s="95" t="s">
        <v>1513</v>
      </c>
      <c r="G88" s="95" t="s">
        <v>51</v>
      </c>
      <c r="H88" s="237"/>
      <c r="I88" s="240"/>
      <c r="J88" s="4"/>
      <c r="K88" s="4"/>
      <c r="L88" s="4"/>
      <c r="M88" s="4"/>
      <c r="N88" s="108"/>
      <c r="O88" s="4"/>
      <c r="P88" s="4"/>
      <c r="Q88" s="4"/>
      <c r="R88" s="4"/>
      <c r="S88" s="4"/>
      <c r="T88" s="4"/>
      <c r="U88" s="4"/>
      <c r="V88" s="238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1"/>
      <c r="AL88" s="1"/>
      <c r="AM88" s="1"/>
      <c r="AN88" s="1"/>
      <c r="AO88" s="1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4"/>
      <c r="BY88" s="136"/>
      <c r="BZ88" s="136"/>
      <c r="CA88" s="136"/>
      <c r="CB88" s="136"/>
      <c r="CC88" s="136"/>
      <c r="CD88" s="136"/>
      <c r="CE88" s="136"/>
      <c r="CF88" s="136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DA88" s="379"/>
    </row>
    <row r="89" spans="1:105" ht="20.25" customHeight="1" x14ac:dyDescent="0.35">
      <c r="A89" s="6"/>
      <c r="B89" s="200" t="s">
        <v>1514</v>
      </c>
      <c r="C89" s="200" t="s">
        <v>607</v>
      </c>
      <c r="D89" s="95"/>
      <c r="E89" s="95" t="s">
        <v>538</v>
      </c>
      <c r="F89" s="95" t="s">
        <v>34</v>
      </c>
      <c r="G89" s="95" t="s">
        <v>42</v>
      </c>
      <c r="H89" s="237">
        <f>AVERAGE(I89:BC89)</f>
        <v>26.666666666666668</v>
      </c>
      <c r="I89" s="4">
        <v>0</v>
      </c>
      <c r="J89" s="4"/>
      <c r="K89" s="4"/>
      <c r="L89" s="4"/>
      <c r="M89" s="4"/>
      <c r="N89" s="240">
        <v>40</v>
      </c>
      <c r="O89" s="4">
        <v>40</v>
      </c>
      <c r="P89" s="4"/>
      <c r="Q89" s="4"/>
      <c r="R89" s="4"/>
      <c r="S89" s="4"/>
      <c r="T89" s="4"/>
      <c r="U89" s="4"/>
      <c r="V89" s="238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1"/>
      <c r="AL89" s="1"/>
      <c r="AM89" s="1"/>
      <c r="AN89" s="1"/>
      <c r="AO89" s="1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1"/>
      <c r="BE89" s="1"/>
      <c r="BF89" s="1"/>
      <c r="BG89" s="1">
        <v>40</v>
      </c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4"/>
      <c r="BY89" s="136"/>
      <c r="BZ89" s="136"/>
      <c r="CA89" s="136"/>
      <c r="CB89" s="136"/>
      <c r="CC89" s="136"/>
      <c r="CD89" s="136"/>
      <c r="CE89" s="136"/>
      <c r="CF89" s="136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DA89" s="379">
        <v>15</v>
      </c>
    </row>
    <row r="90" spans="1:105" ht="20.25" customHeight="1" x14ac:dyDescent="0.35">
      <c r="A90" s="6"/>
      <c r="B90" s="200" t="s">
        <v>1515</v>
      </c>
      <c r="C90" s="200" t="s">
        <v>607</v>
      </c>
      <c r="D90" s="95"/>
      <c r="E90" s="6" t="s">
        <v>538</v>
      </c>
      <c r="F90" s="95" t="s">
        <v>1354</v>
      </c>
      <c r="G90" s="95" t="s">
        <v>42</v>
      </c>
      <c r="H90" s="237"/>
      <c r="I90" s="4"/>
      <c r="J90" s="4"/>
      <c r="K90" s="4"/>
      <c r="L90" s="4"/>
      <c r="M90" s="4"/>
      <c r="N90" s="108"/>
      <c r="O90" s="4"/>
      <c r="P90" s="4"/>
      <c r="Q90" s="4"/>
      <c r="R90" s="4"/>
      <c r="S90" s="4"/>
      <c r="T90" s="4"/>
      <c r="U90" s="4"/>
      <c r="V90" s="238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1"/>
      <c r="AL90" s="1"/>
      <c r="AM90" s="1"/>
      <c r="AN90" s="1"/>
      <c r="AO90" s="1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4"/>
      <c r="BY90" s="136"/>
      <c r="BZ90" s="136">
        <v>25</v>
      </c>
      <c r="CA90" s="136"/>
      <c r="CB90" s="136"/>
      <c r="CC90" s="136"/>
      <c r="CD90" s="136"/>
      <c r="CE90" s="136"/>
      <c r="CF90" s="136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DA90" s="379">
        <f>DA89/1000*70*10</f>
        <v>10.5</v>
      </c>
    </row>
    <row r="91" spans="1:105" ht="20.25" customHeight="1" x14ac:dyDescent="0.35">
      <c r="A91" s="6"/>
      <c r="B91" s="200" t="s">
        <v>1516</v>
      </c>
      <c r="C91" s="200" t="s">
        <v>607</v>
      </c>
      <c r="D91" s="95"/>
      <c r="E91" s="6" t="s">
        <v>538</v>
      </c>
      <c r="F91" s="95" t="s">
        <v>1355</v>
      </c>
      <c r="G91" s="95" t="s">
        <v>42</v>
      </c>
      <c r="H91" s="237"/>
      <c r="I91" s="4"/>
      <c r="J91" s="4"/>
      <c r="K91" s="4"/>
      <c r="L91" s="4"/>
      <c r="M91" s="4"/>
      <c r="N91" s="108"/>
      <c r="O91" s="4"/>
      <c r="P91" s="4">
        <v>40</v>
      </c>
      <c r="Q91" s="4"/>
      <c r="R91" s="4"/>
      <c r="S91" s="4"/>
      <c r="T91" s="4"/>
      <c r="U91" s="4"/>
      <c r="V91" s="238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1"/>
      <c r="AL91" s="1"/>
      <c r="AM91" s="1"/>
      <c r="AN91" s="1"/>
      <c r="AO91" s="1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>
        <v>30</v>
      </c>
      <c r="BV91" s="1"/>
      <c r="BW91" s="1"/>
      <c r="BX91" s="4"/>
      <c r="BY91" s="136"/>
      <c r="BZ91" s="136"/>
      <c r="CA91" s="136"/>
      <c r="CB91" s="136"/>
      <c r="CC91" s="136"/>
      <c r="CD91" s="136"/>
      <c r="CE91" s="136"/>
      <c r="CF91" s="136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DA91" s="379">
        <f>DA89/1000*140*10</f>
        <v>21</v>
      </c>
    </row>
    <row r="92" spans="1:105" ht="20.25" customHeight="1" x14ac:dyDescent="0.35">
      <c r="A92" s="6"/>
      <c r="B92" s="200" t="s">
        <v>2145</v>
      </c>
      <c r="C92" s="200" t="s">
        <v>607</v>
      </c>
      <c r="D92" s="95"/>
      <c r="E92" s="6" t="s">
        <v>538</v>
      </c>
      <c r="F92" s="62" t="s">
        <v>2146</v>
      </c>
      <c r="G92" s="95"/>
      <c r="H92" s="237"/>
      <c r="I92" s="4"/>
      <c r="J92" s="4"/>
      <c r="K92" s="4"/>
      <c r="L92" s="4"/>
      <c r="M92" s="4"/>
      <c r="N92" s="108"/>
      <c r="O92" s="4"/>
      <c r="P92" s="4"/>
      <c r="Q92" s="4"/>
      <c r="R92" s="4"/>
      <c r="S92" s="4"/>
      <c r="T92" s="4"/>
      <c r="U92" s="4"/>
      <c r="V92" s="238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1"/>
      <c r="AL92" s="1"/>
      <c r="AM92" s="1"/>
      <c r="AN92" s="1"/>
      <c r="AO92" s="1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4"/>
      <c r="BY92" s="136"/>
      <c r="BZ92" s="136"/>
      <c r="CA92" s="136"/>
      <c r="CB92" s="136"/>
      <c r="CC92" s="136"/>
      <c r="CD92" s="136"/>
      <c r="CE92" s="136"/>
      <c r="CF92" s="136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DA92" s="379">
        <f>DA89/1000*35*10</f>
        <v>5.25</v>
      </c>
    </row>
    <row r="93" spans="1:105" ht="20.25" customHeight="1" x14ac:dyDescent="0.35">
      <c r="A93" s="6"/>
      <c r="B93" s="200" t="s">
        <v>1517</v>
      </c>
      <c r="C93" s="200" t="s">
        <v>665</v>
      </c>
      <c r="D93" s="95"/>
      <c r="E93" s="71" t="s">
        <v>666</v>
      </c>
      <c r="F93" s="95" t="s">
        <v>75</v>
      </c>
      <c r="G93" s="95" t="s">
        <v>1521</v>
      </c>
      <c r="H93" s="237"/>
      <c r="I93" s="4"/>
      <c r="J93" s="4"/>
      <c r="K93" s="4"/>
      <c r="L93" s="4"/>
      <c r="M93" s="4"/>
      <c r="N93" s="108"/>
      <c r="O93" s="4"/>
      <c r="P93" s="4"/>
      <c r="Q93" s="4"/>
      <c r="R93" s="4"/>
      <c r="S93" s="4"/>
      <c r="T93" s="4"/>
      <c r="U93" s="4"/>
      <c r="V93" s="238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1"/>
      <c r="AL93" s="1"/>
      <c r="AM93" s="1"/>
      <c r="AN93" s="1"/>
      <c r="AO93" s="1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4"/>
      <c r="BY93" s="136"/>
      <c r="BZ93" s="136"/>
      <c r="CA93" s="136"/>
      <c r="CB93" s="136"/>
      <c r="CC93" s="136"/>
      <c r="CD93" s="136"/>
      <c r="CE93" s="136"/>
      <c r="CF93" s="136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DA93" s="379"/>
    </row>
    <row r="94" spans="1:105" ht="20.25" customHeight="1" x14ac:dyDescent="0.35">
      <c r="A94" s="6"/>
      <c r="B94" s="200" t="s">
        <v>1518</v>
      </c>
      <c r="C94" s="200" t="s">
        <v>665</v>
      </c>
      <c r="D94" s="95"/>
      <c r="E94" s="71" t="s">
        <v>666</v>
      </c>
      <c r="F94" s="95" t="s">
        <v>667</v>
      </c>
      <c r="G94" s="95" t="s">
        <v>42</v>
      </c>
      <c r="H94" s="237"/>
      <c r="I94" s="108"/>
      <c r="J94" s="4"/>
      <c r="K94" s="108"/>
      <c r="L94" s="108"/>
      <c r="M94" s="108"/>
      <c r="N94" s="108"/>
      <c r="O94" s="108"/>
      <c r="P94" s="109"/>
      <c r="Q94" s="110"/>
      <c r="R94" s="108"/>
      <c r="S94" s="111"/>
      <c r="T94" s="108"/>
      <c r="U94" s="108"/>
      <c r="V94" s="108"/>
      <c r="W94" s="112"/>
      <c r="X94" s="108"/>
      <c r="Y94" s="113"/>
      <c r="Z94" s="113"/>
      <c r="AA94" s="108"/>
      <c r="AB94" s="108"/>
      <c r="AC94" s="108"/>
      <c r="AD94" s="108"/>
      <c r="AE94" s="109"/>
      <c r="AF94" s="114"/>
      <c r="AG94" s="115"/>
      <c r="AH94" s="115"/>
      <c r="AI94" s="108"/>
      <c r="AJ94" s="108"/>
      <c r="AK94" s="1"/>
      <c r="AL94" s="1"/>
      <c r="AM94" s="1"/>
      <c r="AN94" s="1"/>
      <c r="AO94" s="1"/>
      <c r="AP94" s="108"/>
      <c r="AQ94" s="108"/>
      <c r="AR94" s="108"/>
      <c r="AS94" s="108"/>
      <c r="AT94" s="108"/>
      <c r="AU94" s="108"/>
      <c r="AV94" s="108"/>
      <c r="AW94" s="108"/>
      <c r="AX94" s="108"/>
      <c r="AY94" s="108"/>
      <c r="AZ94" s="108"/>
      <c r="BA94" s="108"/>
      <c r="BB94" s="108"/>
      <c r="BC94" s="108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08"/>
      <c r="BY94" s="152"/>
      <c r="BZ94" s="152"/>
      <c r="CA94" s="152"/>
      <c r="CB94" s="152"/>
      <c r="CC94" s="152"/>
      <c r="CD94" s="152"/>
      <c r="CE94" s="152"/>
      <c r="CF94" s="152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DA94" s="379"/>
    </row>
    <row r="95" spans="1:105" ht="20.25" customHeight="1" x14ac:dyDescent="0.35">
      <c r="A95" s="6"/>
      <c r="B95" s="200" t="s">
        <v>1519</v>
      </c>
      <c r="C95" s="200" t="s">
        <v>665</v>
      </c>
      <c r="D95" s="95" t="s">
        <v>1101</v>
      </c>
      <c r="E95" s="71" t="s">
        <v>666</v>
      </c>
      <c r="F95" s="95" t="s">
        <v>858</v>
      </c>
      <c r="G95" s="95" t="s">
        <v>42</v>
      </c>
      <c r="H95" s="237"/>
      <c r="I95" s="4"/>
      <c r="J95" s="4">
        <v>18</v>
      </c>
      <c r="K95" s="4"/>
      <c r="L95" s="4"/>
      <c r="M95" s="4"/>
      <c r="N95" s="108"/>
      <c r="O95" s="4"/>
      <c r="P95" s="4"/>
      <c r="Q95" s="4"/>
      <c r="R95" s="4"/>
      <c r="S95" s="4"/>
      <c r="T95" s="4"/>
      <c r="U95" s="4"/>
      <c r="V95" s="238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1"/>
      <c r="AL95" s="1"/>
      <c r="AM95" s="1"/>
      <c r="AN95" s="1"/>
      <c r="AO95" s="1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4"/>
      <c r="BY95" s="136"/>
      <c r="BZ95" s="136"/>
      <c r="CA95" s="136"/>
      <c r="CB95" s="136"/>
      <c r="CC95" s="136"/>
      <c r="CD95" s="136"/>
      <c r="CE95" s="136"/>
      <c r="CF95" s="136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DA95" s="379"/>
    </row>
    <row r="96" spans="1:105" ht="20.25" customHeight="1" x14ac:dyDescent="0.35">
      <c r="A96" s="6"/>
      <c r="B96" s="200" t="s">
        <v>1954</v>
      </c>
      <c r="C96" s="200" t="s">
        <v>665</v>
      </c>
      <c r="D96" s="95" t="s">
        <v>1101</v>
      </c>
      <c r="E96" s="71" t="s">
        <v>666</v>
      </c>
      <c r="F96" s="95" t="s">
        <v>1955</v>
      </c>
      <c r="G96" s="95" t="s">
        <v>51</v>
      </c>
      <c r="H96" s="237"/>
      <c r="I96" s="4"/>
      <c r="J96" s="4"/>
      <c r="K96" s="4"/>
      <c r="L96" s="4"/>
      <c r="M96" s="4"/>
      <c r="N96" s="108"/>
      <c r="O96" s="4"/>
      <c r="P96" s="4"/>
      <c r="Q96" s="4"/>
      <c r="R96" s="4"/>
      <c r="S96" s="4"/>
      <c r="T96" s="4"/>
      <c r="U96" s="4"/>
      <c r="V96" s="238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1"/>
      <c r="AL96" s="1"/>
      <c r="AM96" s="1"/>
      <c r="AN96" s="1"/>
      <c r="AO96" s="1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4"/>
      <c r="BY96" s="136"/>
      <c r="BZ96" s="136"/>
      <c r="CA96" s="136"/>
      <c r="CB96" s="136"/>
      <c r="CC96" s="136"/>
      <c r="CD96" s="136"/>
      <c r="CE96" s="136"/>
      <c r="CF96" s="136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DA96" s="379"/>
    </row>
    <row r="97" spans="1:105" ht="20.25" customHeight="1" x14ac:dyDescent="0.35">
      <c r="A97" s="6"/>
      <c r="B97" s="1" t="s">
        <v>1522</v>
      </c>
      <c r="C97" s="307" t="s">
        <v>878</v>
      </c>
      <c r="D97" s="6"/>
      <c r="E97" s="6"/>
      <c r="F97" s="95" t="s">
        <v>879</v>
      </c>
      <c r="G97" s="6" t="s">
        <v>864</v>
      </c>
      <c r="H97" s="303">
        <f>78/20</f>
        <v>3.9</v>
      </c>
      <c r="I97" s="4"/>
      <c r="J97" s="4"/>
      <c r="K97" s="4"/>
      <c r="L97" s="4"/>
      <c r="M97" s="4"/>
      <c r="N97" s="108"/>
      <c r="O97" s="192">
        <v>6</v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1"/>
      <c r="AL97" s="1"/>
      <c r="AM97" s="1"/>
      <c r="AN97" s="1"/>
      <c r="AO97" s="1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1"/>
      <c r="BE97" s="1"/>
      <c r="BF97" s="1"/>
      <c r="BG97" s="1"/>
      <c r="BH97" s="1"/>
      <c r="BI97" s="1"/>
      <c r="BJ97" s="1"/>
      <c r="BK97" s="14">
        <v>6.5</v>
      </c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4"/>
      <c r="BY97" s="136"/>
      <c r="BZ97" s="136">
        <v>8</v>
      </c>
      <c r="CA97" s="136"/>
      <c r="CB97" s="136"/>
      <c r="CC97" s="136"/>
      <c r="CD97" s="136"/>
      <c r="CE97" s="136"/>
      <c r="CF97" s="136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DA97" s="379"/>
    </row>
    <row r="98" spans="1:105" ht="20.25" customHeight="1" x14ac:dyDescent="0.35">
      <c r="A98" s="6"/>
      <c r="B98" s="1" t="s">
        <v>1523</v>
      </c>
      <c r="C98" s="307" t="s">
        <v>1525</v>
      </c>
      <c r="D98" s="6"/>
      <c r="E98" s="95" t="s">
        <v>1526</v>
      </c>
      <c r="F98" s="95" t="s">
        <v>1527</v>
      </c>
      <c r="G98" s="6"/>
      <c r="H98" s="152"/>
      <c r="I98" s="4"/>
      <c r="J98" s="4"/>
      <c r="K98" s="4"/>
      <c r="L98" s="4"/>
      <c r="M98" s="4"/>
      <c r="N98" s="108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1"/>
      <c r="AL98" s="1"/>
      <c r="AM98" s="1"/>
      <c r="AN98" s="1"/>
      <c r="AO98" s="1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4"/>
      <c r="BY98" s="136"/>
      <c r="BZ98" s="136"/>
      <c r="CA98" s="136"/>
      <c r="CB98" s="136"/>
      <c r="CC98" s="136"/>
      <c r="CD98" s="136"/>
      <c r="CE98" s="136"/>
      <c r="CF98" s="136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DA98" s="379">
        <v>54</v>
      </c>
    </row>
    <row r="99" spans="1:105" ht="20.25" customHeight="1" x14ac:dyDescent="0.35">
      <c r="A99" s="6"/>
      <c r="B99" s="1" t="s">
        <v>1524</v>
      </c>
      <c r="C99" s="307" t="s">
        <v>1525</v>
      </c>
      <c r="D99" s="6"/>
      <c r="E99" s="95" t="s">
        <v>1526</v>
      </c>
      <c r="F99" s="95" t="s">
        <v>1528</v>
      </c>
      <c r="G99" s="6"/>
      <c r="H99" s="152"/>
      <c r="I99" s="4"/>
      <c r="J99" s="4"/>
      <c r="K99" s="4"/>
      <c r="L99" s="4"/>
      <c r="M99" s="4"/>
      <c r="N99" s="108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1"/>
      <c r="AL99" s="1"/>
      <c r="AM99" s="1"/>
      <c r="AN99" s="1"/>
      <c r="AO99" s="1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4"/>
      <c r="BY99" s="136"/>
      <c r="BZ99" s="136"/>
      <c r="CA99" s="136"/>
      <c r="CB99" s="136"/>
      <c r="CC99" s="136"/>
      <c r="CD99" s="136"/>
      <c r="CE99" s="136"/>
      <c r="CF99" s="136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DA99" s="379">
        <v>4.5</v>
      </c>
    </row>
    <row r="100" spans="1:105" ht="20.25" customHeight="1" x14ac:dyDescent="0.35">
      <c r="A100" s="6"/>
      <c r="B100" s="1" t="s">
        <v>1529</v>
      </c>
      <c r="C100" s="200" t="s">
        <v>298</v>
      </c>
      <c r="D100" s="95" t="s">
        <v>1103</v>
      </c>
      <c r="E100" s="95" t="s">
        <v>36</v>
      </c>
      <c r="F100" s="95" t="s">
        <v>689</v>
      </c>
      <c r="G100" s="6" t="s">
        <v>864</v>
      </c>
      <c r="H100" s="152"/>
      <c r="I100" s="4"/>
      <c r="J100" s="4"/>
      <c r="K100" s="4"/>
      <c r="L100" s="4"/>
      <c r="M100" s="4"/>
      <c r="N100" s="108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1"/>
      <c r="AL100" s="1"/>
      <c r="AM100" s="1"/>
      <c r="AN100" s="1"/>
      <c r="AO100" s="1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4"/>
      <c r="BY100" s="136"/>
      <c r="BZ100" s="136"/>
      <c r="CA100" s="136"/>
      <c r="CB100" s="136"/>
      <c r="CC100" s="136"/>
      <c r="CD100" s="136"/>
      <c r="CE100" s="136"/>
      <c r="CF100" s="136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DA100" s="379">
        <v>62</v>
      </c>
    </row>
    <row r="101" spans="1:105" ht="20.25" customHeight="1" x14ac:dyDescent="0.35">
      <c r="A101" s="6"/>
      <c r="B101" s="200" t="s">
        <v>1530</v>
      </c>
      <c r="C101" s="200" t="s">
        <v>298</v>
      </c>
      <c r="D101" s="95" t="s">
        <v>1103</v>
      </c>
      <c r="E101" s="95" t="s">
        <v>1531</v>
      </c>
      <c r="F101" s="95" t="s">
        <v>529</v>
      </c>
      <c r="G101" s="95" t="s">
        <v>42</v>
      </c>
      <c r="H101" s="237">
        <v>9</v>
      </c>
      <c r="I101" s="4">
        <v>0</v>
      </c>
      <c r="J101" s="250">
        <v>9.5</v>
      </c>
      <c r="K101" s="4"/>
      <c r="L101" s="4"/>
      <c r="M101" s="4"/>
      <c r="N101" s="108"/>
      <c r="O101" s="4"/>
      <c r="P101" s="240">
        <v>9</v>
      </c>
      <c r="Q101" s="4">
        <v>9.8000000000000007</v>
      </c>
      <c r="R101" s="4"/>
      <c r="S101" s="4">
        <v>10</v>
      </c>
      <c r="T101" s="4"/>
      <c r="U101" s="4"/>
      <c r="V101" s="238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>
        <v>10</v>
      </c>
      <c r="AK101" s="1">
        <v>9</v>
      </c>
      <c r="AL101" s="1"/>
      <c r="AM101" s="1"/>
      <c r="AN101" s="1"/>
      <c r="AO101" s="1"/>
      <c r="AP101" s="4"/>
      <c r="AQ101" s="250">
        <v>9.5</v>
      </c>
      <c r="AR101" s="4"/>
      <c r="AS101" s="4"/>
      <c r="AT101" s="4"/>
      <c r="AU101" s="4"/>
      <c r="AV101" s="4"/>
      <c r="AW101" s="4"/>
      <c r="AX101" s="250">
        <v>9.5</v>
      </c>
      <c r="AY101" s="250">
        <v>9.5</v>
      </c>
      <c r="AZ101" s="250">
        <v>9.5</v>
      </c>
      <c r="BA101" s="250">
        <v>9.5</v>
      </c>
      <c r="BB101" s="4"/>
      <c r="BC101" s="250">
        <v>9.5</v>
      </c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250">
        <f>J101</f>
        <v>9.5</v>
      </c>
      <c r="BY101" s="136"/>
      <c r="BZ101" s="136"/>
      <c r="CA101" s="136"/>
      <c r="CB101" s="136"/>
      <c r="CC101" s="136"/>
      <c r="CD101" s="136"/>
      <c r="CE101" s="136"/>
      <c r="CF101" s="136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DA101" s="379">
        <f>DA100/25*3</f>
        <v>7.4399999999999995</v>
      </c>
    </row>
    <row r="102" spans="1:105" ht="20.25" customHeight="1" x14ac:dyDescent="0.35">
      <c r="A102" s="95" t="s">
        <v>618</v>
      </c>
      <c r="B102" s="200" t="s">
        <v>1532</v>
      </c>
      <c r="C102" s="200" t="s">
        <v>298</v>
      </c>
      <c r="D102" s="239" t="s">
        <v>1229</v>
      </c>
      <c r="E102" s="95" t="s">
        <v>1531</v>
      </c>
      <c r="F102" s="95" t="s">
        <v>802</v>
      </c>
      <c r="G102" s="95" t="s">
        <v>42</v>
      </c>
      <c r="H102" s="237">
        <v>30</v>
      </c>
      <c r="I102" s="240">
        <v>32</v>
      </c>
      <c r="J102" s="250">
        <v>32</v>
      </c>
      <c r="K102" s="4"/>
      <c r="L102" s="4"/>
      <c r="M102" s="4"/>
      <c r="N102" s="108"/>
      <c r="O102" s="192">
        <v>32</v>
      </c>
      <c r="P102" s="4"/>
      <c r="Q102" s="4"/>
      <c r="R102" s="4">
        <v>32</v>
      </c>
      <c r="S102" s="4"/>
      <c r="T102" s="4"/>
      <c r="U102" s="4"/>
      <c r="V102" s="238"/>
      <c r="W102" s="4"/>
      <c r="X102" s="4"/>
      <c r="Y102" s="4"/>
      <c r="Z102" s="4"/>
      <c r="AA102" s="4"/>
      <c r="AB102" s="4"/>
      <c r="AC102" s="4"/>
      <c r="AD102" s="4"/>
      <c r="AE102" s="192"/>
      <c r="AF102" s="4"/>
      <c r="AG102" s="4"/>
      <c r="AH102" s="4"/>
      <c r="AI102" s="4"/>
      <c r="AJ102" s="4"/>
      <c r="AK102" s="1"/>
      <c r="AL102" s="1"/>
      <c r="AM102" s="1"/>
      <c r="AN102" s="1"/>
      <c r="AO102" s="250">
        <v>32</v>
      </c>
      <c r="AP102" s="250">
        <v>32</v>
      </c>
      <c r="AQ102" s="4"/>
      <c r="AR102" s="250">
        <v>32</v>
      </c>
      <c r="AS102" s="4"/>
      <c r="AT102" s="250">
        <v>32</v>
      </c>
      <c r="AU102" s="250">
        <v>32</v>
      </c>
      <c r="AV102" s="250">
        <v>32</v>
      </c>
      <c r="AW102" s="250">
        <v>32</v>
      </c>
      <c r="AX102" s="4"/>
      <c r="AY102" s="4"/>
      <c r="AZ102" s="4"/>
      <c r="BA102" s="4"/>
      <c r="BB102" s="4"/>
      <c r="BC102" s="250">
        <v>32</v>
      </c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4"/>
      <c r="BY102" s="136"/>
      <c r="BZ102" s="136"/>
      <c r="CA102" s="136"/>
      <c r="CB102" s="136"/>
      <c r="CC102" s="136"/>
      <c r="CD102" s="136"/>
      <c r="CE102" s="136"/>
      <c r="CF102" s="136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DA102" s="379">
        <f>DA100/25000*20*500</f>
        <v>24.8</v>
      </c>
    </row>
    <row r="103" spans="1:105" ht="20.25" customHeight="1" x14ac:dyDescent="0.35">
      <c r="A103" s="95"/>
      <c r="B103" s="200" t="s">
        <v>1533</v>
      </c>
      <c r="C103" s="200" t="s">
        <v>298</v>
      </c>
      <c r="D103" s="239" t="s">
        <v>1229</v>
      </c>
      <c r="E103" s="95" t="s">
        <v>1531</v>
      </c>
      <c r="F103" s="95" t="s">
        <v>1155</v>
      </c>
      <c r="G103" s="95" t="s">
        <v>42</v>
      </c>
      <c r="H103" s="237"/>
      <c r="I103" s="240"/>
      <c r="J103" s="4"/>
      <c r="K103" s="4"/>
      <c r="L103" s="4"/>
      <c r="M103" s="4"/>
      <c r="N103" s="108"/>
      <c r="O103" s="4"/>
      <c r="P103" s="4"/>
      <c r="Q103" s="4"/>
      <c r="R103" s="4"/>
      <c r="S103" s="4"/>
      <c r="T103" s="4"/>
      <c r="U103" s="4"/>
      <c r="V103" s="238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1"/>
      <c r="AL103" s="1"/>
      <c r="AM103" s="1"/>
      <c r="AN103" s="1"/>
      <c r="AO103" s="4"/>
      <c r="AP103" s="4"/>
      <c r="AQ103" s="4"/>
      <c r="AR103" s="111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4"/>
      <c r="BY103" s="136"/>
      <c r="BZ103" s="136"/>
      <c r="CA103" s="136"/>
      <c r="CB103" s="136"/>
      <c r="CC103" s="136"/>
      <c r="CD103" s="136"/>
      <c r="CE103" s="136"/>
      <c r="CF103" s="136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DA103" s="379">
        <f>DA100/25*4</f>
        <v>9.92</v>
      </c>
    </row>
    <row r="104" spans="1:105" ht="20.25" customHeight="1" x14ac:dyDescent="0.35">
      <c r="A104" s="95"/>
      <c r="B104" s="200" t="s">
        <v>2147</v>
      </c>
      <c r="C104" s="200" t="s">
        <v>298</v>
      </c>
      <c r="D104" s="239" t="s">
        <v>1229</v>
      </c>
      <c r="E104" s="95" t="s">
        <v>1531</v>
      </c>
      <c r="F104" s="95" t="s">
        <v>75</v>
      </c>
      <c r="G104" s="95"/>
      <c r="H104" s="237"/>
      <c r="I104" s="240"/>
      <c r="J104" s="4"/>
      <c r="K104" s="4"/>
      <c r="L104" s="4"/>
      <c r="M104" s="4"/>
      <c r="N104" s="108"/>
      <c r="O104" s="4"/>
      <c r="P104" s="4"/>
      <c r="Q104" s="4"/>
      <c r="R104" s="4"/>
      <c r="S104" s="4"/>
      <c r="T104" s="4"/>
      <c r="U104" s="4"/>
      <c r="V104" s="238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1"/>
      <c r="AL104" s="1"/>
      <c r="AM104" s="1"/>
      <c r="AN104" s="1"/>
      <c r="AO104" s="4"/>
      <c r="AP104" s="4"/>
      <c r="AQ104" s="4"/>
      <c r="AR104" s="111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4"/>
      <c r="BY104" s="136"/>
      <c r="BZ104" s="136"/>
      <c r="CA104" s="136"/>
      <c r="CB104" s="136"/>
      <c r="CC104" s="136"/>
      <c r="CD104" s="136"/>
      <c r="CE104" s="136"/>
      <c r="CF104" s="136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DA104" s="379">
        <f>DA103/4</f>
        <v>2.48</v>
      </c>
    </row>
    <row r="105" spans="1:105" ht="20.25" customHeight="1" x14ac:dyDescent="0.35">
      <c r="A105" s="6"/>
      <c r="B105" s="200" t="s">
        <v>1534</v>
      </c>
      <c r="C105" s="200" t="s">
        <v>298</v>
      </c>
      <c r="D105" s="95" t="s">
        <v>1232</v>
      </c>
      <c r="E105" s="95" t="s">
        <v>821</v>
      </c>
      <c r="F105" s="95" t="s">
        <v>671</v>
      </c>
      <c r="G105" s="95" t="s">
        <v>35</v>
      </c>
      <c r="H105" s="141">
        <f>26*1.07+30*0.01</f>
        <v>28.12</v>
      </c>
      <c r="I105" s="67"/>
      <c r="J105" s="192">
        <v>32</v>
      </c>
      <c r="K105" s="4"/>
      <c r="L105" s="4"/>
      <c r="M105" s="4"/>
      <c r="N105" s="108"/>
      <c r="O105" s="4"/>
      <c r="P105" s="240">
        <v>30</v>
      </c>
      <c r="Q105" s="4"/>
      <c r="R105" s="4"/>
      <c r="S105" s="4"/>
      <c r="T105" s="4"/>
      <c r="U105" s="4"/>
      <c r="V105" s="4">
        <v>30</v>
      </c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1"/>
      <c r="AL105" s="1"/>
      <c r="AM105" s="1"/>
      <c r="AN105" s="1"/>
      <c r="AO105" s="1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>
        <v>32</v>
      </c>
      <c r="BP105" s="1"/>
      <c r="BQ105" s="1"/>
      <c r="BR105" s="1"/>
      <c r="BS105" s="1"/>
      <c r="BT105" s="1"/>
      <c r="BU105" s="1"/>
      <c r="BV105" s="1"/>
      <c r="BW105" s="1"/>
      <c r="BX105" s="4"/>
      <c r="BY105" s="136"/>
      <c r="BZ105" s="136"/>
      <c r="CA105" s="136"/>
      <c r="CB105" s="136"/>
      <c r="CC105" s="136"/>
      <c r="CD105" s="136"/>
      <c r="CE105" s="136"/>
      <c r="CF105" s="136"/>
      <c r="CG105" s="71" t="s">
        <v>1895</v>
      </c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DA105" s="379">
        <v>0</v>
      </c>
    </row>
    <row r="106" spans="1:105" ht="20.25" customHeight="1" x14ac:dyDescent="0.35">
      <c r="A106" s="6"/>
      <c r="B106" s="200" t="s">
        <v>1535</v>
      </c>
      <c r="C106" s="200" t="s">
        <v>298</v>
      </c>
      <c r="D106" s="95" t="s">
        <v>1232</v>
      </c>
      <c r="E106" s="95" t="s">
        <v>821</v>
      </c>
      <c r="F106" s="95" t="s">
        <v>1536</v>
      </c>
      <c r="G106" s="95" t="s">
        <v>51</v>
      </c>
      <c r="H106" s="141"/>
      <c r="I106" s="67"/>
      <c r="J106" s="4"/>
      <c r="K106" s="4"/>
      <c r="L106" s="4"/>
      <c r="M106" s="4"/>
      <c r="N106" s="108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1"/>
      <c r="AL106" s="1"/>
      <c r="AM106" s="1"/>
      <c r="AN106" s="1"/>
      <c r="AO106" s="1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4"/>
      <c r="BY106" s="136"/>
      <c r="BZ106" s="136"/>
      <c r="CA106" s="136"/>
      <c r="CB106" s="136"/>
      <c r="CC106" s="136"/>
      <c r="CD106" s="136"/>
      <c r="CE106" s="136"/>
      <c r="CF106" s="136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DA106" s="379">
        <v>0</v>
      </c>
    </row>
    <row r="107" spans="1:105" ht="20.25" customHeight="1" x14ac:dyDescent="0.35">
      <c r="A107" s="95"/>
      <c r="B107" s="200" t="s">
        <v>1537</v>
      </c>
      <c r="C107" s="200" t="s">
        <v>298</v>
      </c>
      <c r="D107" s="239" t="s">
        <v>546</v>
      </c>
      <c r="E107" s="95" t="s">
        <v>1117</v>
      </c>
      <c r="F107" s="95" t="s">
        <v>671</v>
      </c>
      <c r="G107" s="95" t="s">
        <v>35</v>
      </c>
      <c r="H107" s="237"/>
      <c r="I107" s="240">
        <v>30</v>
      </c>
      <c r="J107" s="4"/>
      <c r="K107" s="4"/>
      <c r="L107" s="4"/>
      <c r="M107" s="4"/>
      <c r="N107" s="108"/>
      <c r="O107" s="4"/>
      <c r="P107" s="4"/>
      <c r="Q107" s="4"/>
      <c r="R107" s="4"/>
      <c r="S107" s="4"/>
      <c r="T107" s="4"/>
      <c r="U107" s="4"/>
      <c r="V107" s="238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1"/>
      <c r="AL107" s="1"/>
      <c r="AM107" s="1"/>
      <c r="AN107" s="1"/>
      <c r="AO107" s="1"/>
      <c r="AP107" s="4"/>
      <c r="AQ107" s="4"/>
      <c r="AR107" s="4"/>
      <c r="AS107" s="4"/>
      <c r="AT107" s="4"/>
      <c r="AU107" s="4"/>
      <c r="AV107" s="4"/>
      <c r="AW107" s="4">
        <v>30</v>
      </c>
      <c r="AX107" s="4"/>
      <c r="AY107" s="4"/>
      <c r="AZ107" s="4"/>
      <c r="BA107" s="4"/>
      <c r="BB107" s="4"/>
      <c r="BC107" s="4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4"/>
      <c r="BY107" s="136"/>
      <c r="BZ107" s="136"/>
      <c r="CA107" s="136"/>
      <c r="CB107" s="136"/>
      <c r="CC107" s="136"/>
      <c r="CD107" s="136"/>
      <c r="CE107" s="136"/>
      <c r="CF107" s="136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DA107" s="379">
        <v>29</v>
      </c>
    </row>
    <row r="108" spans="1:105" ht="20.25" customHeight="1" x14ac:dyDescent="0.35">
      <c r="A108" s="95"/>
      <c r="B108" s="200" t="s">
        <v>1538</v>
      </c>
      <c r="C108" s="200" t="s">
        <v>2290</v>
      </c>
      <c r="D108" s="239" t="s">
        <v>1103</v>
      </c>
      <c r="E108" s="95" t="s">
        <v>36</v>
      </c>
      <c r="F108" s="95" t="s">
        <v>689</v>
      </c>
      <c r="G108" s="95" t="s">
        <v>51</v>
      </c>
      <c r="H108" s="237"/>
      <c r="I108" s="240"/>
      <c r="J108" s="4"/>
      <c r="K108" s="4"/>
      <c r="L108" s="4"/>
      <c r="M108" s="4"/>
      <c r="N108" s="108"/>
      <c r="O108" s="4"/>
      <c r="P108" s="4"/>
      <c r="Q108" s="4"/>
      <c r="R108" s="4"/>
      <c r="S108" s="4"/>
      <c r="T108" s="4"/>
      <c r="U108" s="4"/>
      <c r="V108" s="238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1"/>
      <c r="AL108" s="1"/>
      <c r="AM108" s="1"/>
      <c r="AN108" s="1"/>
      <c r="AO108" s="1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4"/>
      <c r="BY108" s="136"/>
      <c r="BZ108" s="136"/>
      <c r="CA108" s="136"/>
      <c r="CB108" s="136"/>
      <c r="CC108" s="136"/>
      <c r="CD108" s="136"/>
      <c r="CE108" s="136"/>
      <c r="CF108" s="136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DA108" s="379">
        <v>100</v>
      </c>
    </row>
    <row r="109" spans="1:105" ht="20.25" customHeight="1" x14ac:dyDescent="0.35">
      <c r="A109" s="95"/>
      <c r="B109" s="200" t="s">
        <v>1540</v>
      </c>
      <c r="C109" s="200" t="s">
        <v>2290</v>
      </c>
      <c r="D109" s="239" t="s">
        <v>1103</v>
      </c>
      <c r="E109" s="95" t="s">
        <v>36</v>
      </c>
      <c r="F109" s="95" t="s">
        <v>75</v>
      </c>
      <c r="G109" s="95" t="s">
        <v>51</v>
      </c>
      <c r="H109" s="237"/>
      <c r="I109" s="240"/>
      <c r="J109" s="4"/>
      <c r="K109" s="4"/>
      <c r="L109" s="4"/>
      <c r="M109" s="4"/>
      <c r="N109" s="108"/>
      <c r="O109" s="4"/>
      <c r="P109" s="4"/>
      <c r="Q109" s="4"/>
      <c r="R109" s="4"/>
      <c r="S109" s="4"/>
      <c r="T109" s="4"/>
      <c r="U109" s="4"/>
      <c r="V109" s="238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1"/>
      <c r="AL109" s="1"/>
      <c r="AM109" s="1"/>
      <c r="AN109" s="1"/>
      <c r="AO109" s="1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4"/>
      <c r="BY109" s="136"/>
      <c r="BZ109" s="136"/>
      <c r="CA109" s="136"/>
      <c r="CB109" s="136"/>
      <c r="CC109" s="136"/>
      <c r="CD109" s="136"/>
      <c r="CE109" s="136"/>
      <c r="CF109" s="136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DA109" s="379">
        <f>DA108/25</f>
        <v>4</v>
      </c>
    </row>
    <row r="110" spans="1:105" ht="20.25" customHeight="1" x14ac:dyDescent="0.35">
      <c r="A110" s="95"/>
      <c r="B110" s="200" t="s">
        <v>1541</v>
      </c>
      <c r="C110" s="200" t="s">
        <v>300</v>
      </c>
      <c r="D110" s="239" t="s">
        <v>1232</v>
      </c>
      <c r="E110" s="95" t="s">
        <v>821</v>
      </c>
      <c r="F110" s="95" t="s">
        <v>689</v>
      </c>
      <c r="G110" s="95" t="s">
        <v>42</v>
      </c>
      <c r="H110" s="237"/>
      <c r="I110" s="240"/>
      <c r="J110" s="4"/>
      <c r="K110" s="4"/>
      <c r="L110" s="4"/>
      <c r="M110" s="4"/>
      <c r="N110" s="108"/>
      <c r="O110" s="4"/>
      <c r="P110" s="4"/>
      <c r="Q110" s="4"/>
      <c r="R110" s="4"/>
      <c r="S110" s="4"/>
      <c r="T110" s="4"/>
      <c r="U110" s="4"/>
      <c r="V110" s="238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1"/>
      <c r="AL110" s="1"/>
      <c r="AM110" s="1"/>
      <c r="AN110" s="1"/>
      <c r="AO110" s="1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4"/>
      <c r="BY110" s="136"/>
      <c r="BZ110" s="136"/>
      <c r="CA110" s="136"/>
      <c r="CB110" s="136"/>
      <c r="CC110" s="136"/>
      <c r="CD110" s="136"/>
      <c r="CE110" s="136"/>
      <c r="CF110" s="136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DA110" s="379">
        <v>24.5</v>
      </c>
    </row>
    <row r="111" spans="1:105" ht="20.25" customHeight="1" x14ac:dyDescent="0.35">
      <c r="A111" s="95"/>
      <c r="B111" s="200" t="s">
        <v>1542</v>
      </c>
      <c r="C111" s="200" t="s">
        <v>300</v>
      </c>
      <c r="D111" s="239" t="s">
        <v>1232</v>
      </c>
      <c r="E111" s="95" t="s">
        <v>821</v>
      </c>
      <c r="F111" s="95" t="s">
        <v>1361</v>
      </c>
      <c r="G111" s="95" t="s">
        <v>42</v>
      </c>
      <c r="H111" s="237">
        <v>0.8</v>
      </c>
      <c r="I111" s="240"/>
      <c r="J111" s="4"/>
      <c r="K111" s="4"/>
      <c r="L111" s="4"/>
      <c r="M111" s="4"/>
      <c r="N111" s="108"/>
      <c r="O111" s="4">
        <v>39</v>
      </c>
      <c r="P111" s="4"/>
      <c r="Q111" s="4"/>
      <c r="R111" s="4"/>
      <c r="S111" s="4"/>
      <c r="T111" s="4"/>
      <c r="U111" s="4"/>
      <c r="V111" s="238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1"/>
      <c r="AL111" s="1"/>
      <c r="AM111" s="1"/>
      <c r="AN111" s="1"/>
      <c r="AO111" s="1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4"/>
      <c r="BY111" s="136"/>
      <c r="BZ111" s="136"/>
      <c r="CA111" s="136"/>
      <c r="CB111" s="136"/>
      <c r="CC111" s="136"/>
      <c r="CD111" s="136"/>
      <c r="CE111" s="136"/>
      <c r="CF111" s="136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DA111" s="379">
        <v>29</v>
      </c>
    </row>
    <row r="112" spans="1:105" ht="20.25" customHeight="1" x14ac:dyDescent="0.35">
      <c r="A112" s="95"/>
      <c r="B112" s="200" t="s">
        <v>1543</v>
      </c>
      <c r="C112" s="200" t="s">
        <v>300</v>
      </c>
      <c r="D112" s="239" t="s">
        <v>1232</v>
      </c>
      <c r="E112" s="95" t="s">
        <v>821</v>
      </c>
      <c r="F112" s="95" t="s">
        <v>662</v>
      </c>
      <c r="G112" s="95" t="s">
        <v>42</v>
      </c>
      <c r="H112" s="237">
        <v>0.8</v>
      </c>
      <c r="I112" s="240">
        <v>0.9</v>
      </c>
      <c r="J112" s="4">
        <v>0.8</v>
      </c>
      <c r="K112" s="4"/>
      <c r="L112" s="4"/>
      <c r="M112" s="4"/>
      <c r="N112" s="240">
        <v>0.9</v>
      </c>
      <c r="O112" s="4">
        <v>0.9</v>
      </c>
      <c r="P112" s="240">
        <v>0.8</v>
      </c>
      <c r="Q112" s="4"/>
      <c r="R112" s="4">
        <v>0.9</v>
      </c>
      <c r="S112" s="4"/>
      <c r="T112" s="4"/>
      <c r="U112" s="4"/>
      <c r="V112" s="238"/>
      <c r="W112" s="4"/>
      <c r="X112" s="4"/>
      <c r="Y112" s="4"/>
      <c r="Z112" s="4"/>
      <c r="AA112" s="4"/>
      <c r="AB112" s="4"/>
      <c r="AC112" s="4"/>
      <c r="AD112" s="4">
        <v>0.8</v>
      </c>
      <c r="AE112" s="4"/>
      <c r="AF112" s="4"/>
      <c r="AG112" s="4"/>
      <c r="AH112" s="4"/>
      <c r="AI112" s="4"/>
      <c r="AJ112" s="4"/>
      <c r="AK112" s="1"/>
      <c r="AL112" s="1"/>
      <c r="AM112" s="1"/>
      <c r="AN112" s="1"/>
      <c r="AO112" s="4">
        <v>0.8</v>
      </c>
      <c r="AP112" s="4">
        <v>0.8</v>
      </c>
      <c r="AQ112" s="4">
        <v>0.8</v>
      </c>
      <c r="AR112" s="4">
        <v>0.8</v>
      </c>
      <c r="AS112" s="4"/>
      <c r="AT112" s="4">
        <v>0.8</v>
      </c>
      <c r="AU112" s="4">
        <v>0.8</v>
      </c>
      <c r="AV112" s="4">
        <v>0.8</v>
      </c>
      <c r="AW112" s="4"/>
      <c r="AX112" s="4">
        <v>0.8</v>
      </c>
      <c r="AY112" s="4">
        <v>0.8</v>
      </c>
      <c r="AZ112" s="4">
        <v>0.8</v>
      </c>
      <c r="BA112" s="4">
        <v>0.8</v>
      </c>
      <c r="BB112" s="4"/>
      <c r="BC112" s="4">
        <v>0.8</v>
      </c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>
        <v>0.8</v>
      </c>
      <c r="BP112" s="1"/>
      <c r="BQ112" s="1"/>
      <c r="BR112" s="1"/>
      <c r="BS112" s="1"/>
      <c r="BT112" s="1"/>
      <c r="BU112" s="1"/>
      <c r="BV112" s="1"/>
      <c r="BW112" s="1"/>
      <c r="BX112" s="4"/>
      <c r="BY112" s="136"/>
      <c r="BZ112" s="136">
        <v>0.8</v>
      </c>
      <c r="CA112" s="136"/>
      <c r="CB112" s="136"/>
      <c r="CC112" s="136"/>
      <c r="CD112" s="136"/>
      <c r="CE112" s="136"/>
      <c r="CF112" s="136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DA112" s="379">
        <f>DA111/50</f>
        <v>0.57999999999999996</v>
      </c>
    </row>
    <row r="113" spans="1:105" ht="20.25" customHeight="1" x14ac:dyDescent="0.35">
      <c r="A113" s="95"/>
      <c r="B113" s="200" t="s">
        <v>1544</v>
      </c>
      <c r="C113" s="200" t="s">
        <v>322</v>
      </c>
      <c r="D113" s="239" t="s">
        <v>1229</v>
      </c>
      <c r="E113" s="95" t="s">
        <v>595</v>
      </c>
      <c r="F113" s="95" t="s">
        <v>596</v>
      </c>
      <c r="G113" s="95" t="s">
        <v>35</v>
      </c>
      <c r="H113" s="288">
        <v>32.4</v>
      </c>
      <c r="I113" s="240">
        <v>38</v>
      </c>
      <c r="J113" s="4">
        <v>38</v>
      </c>
      <c r="K113" s="4"/>
      <c r="L113" s="4"/>
      <c r="M113" s="4"/>
      <c r="N113" s="108"/>
      <c r="O113" s="4"/>
      <c r="P113" s="4"/>
      <c r="Q113" s="4"/>
      <c r="R113" s="4"/>
      <c r="S113" s="4"/>
      <c r="T113" s="4"/>
      <c r="U113" s="4"/>
      <c r="V113" s="238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1"/>
      <c r="AL113" s="1"/>
      <c r="AM113" s="1"/>
      <c r="AN113" s="1"/>
      <c r="AO113" s="1">
        <v>38</v>
      </c>
      <c r="AP113" s="4">
        <v>38</v>
      </c>
      <c r="AQ113" s="4"/>
      <c r="AR113" s="4">
        <v>38</v>
      </c>
      <c r="AS113" s="4"/>
      <c r="AT113" s="4">
        <v>38</v>
      </c>
      <c r="AU113" s="4">
        <v>38</v>
      </c>
      <c r="AV113" s="4">
        <v>38</v>
      </c>
      <c r="AW113" s="4"/>
      <c r="AX113" s="4">
        <v>38</v>
      </c>
      <c r="AY113" s="4"/>
      <c r="AZ113" s="4"/>
      <c r="BA113" s="4"/>
      <c r="BB113" s="4"/>
      <c r="BC113" s="4">
        <v>38</v>
      </c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>
        <v>40</v>
      </c>
      <c r="BP113" s="1"/>
      <c r="BQ113" s="1"/>
      <c r="BR113" s="1"/>
      <c r="BS113" s="1"/>
      <c r="BT113" s="1"/>
      <c r="BU113" s="1"/>
      <c r="BV113" s="1"/>
      <c r="BW113" s="1"/>
      <c r="BX113" s="4"/>
      <c r="BY113" s="136"/>
      <c r="BZ113" s="136">
        <v>0</v>
      </c>
      <c r="CA113" s="136"/>
      <c r="CB113" s="136"/>
      <c r="CC113" s="136"/>
      <c r="CD113" s="136"/>
      <c r="CE113" s="136"/>
      <c r="CF113" s="136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DA113" s="379">
        <v>32.4</v>
      </c>
    </row>
    <row r="114" spans="1:105" ht="20.25" customHeight="1" x14ac:dyDescent="0.35">
      <c r="A114" s="95"/>
      <c r="B114" s="200" t="s">
        <v>1545</v>
      </c>
      <c r="C114" s="200" t="s">
        <v>322</v>
      </c>
      <c r="D114" s="239" t="s">
        <v>1232</v>
      </c>
      <c r="E114" s="95" t="s">
        <v>595</v>
      </c>
      <c r="F114" s="95" t="s">
        <v>109</v>
      </c>
      <c r="G114" s="95" t="s">
        <v>42</v>
      </c>
      <c r="H114" s="288">
        <v>10.1</v>
      </c>
      <c r="I114" s="240">
        <v>13</v>
      </c>
      <c r="J114" s="4"/>
      <c r="K114" s="4"/>
      <c r="L114" s="4"/>
      <c r="M114" s="4"/>
      <c r="N114" s="108"/>
      <c r="O114" s="4"/>
      <c r="P114" s="240">
        <v>13</v>
      </c>
      <c r="Q114" s="4"/>
      <c r="R114" s="4"/>
      <c r="S114" s="4"/>
      <c r="T114" s="4"/>
      <c r="U114" s="4"/>
      <c r="V114" s="238">
        <v>12</v>
      </c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1"/>
      <c r="AL114" s="1"/>
      <c r="AM114" s="1"/>
      <c r="AN114" s="1"/>
      <c r="AO114" s="1"/>
      <c r="AP114" s="4"/>
      <c r="AQ114" s="180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4"/>
      <c r="BY114" s="136"/>
      <c r="BZ114" s="136"/>
      <c r="CA114" s="136"/>
      <c r="CB114" s="136"/>
      <c r="CC114" s="136"/>
      <c r="CD114" s="136"/>
      <c r="CE114" s="136"/>
      <c r="CF114" s="136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DA114" s="379">
        <v>10.5</v>
      </c>
    </row>
    <row r="115" spans="1:105" ht="20.25" customHeight="1" x14ac:dyDescent="0.35">
      <c r="A115" s="95"/>
      <c r="B115" s="200" t="s">
        <v>1547</v>
      </c>
      <c r="C115" s="200" t="s">
        <v>322</v>
      </c>
      <c r="D115" s="239" t="s">
        <v>1232</v>
      </c>
      <c r="E115" s="95" t="s">
        <v>1546</v>
      </c>
      <c r="F115" s="95" t="s">
        <v>689</v>
      </c>
      <c r="G115" s="95" t="s">
        <v>42</v>
      </c>
      <c r="H115" s="288">
        <v>36</v>
      </c>
      <c r="I115" s="240"/>
      <c r="J115" s="4"/>
      <c r="K115" s="4"/>
      <c r="L115" s="4"/>
      <c r="M115" s="4"/>
      <c r="N115" s="108"/>
      <c r="O115" s="4"/>
      <c r="P115" s="4"/>
      <c r="Q115" s="4"/>
      <c r="R115" s="4"/>
      <c r="S115" s="4"/>
      <c r="T115" s="4"/>
      <c r="U115" s="4"/>
      <c r="V115" s="238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1"/>
      <c r="AL115" s="1"/>
      <c r="AM115" s="1"/>
      <c r="AN115" s="1"/>
      <c r="AO115" s="1"/>
      <c r="AP115" s="4"/>
      <c r="AQ115" s="180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4"/>
      <c r="BY115" s="136"/>
      <c r="BZ115" s="136"/>
      <c r="CA115" s="136"/>
      <c r="CB115" s="136"/>
      <c r="CC115" s="136"/>
      <c r="CD115" s="136"/>
      <c r="CE115" s="136"/>
      <c r="CF115" s="136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DA115" s="379">
        <v>36</v>
      </c>
    </row>
    <row r="116" spans="1:105" ht="20.25" customHeight="1" x14ac:dyDescent="0.35">
      <c r="A116" s="95"/>
      <c r="B116" s="200" t="s">
        <v>1548</v>
      </c>
      <c r="C116" s="200" t="s">
        <v>322</v>
      </c>
      <c r="D116" s="239" t="s">
        <v>1232</v>
      </c>
      <c r="E116" s="95" t="s">
        <v>1531</v>
      </c>
      <c r="F116" s="95" t="s">
        <v>109</v>
      </c>
      <c r="G116" s="95" t="s">
        <v>42</v>
      </c>
      <c r="H116" s="288">
        <f>H115/25*5</f>
        <v>7.1999999999999993</v>
      </c>
      <c r="I116" s="240">
        <v>12</v>
      </c>
      <c r="J116" s="4">
        <v>12</v>
      </c>
      <c r="K116" s="4"/>
      <c r="L116" s="4"/>
      <c r="M116" s="4"/>
      <c r="N116" s="108"/>
      <c r="O116" s="4"/>
      <c r="P116" s="4"/>
      <c r="Q116" s="146">
        <v>12</v>
      </c>
      <c r="R116" s="4"/>
      <c r="S116" s="111">
        <v>13</v>
      </c>
      <c r="T116" s="4"/>
      <c r="U116" s="4"/>
      <c r="V116" s="238"/>
      <c r="W116" s="4"/>
      <c r="X116" s="4"/>
      <c r="Y116" s="4"/>
      <c r="Z116" s="4"/>
      <c r="AA116" s="4"/>
      <c r="AB116" s="4"/>
      <c r="AC116" s="4">
        <v>12.5</v>
      </c>
      <c r="AD116" s="4"/>
      <c r="AE116" s="4"/>
      <c r="AF116" s="111">
        <v>12.5</v>
      </c>
      <c r="AG116" s="4"/>
      <c r="AH116" s="4"/>
      <c r="AI116" s="4"/>
      <c r="AJ116" s="4">
        <v>12</v>
      </c>
      <c r="AK116" s="1"/>
      <c r="AL116" s="1"/>
      <c r="AM116" s="1"/>
      <c r="AN116" s="1"/>
      <c r="AO116" s="1"/>
      <c r="AP116" s="4"/>
      <c r="AQ116" s="180">
        <v>12</v>
      </c>
      <c r="AR116" s="4"/>
      <c r="AS116" s="4"/>
      <c r="AT116" s="4"/>
      <c r="AU116" s="4"/>
      <c r="AV116" s="4"/>
      <c r="AW116" s="4">
        <v>12</v>
      </c>
      <c r="AX116" s="4"/>
      <c r="AY116" s="4">
        <v>12</v>
      </c>
      <c r="AZ116" s="4">
        <v>12</v>
      </c>
      <c r="BA116" s="4">
        <v>12</v>
      </c>
      <c r="BB116" s="4"/>
      <c r="BC116" s="4"/>
      <c r="BD116" s="1"/>
      <c r="BE116" s="1"/>
      <c r="BF116" s="1"/>
      <c r="BG116" s="1"/>
      <c r="BH116" s="1"/>
      <c r="BI116" s="1"/>
      <c r="BJ116" s="1"/>
      <c r="BK116" s="1">
        <v>14</v>
      </c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4">
        <f>J116</f>
        <v>12</v>
      </c>
      <c r="BY116" s="136"/>
      <c r="BZ116" s="136"/>
      <c r="CA116" s="136"/>
      <c r="CB116" s="136"/>
      <c r="CC116" s="136"/>
      <c r="CD116" s="136"/>
      <c r="CE116" s="136"/>
      <c r="CF116" s="136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DA116" s="379">
        <f>DA115/25*5</f>
        <v>7.1999999999999993</v>
      </c>
    </row>
    <row r="117" spans="1:105" ht="20.25" customHeight="1" x14ac:dyDescent="0.35">
      <c r="A117" s="95"/>
      <c r="B117" s="200" t="s">
        <v>2151</v>
      </c>
      <c r="C117" s="200" t="s">
        <v>322</v>
      </c>
      <c r="D117" s="239" t="s">
        <v>1232</v>
      </c>
      <c r="E117" s="95" t="s">
        <v>1531</v>
      </c>
      <c r="F117" s="95" t="s">
        <v>1155</v>
      </c>
      <c r="G117" s="95"/>
      <c r="H117" s="288"/>
      <c r="I117" s="240"/>
      <c r="J117" s="4"/>
      <c r="K117" s="4"/>
      <c r="L117" s="4"/>
      <c r="M117" s="4"/>
      <c r="N117" s="108"/>
      <c r="O117" s="4"/>
      <c r="P117" s="4"/>
      <c r="Q117" s="146"/>
      <c r="R117" s="4"/>
      <c r="S117" s="111"/>
      <c r="T117" s="4"/>
      <c r="U117" s="4"/>
      <c r="V117" s="238"/>
      <c r="W117" s="4"/>
      <c r="X117" s="4"/>
      <c r="Y117" s="4"/>
      <c r="Z117" s="4"/>
      <c r="AA117" s="4"/>
      <c r="AB117" s="4"/>
      <c r="AC117" s="4"/>
      <c r="AD117" s="4"/>
      <c r="AE117" s="4"/>
      <c r="AF117" s="111"/>
      <c r="AG117" s="4"/>
      <c r="AH117" s="4"/>
      <c r="AI117" s="4"/>
      <c r="AJ117" s="4"/>
      <c r="AK117" s="1"/>
      <c r="AL117" s="1"/>
      <c r="AM117" s="1"/>
      <c r="AN117" s="1"/>
      <c r="AO117" s="1"/>
      <c r="AP117" s="4"/>
      <c r="AQ117" s="180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4"/>
      <c r="BY117" s="136"/>
      <c r="BZ117" s="136"/>
      <c r="CA117" s="136"/>
      <c r="CB117" s="136"/>
      <c r="CC117" s="136"/>
      <c r="CD117" s="136"/>
      <c r="CE117" s="136"/>
      <c r="CF117" s="136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DA117" s="379">
        <f>DA116/5*4</f>
        <v>5.76</v>
      </c>
    </row>
    <row r="118" spans="1:105" ht="20.25" customHeight="1" x14ac:dyDescent="0.35">
      <c r="A118" s="95"/>
      <c r="B118" s="200" t="s">
        <v>2152</v>
      </c>
      <c r="C118" s="200" t="s">
        <v>322</v>
      </c>
      <c r="D118" s="239" t="s">
        <v>1232</v>
      </c>
      <c r="E118" s="95" t="s">
        <v>1531</v>
      </c>
      <c r="F118" s="95" t="s">
        <v>75</v>
      </c>
      <c r="G118" s="95"/>
      <c r="H118" s="288"/>
      <c r="I118" s="240"/>
      <c r="J118" s="4"/>
      <c r="K118" s="4"/>
      <c r="L118" s="4"/>
      <c r="M118" s="4"/>
      <c r="N118" s="108"/>
      <c r="O118" s="4"/>
      <c r="P118" s="4"/>
      <c r="Q118" s="146"/>
      <c r="R118" s="4"/>
      <c r="S118" s="111"/>
      <c r="T118" s="4"/>
      <c r="U118" s="4"/>
      <c r="V118" s="238"/>
      <c r="W118" s="4"/>
      <c r="X118" s="4"/>
      <c r="Y118" s="4"/>
      <c r="Z118" s="4"/>
      <c r="AA118" s="4"/>
      <c r="AB118" s="4"/>
      <c r="AC118" s="4"/>
      <c r="AD118" s="4"/>
      <c r="AE118" s="4"/>
      <c r="AF118" s="111"/>
      <c r="AG118" s="4"/>
      <c r="AH118" s="4"/>
      <c r="AI118" s="4"/>
      <c r="AJ118" s="4"/>
      <c r="AK118" s="1"/>
      <c r="AL118" s="1"/>
      <c r="AM118" s="1"/>
      <c r="AN118" s="1"/>
      <c r="AO118" s="1"/>
      <c r="AP118" s="4"/>
      <c r="AQ118" s="180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4"/>
      <c r="BY118" s="136"/>
      <c r="BZ118" s="136"/>
      <c r="CA118" s="136"/>
      <c r="CB118" s="136"/>
      <c r="CC118" s="136"/>
      <c r="CD118" s="136"/>
      <c r="CE118" s="136"/>
      <c r="CF118" s="136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DA118" s="379">
        <f>DA116/5</f>
        <v>1.44</v>
      </c>
    </row>
    <row r="119" spans="1:105" ht="20.25" customHeight="1" x14ac:dyDescent="0.35">
      <c r="A119" s="95"/>
      <c r="B119" s="200" t="s">
        <v>1549</v>
      </c>
      <c r="C119" s="200" t="s">
        <v>1550</v>
      </c>
      <c r="D119" s="62"/>
      <c r="E119" s="95"/>
      <c r="F119" s="62" t="s">
        <v>929</v>
      </c>
      <c r="G119" s="62" t="s">
        <v>42</v>
      </c>
      <c r="H119" s="237"/>
      <c r="I119" s="240"/>
      <c r="J119" s="4"/>
      <c r="K119" s="4"/>
      <c r="L119" s="4"/>
      <c r="M119" s="4"/>
      <c r="N119" s="108"/>
      <c r="O119" s="4"/>
      <c r="P119" s="4"/>
      <c r="Q119" s="146"/>
      <c r="R119" s="4"/>
      <c r="S119" s="111"/>
      <c r="T119" s="4"/>
      <c r="U119" s="4"/>
      <c r="V119" s="238"/>
      <c r="W119" s="4"/>
      <c r="X119" s="4"/>
      <c r="Y119" s="4"/>
      <c r="Z119" s="4"/>
      <c r="AA119" s="4"/>
      <c r="AB119" s="4"/>
      <c r="AC119" s="4"/>
      <c r="AD119" s="4"/>
      <c r="AE119" s="4"/>
      <c r="AF119" s="111"/>
      <c r="AG119" s="4"/>
      <c r="AH119" s="4"/>
      <c r="AI119" s="4"/>
      <c r="AJ119" s="4"/>
      <c r="AK119" s="1"/>
      <c r="AL119" s="1"/>
      <c r="AM119" s="1"/>
      <c r="AN119" s="1"/>
      <c r="AO119" s="1"/>
      <c r="AP119" s="4"/>
      <c r="AQ119" s="180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4"/>
      <c r="BY119" s="136"/>
      <c r="BZ119" s="136"/>
      <c r="CA119" s="136"/>
      <c r="CB119" s="136"/>
      <c r="CC119" s="136"/>
      <c r="CD119" s="136"/>
      <c r="CE119" s="136"/>
      <c r="CF119" s="136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DA119" s="379"/>
    </row>
    <row r="120" spans="1:105" ht="20.25" customHeight="1" x14ac:dyDescent="0.35">
      <c r="A120" s="95"/>
      <c r="B120" s="200" t="s">
        <v>1551</v>
      </c>
      <c r="C120" s="200" t="s">
        <v>1550</v>
      </c>
      <c r="D120" s="62"/>
      <c r="E120" s="95"/>
      <c r="F120" s="62" t="s">
        <v>1552</v>
      </c>
      <c r="G120" s="62" t="s">
        <v>42</v>
      </c>
      <c r="H120" s="237"/>
      <c r="I120" s="240"/>
      <c r="J120" s="4"/>
      <c r="K120" s="4"/>
      <c r="L120" s="4"/>
      <c r="M120" s="4"/>
      <c r="N120" s="108"/>
      <c r="O120" s="4"/>
      <c r="P120" s="4"/>
      <c r="Q120" s="146"/>
      <c r="R120" s="4"/>
      <c r="S120" s="111"/>
      <c r="T120" s="4"/>
      <c r="U120" s="4"/>
      <c r="V120" s="238"/>
      <c r="W120" s="4"/>
      <c r="X120" s="4"/>
      <c r="Y120" s="4"/>
      <c r="Z120" s="4"/>
      <c r="AA120" s="4"/>
      <c r="AB120" s="4"/>
      <c r="AC120" s="4"/>
      <c r="AD120" s="4"/>
      <c r="AE120" s="4"/>
      <c r="AF120" s="111"/>
      <c r="AG120" s="4"/>
      <c r="AH120" s="4"/>
      <c r="AI120" s="4"/>
      <c r="AJ120" s="4"/>
      <c r="AK120" s="1"/>
      <c r="AL120" s="1"/>
      <c r="AM120" s="1"/>
      <c r="AN120" s="1"/>
      <c r="AO120" s="1"/>
      <c r="AP120" s="4"/>
      <c r="AQ120" s="180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4"/>
      <c r="BY120" s="136"/>
      <c r="BZ120" s="136"/>
      <c r="CA120" s="136"/>
      <c r="CB120" s="136"/>
      <c r="CC120" s="136"/>
      <c r="CD120" s="136"/>
      <c r="CE120" s="136"/>
      <c r="CF120" s="136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DA120" s="379"/>
    </row>
    <row r="121" spans="1:105" ht="20.25" customHeight="1" x14ac:dyDescent="0.35">
      <c r="A121" s="6"/>
      <c r="B121" s="253" t="s">
        <v>1553</v>
      </c>
      <c r="C121" s="200" t="s">
        <v>1163</v>
      </c>
      <c r="D121" s="95"/>
      <c r="E121" s="95"/>
      <c r="F121" s="95" t="s">
        <v>75</v>
      </c>
      <c r="G121" s="95"/>
      <c r="H121" s="237"/>
      <c r="I121" s="4"/>
      <c r="J121" s="4"/>
      <c r="K121" s="4"/>
      <c r="L121" s="4"/>
      <c r="M121" s="4"/>
      <c r="N121" s="108"/>
      <c r="O121" s="4"/>
      <c r="P121" s="4"/>
      <c r="Q121" s="4"/>
      <c r="R121" s="4"/>
      <c r="S121" s="4"/>
      <c r="T121" s="4"/>
      <c r="U121" s="4"/>
      <c r="V121" s="238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>
        <v>3</v>
      </c>
      <c r="AH121" s="4"/>
      <c r="AI121" s="4"/>
      <c r="AJ121" s="4"/>
      <c r="AK121" s="1"/>
      <c r="AL121" s="1"/>
      <c r="AM121" s="1"/>
      <c r="AN121" s="1"/>
      <c r="AO121" s="1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4"/>
      <c r="BY121" s="136"/>
      <c r="BZ121" s="136"/>
      <c r="CA121" s="136"/>
      <c r="CB121" s="136"/>
      <c r="CC121" s="136"/>
      <c r="CD121" s="136"/>
      <c r="CE121" s="136"/>
      <c r="CF121" s="136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DA121" s="379"/>
    </row>
    <row r="122" spans="1:105" ht="20.25" customHeight="1" x14ac:dyDescent="0.35">
      <c r="A122" s="95"/>
      <c r="B122" s="200" t="s">
        <v>1554</v>
      </c>
      <c r="C122" s="200" t="s">
        <v>342</v>
      </c>
      <c r="D122" s="239" t="s">
        <v>1229</v>
      </c>
      <c r="E122" s="95" t="s">
        <v>193</v>
      </c>
      <c r="F122" s="95" t="s">
        <v>839</v>
      </c>
      <c r="G122" s="95" t="s">
        <v>35</v>
      </c>
      <c r="H122" s="347">
        <v>17.3</v>
      </c>
      <c r="I122" s="240">
        <v>22</v>
      </c>
      <c r="J122" s="192"/>
      <c r="K122" s="4"/>
      <c r="L122" s="4"/>
      <c r="M122" s="67">
        <v>24</v>
      </c>
      <c r="N122" s="108"/>
      <c r="O122" s="192"/>
      <c r="P122" s="4"/>
      <c r="Q122" s="4"/>
      <c r="R122" s="4">
        <v>27</v>
      </c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1"/>
      <c r="AL122" s="1"/>
      <c r="AM122" s="1"/>
      <c r="AN122" s="1"/>
      <c r="AO122" s="1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>
        <v>25</v>
      </c>
      <c r="BP122" s="1"/>
      <c r="BQ122" s="1"/>
      <c r="BR122" s="1"/>
      <c r="BS122" s="1"/>
      <c r="BT122" s="1"/>
      <c r="BU122" s="1"/>
      <c r="BV122" s="1"/>
      <c r="BW122" s="1"/>
      <c r="BX122" s="4"/>
      <c r="BY122" s="136"/>
      <c r="BZ122" s="136"/>
      <c r="CA122" s="136"/>
      <c r="CB122" s="136"/>
      <c r="CC122" s="136"/>
      <c r="CD122" s="136"/>
      <c r="CE122" s="136"/>
      <c r="CF122" s="136"/>
      <c r="CG122" s="7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DA122" s="379">
        <v>18.600000000000001</v>
      </c>
    </row>
    <row r="123" spans="1:105" ht="20.25" customHeight="1" x14ac:dyDescent="0.35">
      <c r="A123" s="95" t="s">
        <v>2278</v>
      </c>
      <c r="B123" s="200" t="s">
        <v>1555</v>
      </c>
      <c r="C123" s="200" t="s">
        <v>2254</v>
      </c>
      <c r="D123" s="239" t="s">
        <v>1232</v>
      </c>
      <c r="E123" s="95" t="s">
        <v>36</v>
      </c>
      <c r="F123" s="95" t="s">
        <v>1386</v>
      </c>
      <c r="G123" s="95" t="s">
        <v>1345</v>
      </c>
      <c r="H123" s="304">
        <v>24</v>
      </c>
      <c r="I123" s="4">
        <v>32</v>
      </c>
      <c r="J123" s="4"/>
      <c r="K123" s="4"/>
      <c r="L123" s="4"/>
      <c r="M123" s="67">
        <v>32</v>
      </c>
      <c r="N123" s="108"/>
      <c r="O123" s="4"/>
      <c r="P123" s="4"/>
      <c r="Q123" s="4"/>
      <c r="R123" s="4"/>
      <c r="S123" s="4"/>
      <c r="T123" s="4"/>
      <c r="U123" s="4"/>
      <c r="V123" s="238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1"/>
      <c r="AL123" s="1"/>
      <c r="AM123" s="1"/>
      <c r="AN123" s="1"/>
      <c r="AO123" s="1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4"/>
      <c r="BY123" s="136"/>
      <c r="BZ123" s="136"/>
      <c r="CA123" s="136"/>
      <c r="CB123" s="136"/>
      <c r="CC123" s="136"/>
      <c r="CD123" s="136"/>
      <c r="CE123" s="136"/>
      <c r="CF123" s="136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DA123" s="379">
        <v>24</v>
      </c>
    </row>
    <row r="124" spans="1:105" ht="20.25" customHeight="1" x14ac:dyDescent="0.35">
      <c r="A124" s="6"/>
      <c r="B124" s="200" t="s">
        <v>1556</v>
      </c>
      <c r="C124" s="200" t="s">
        <v>2153</v>
      </c>
      <c r="D124" s="95" t="s">
        <v>1177</v>
      </c>
      <c r="E124" s="95" t="s">
        <v>1561</v>
      </c>
      <c r="F124" s="62" t="s">
        <v>34</v>
      </c>
      <c r="G124" s="62" t="s">
        <v>40</v>
      </c>
      <c r="H124" s="237">
        <v>36</v>
      </c>
      <c r="I124" s="4"/>
      <c r="J124" s="4"/>
      <c r="K124" s="4"/>
      <c r="L124" s="4"/>
      <c r="M124" s="4"/>
      <c r="N124" s="108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1"/>
      <c r="AL124" s="1"/>
      <c r="AM124" s="1"/>
      <c r="AN124" s="1"/>
      <c r="AO124" s="1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4"/>
      <c r="BY124" s="136"/>
      <c r="BZ124" s="136"/>
      <c r="CA124" s="136"/>
      <c r="CB124" s="136"/>
      <c r="CC124" s="136"/>
      <c r="CD124" s="136"/>
      <c r="CE124" s="136"/>
      <c r="CF124" s="136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DA124" s="379"/>
    </row>
    <row r="125" spans="1:105" ht="20.25" customHeight="1" x14ac:dyDescent="0.35">
      <c r="A125" s="6"/>
      <c r="B125" s="200" t="s">
        <v>1557</v>
      </c>
      <c r="C125" s="200" t="s">
        <v>1105</v>
      </c>
      <c r="D125" s="95" t="s">
        <v>1103</v>
      </c>
      <c r="E125" s="6" t="s">
        <v>1102</v>
      </c>
      <c r="F125" s="6" t="s">
        <v>1104</v>
      </c>
      <c r="G125" s="6"/>
      <c r="H125" s="237"/>
      <c r="I125" s="4"/>
      <c r="J125" s="4"/>
      <c r="K125" s="4"/>
      <c r="L125" s="4"/>
      <c r="M125" s="4"/>
      <c r="N125" s="108"/>
      <c r="O125" s="4">
        <v>24</v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1"/>
      <c r="AL125" s="1"/>
      <c r="AM125" s="1"/>
      <c r="AN125" s="1"/>
      <c r="AO125" s="1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4"/>
      <c r="BY125" s="136"/>
      <c r="BZ125" s="136"/>
      <c r="CA125" s="136"/>
      <c r="CB125" s="136"/>
      <c r="CC125" s="136"/>
      <c r="CD125" s="136"/>
      <c r="CE125" s="136"/>
      <c r="CF125" s="136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DA125" s="379">
        <v>19</v>
      </c>
    </row>
    <row r="126" spans="1:105" ht="20.25" customHeight="1" x14ac:dyDescent="0.35">
      <c r="A126" s="6"/>
      <c r="B126" s="200" t="s">
        <v>1558</v>
      </c>
      <c r="C126" s="200" t="s">
        <v>2291</v>
      </c>
      <c r="D126" s="95"/>
      <c r="E126" s="6"/>
      <c r="F126" s="6" t="s">
        <v>1122</v>
      </c>
      <c r="G126" s="6"/>
      <c r="H126" s="237"/>
      <c r="I126" s="4"/>
      <c r="J126" s="4"/>
      <c r="K126" s="4"/>
      <c r="L126" s="4"/>
      <c r="M126" s="4"/>
      <c r="N126" s="108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1"/>
      <c r="AL126" s="1"/>
      <c r="AM126" s="1"/>
      <c r="AN126" s="1"/>
      <c r="AO126" s="1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>
        <f>12*1.2</f>
        <v>14.399999999999999</v>
      </c>
      <c r="BP126" s="1"/>
      <c r="BQ126" s="1"/>
      <c r="BR126" s="1"/>
      <c r="BS126" s="136"/>
      <c r="BT126" s="136"/>
      <c r="BU126" s="136"/>
      <c r="BV126" s="136"/>
      <c r="BW126" s="136"/>
      <c r="BX126" s="4"/>
      <c r="BY126" s="136"/>
      <c r="BZ126" s="136"/>
      <c r="CA126" s="136"/>
      <c r="CB126" s="136"/>
      <c r="CC126" s="136"/>
      <c r="CD126" s="136"/>
      <c r="CE126" s="136"/>
      <c r="CF126" s="136"/>
      <c r="CG126" s="136"/>
      <c r="CH126" s="136"/>
      <c r="CI126" s="136"/>
      <c r="CJ126" s="136"/>
      <c r="CK126" s="136"/>
      <c r="CL126" s="136"/>
      <c r="CM126" s="136"/>
      <c r="CN126" s="136"/>
      <c r="CO126" s="1"/>
      <c r="CP126" s="1"/>
      <c r="CQ126" s="1"/>
      <c r="CR126" s="1"/>
      <c r="DA126" s="379"/>
    </row>
    <row r="127" spans="1:105" ht="20.25" customHeight="1" x14ac:dyDescent="0.35">
      <c r="A127" s="6" t="s">
        <v>2251</v>
      </c>
      <c r="B127" s="200" t="s">
        <v>2250</v>
      </c>
      <c r="C127" s="200" t="s">
        <v>2291</v>
      </c>
      <c r="D127" s="95"/>
      <c r="E127" s="6"/>
      <c r="F127" s="6" t="s">
        <v>2249</v>
      </c>
      <c r="G127" s="6"/>
      <c r="H127" s="237"/>
      <c r="I127" s="136">
        <v>0.95</v>
      </c>
      <c r="J127" s="4"/>
      <c r="K127" s="4"/>
      <c r="L127" s="4"/>
      <c r="M127" s="4"/>
      <c r="N127" s="108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1"/>
      <c r="AL127" s="1"/>
      <c r="AM127" s="1"/>
      <c r="AN127" s="1"/>
      <c r="AO127" s="1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36"/>
      <c r="BT127" s="136"/>
      <c r="BU127" s="136"/>
      <c r="BV127" s="136"/>
      <c r="BW127" s="136"/>
      <c r="BX127" s="4"/>
      <c r="BY127" s="136"/>
      <c r="BZ127" s="136"/>
      <c r="CA127" s="136"/>
      <c r="CB127" s="136"/>
      <c r="CC127" s="136"/>
      <c r="CD127" s="136"/>
      <c r="CE127" s="136"/>
      <c r="CF127" s="136"/>
      <c r="CG127" s="136"/>
      <c r="CH127" s="136"/>
      <c r="CI127" s="136"/>
      <c r="CJ127" s="136"/>
      <c r="CK127" s="136"/>
      <c r="CL127" s="136"/>
      <c r="CM127" s="136"/>
      <c r="CN127" s="136"/>
      <c r="CO127" s="1"/>
      <c r="CP127" s="1"/>
      <c r="CQ127" s="1"/>
      <c r="CR127" s="1"/>
      <c r="DA127" s="379">
        <v>0.55000000000000004</v>
      </c>
    </row>
    <row r="128" spans="1:105" ht="20.25" customHeight="1" x14ac:dyDescent="0.35">
      <c r="A128" s="6"/>
      <c r="B128" s="200" t="s">
        <v>1559</v>
      </c>
      <c r="C128" s="200" t="s">
        <v>2292</v>
      </c>
      <c r="D128" s="95"/>
      <c r="E128" s="6" t="s">
        <v>1117</v>
      </c>
      <c r="F128" s="6" t="s">
        <v>1126</v>
      </c>
      <c r="G128" s="6"/>
      <c r="H128" s="237"/>
      <c r="I128" s="4"/>
      <c r="J128" s="4"/>
      <c r="K128" s="4"/>
      <c r="L128" s="4"/>
      <c r="M128" s="4"/>
      <c r="N128" s="108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1"/>
      <c r="AL128" s="1"/>
      <c r="AM128" s="1"/>
      <c r="AN128" s="1"/>
      <c r="AO128" s="1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>
        <f>10*1.2</f>
        <v>12</v>
      </c>
      <c r="BP128" s="1"/>
      <c r="BQ128" s="1"/>
      <c r="BR128" s="1"/>
      <c r="BS128" s="136"/>
      <c r="BT128" s="136"/>
      <c r="BU128" s="136"/>
      <c r="BV128" s="136"/>
      <c r="BW128" s="136"/>
      <c r="BX128" s="4"/>
      <c r="BY128" s="136"/>
      <c r="BZ128" s="136"/>
      <c r="CA128" s="136"/>
      <c r="CB128" s="136"/>
      <c r="CC128" s="136"/>
      <c r="CD128" s="136"/>
      <c r="CE128" s="136"/>
      <c r="CF128" s="136"/>
      <c r="CG128" s="136"/>
      <c r="CH128" s="136"/>
      <c r="CI128" s="136"/>
      <c r="CJ128" s="136"/>
      <c r="CK128" s="136"/>
      <c r="CL128" s="136"/>
      <c r="CM128" s="136"/>
      <c r="CN128" s="136"/>
      <c r="CO128" s="1"/>
      <c r="CP128" s="1"/>
      <c r="CQ128" s="1"/>
      <c r="CR128" s="1"/>
      <c r="DA128" s="379"/>
    </row>
    <row r="129" spans="1:105" ht="20.25" customHeight="1" x14ac:dyDescent="0.35">
      <c r="A129" s="6"/>
      <c r="B129" s="200" t="s">
        <v>1560</v>
      </c>
      <c r="C129" s="307" t="s">
        <v>2155</v>
      </c>
      <c r="D129" s="95" t="s">
        <v>1177</v>
      </c>
      <c r="E129" s="95" t="s">
        <v>2156</v>
      </c>
      <c r="F129" s="95" t="s">
        <v>75</v>
      </c>
      <c r="G129" s="95"/>
      <c r="H129" s="237"/>
      <c r="I129" s="4"/>
      <c r="J129" s="4"/>
      <c r="K129" s="4"/>
      <c r="L129" s="4"/>
      <c r="M129" s="4"/>
      <c r="N129" s="108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1"/>
      <c r="AL129" s="1"/>
      <c r="AM129" s="1"/>
      <c r="AN129" s="1"/>
      <c r="AO129" s="1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36"/>
      <c r="BT129" s="136"/>
      <c r="BU129" s="136"/>
      <c r="BV129" s="136"/>
      <c r="BW129" s="136"/>
      <c r="BX129" s="4"/>
      <c r="BY129" s="136"/>
      <c r="BZ129" s="136"/>
      <c r="CA129" s="136"/>
      <c r="CB129" s="136"/>
      <c r="CC129" s="136"/>
      <c r="CD129" s="136"/>
      <c r="CE129" s="136"/>
      <c r="CF129" s="136"/>
      <c r="CG129" s="136"/>
      <c r="CH129" s="136"/>
      <c r="CI129" s="136"/>
      <c r="CJ129" s="136"/>
      <c r="CK129" s="136"/>
      <c r="CL129" s="136"/>
      <c r="CM129" s="136"/>
      <c r="CN129" s="136"/>
      <c r="CO129" s="1"/>
      <c r="CP129" s="1"/>
      <c r="CQ129" s="1"/>
      <c r="CR129" s="1"/>
      <c r="DA129" s="379"/>
    </row>
    <row r="130" spans="1:105" ht="20.25" customHeight="1" x14ac:dyDescent="0.35">
      <c r="A130" s="6"/>
      <c r="B130" s="200" t="s">
        <v>1898</v>
      </c>
      <c r="C130" s="307" t="s">
        <v>2157</v>
      </c>
      <c r="D130" s="95" t="s">
        <v>1177</v>
      </c>
      <c r="E130" s="95" t="s">
        <v>2166</v>
      </c>
      <c r="F130" s="95" t="s">
        <v>75</v>
      </c>
      <c r="G130" s="95" t="s">
        <v>40</v>
      </c>
      <c r="H130" s="288">
        <v>26</v>
      </c>
      <c r="I130" s="4"/>
      <c r="J130" s="4"/>
      <c r="K130" s="4"/>
      <c r="L130" s="4"/>
      <c r="M130" s="4"/>
      <c r="N130" s="108"/>
      <c r="O130" s="4"/>
      <c r="P130" s="4"/>
      <c r="Q130" s="4"/>
      <c r="R130" s="4">
        <v>38</v>
      </c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1"/>
      <c r="AL130" s="1"/>
      <c r="AM130" s="1"/>
      <c r="AN130" s="1"/>
      <c r="AO130" s="1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36"/>
      <c r="BT130" s="136"/>
      <c r="BU130" s="136"/>
      <c r="BV130" s="136"/>
      <c r="BW130" s="136"/>
      <c r="BX130" s="4"/>
      <c r="BY130" s="136"/>
      <c r="BZ130" s="136"/>
      <c r="CA130" s="136"/>
      <c r="CB130" s="136"/>
      <c r="CC130" s="136"/>
      <c r="CD130" s="136"/>
      <c r="CE130" s="136"/>
      <c r="CF130" s="136"/>
      <c r="CG130" s="136"/>
      <c r="CH130" s="136"/>
      <c r="CI130" s="136"/>
      <c r="CJ130" s="136"/>
      <c r="CK130" s="136"/>
      <c r="CL130" s="136"/>
      <c r="CM130" s="136"/>
      <c r="CN130" s="136"/>
      <c r="CO130" s="1"/>
      <c r="CP130" s="1"/>
      <c r="CQ130" s="1"/>
      <c r="CR130" s="1"/>
      <c r="DA130" s="379"/>
    </row>
    <row r="131" spans="1:105" ht="20.25" customHeight="1" x14ac:dyDescent="0.35">
      <c r="A131" s="6"/>
      <c r="B131" s="200" t="s">
        <v>1946</v>
      </c>
      <c r="C131" s="307" t="s">
        <v>2158</v>
      </c>
      <c r="D131" s="95" t="s">
        <v>36</v>
      </c>
      <c r="E131" s="95" t="s">
        <v>1947</v>
      </c>
      <c r="F131" s="95" t="s">
        <v>689</v>
      </c>
      <c r="G131" s="95" t="s">
        <v>51</v>
      </c>
      <c r="H131" s="288">
        <v>25</v>
      </c>
      <c r="I131" s="4"/>
      <c r="J131" s="4"/>
      <c r="K131" s="4"/>
      <c r="L131" s="4"/>
      <c r="M131" s="4"/>
      <c r="N131" s="108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1"/>
      <c r="AL131" s="1"/>
      <c r="AM131" s="1"/>
      <c r="AN131" s="1"/>
      <c r="AO131" s="1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36"/>
      <c r="BT131" s="136">
        <v>36</v>
      </c>
      <c r="BU131" s="136"/>
      <c r="BV131" s="136"/>
      <c r="BW131" s="136"/>
      <c r="BX131" s="4"/>
      <c r="BY131" s="136"/>
      <c r="BZ131" s="136"/>
      <c r="CA131" s="136"/>
      <c r="CB131" s="136"/>
      <c r="CC131" s="136"/>
      <c r="CD131" s="136"/>
      <c r="CE131" s="136"/>
      <c r="CF131" s="136"/>
      <c r="CG131" s="136"/>
      <c r="CH131" s="136"/>
      <c r="CI131" s="136"/>
      <c r="CJ131" s="136"/>
      <c r="CK131" s="136"/>
      <c r="CL131" s="136"/>
      <c r="CM131" s="136"/>
      <c r="CN131" s="136"/>
      <c r="CO131" s="1"/>
      <c r="CP131" s="1"/>
      <c r="CQ131" s="1"/>
      <c r="CR131" s="1"/>
      <c r="DA131" s="379"/>
    </row>
    <row r="132" spans="1:105" ht="20.25" customHeight="1" x14ac:dyDescent="0.35">
      <c r="A132" s="6"/>
      <c r="B132" s="200" t="s">
        <v>1953</v>
      </c>
      <c r="C132" s="307" t="s">
        <v>2159</v>
      </c>
      <c r="D132" s="95" t="s">
        <v>1177</v>
      </c>
      <c r="E132" s="95" t="s">
        <v>2156</v>
      </c>
      <c r="F132" s="95" t="s">
        <v>75</v>
      </c>
      <c r="G132" s="95" t="s">
        <v>51</v>
      </c>
      <c r="H132" s="288">
        <v>11</v>
      </c>
      <c r="I132" s="4">
        <v>15</v>
      </c>
      <c r="J132" s="4"/>
      <c r="K132" s="4"/>
      <c r="L132" s="4"/>
      <c r="M132" s="4"/>
      <c r="N132" s="108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1"/>
      <c r="AL132" s="1"/>
      <c r="AM132" s="1"/>
      <c r="AN132" s="1"/>
      <c r="AO132" s="1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36"/>
      <c r="BT132" s="136"/>
      <c r="BU132" s="136"/>
      <c r="BV132" s="136"/>
      <c r="BW132" s="136"/>
      <c r="BX132" s="4"/>
      <c r="BY132" s="136"/>
      <c r="BZ132" s="136"/>
      <c r="CA132" s="136"/>
      <c r="CB132" s="136"/>
      <c r="CC132" s="136"/>
      <c r="CD132" s="136"/>
      <c r="CE132" s="136"/>
      <c r="CF132" s="136"/>
      <c r="CG132" s="136"/>
      <c r="CH132" s="136"/>
      <c r="CI132" s="136"/>
      <c r="CJ132" s="136"/>
      <c r="CK132" s="136"/>
      <c r="CL132" s="136"/>
      <c r="CM132" s="136"/>
      <c r="CN132" s="136"/>
      <c r="CO132" s="1"/>
      <c r="CP132" s="1"/>
      <c r="CQ132" s="1"/>
      <c r="CR132" s="1"/>
      <c r="DA132" s="379">
        <v>12</v>
      </c>
    </row>
    <row r="133" spans="1:105" ht="20.25" customHeight="1" x14ac:dyDescent="0.35">
      <c r="A133" s="6"/>
      <c r="B133" s="200" t="s">
        <v>1956</v>
      </c>
      <c r="C133" s="307" t="s">
        <v>2160</v>
      </c>
      <c r="D133" s="95" t="s">
        <v>1177</v>
      </c>
      <c r="E133" s="95" t="s">
        <v>1561</v>
      </c>
      <c r="F133" s="95" t="s">
        <v>2161</v>
      </c>
      <c r="G133" s="95" t="s">
        <v>51</v>
      </c>
      <c r="H133" s="288">
        <v>7.2</v>
      </c>
      <c r="I133" s="4"/>
      <c r="J133" s="4"/>
      <c r="K133" s="4"/>
      <c r="L133" s="4"/>
      <c r="M133" s="4"/>
      <c r="N133" s="108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1"/>
      <c r="AL133" s="1"/>
      <c r="AM133" s="1"/>
      <c r="AN133" s="1"/>
      <c r="AO133" s="1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>
        <v>9.5</v>
      </c>
      <c r="BR133" s="1"/>
      <c r="BS133" s="136"/>
      <c r="BT133" s="136"/>
      <c r="BU133" s="136"/>
      <c r="BV133" s="136"/>
      <c r="BW133" s="136"/>
      <c r="BX133" s="4"/>
      <c r="BY133" s="136"/>
      <c r="BZ133" s="136"/>
      <c r="CA133" s="136"/>
      <c r="CB133" s="136"/>
      <c r="CC133" s="136"/>
      <c r="CD133" s="136"/>
      <c r="CE133" s="136"/>
      <c r="CF133" s="136"/>
      <c r="CG133" s="136"/>
      <c r="CH133" s="136"/>
      <c r="CI133" s="136"/>
      <c r="CJ133" s="136"/>
      <c r="CK133" s="136"/>
      <c r="CL133" s="136"/>
      <c r="CM133" s="136"/>
      <c r="CN133" s="136"/>
      <c r="CO133" s="1"/>
      <c r="CP133" s="1"/>
      <c r="CQ133" s="1"/>
      <c r="CR133" s="1"/>
      <c r="DA133" s="379"/>
    </row>
    <row r="134" spans="1:105" ht="20.25" customHeight="1" x14ac:dyDescent="0.35">
      <c r="A134" s="6"/>
      <c r="B134" s="200" t="s">
        <v>1957</v>
      </c>
      <c r="C134" s="307" t="s">
        <v>2162</v>
      </c>
      <c r="D134" s="95" t="s">
        <v>1177</v>
      </c>
      <c r="E134" s="95" t="s">
        <v>1561</v>
      </c>
      <c r="F134" s="95" t="s">
        <v>2163</v>
      </c>
      <c r="G134" s="95" t="s">
        <v>51</v>
      </c>
      <c r="H134" s="288">
        <v>8.8000000000000007</v>
      </c>
      <c r="I134" s="4"/>
      <c r="J134" s="4"/>
      <c r="K134" s="4"/>
      <c r="L134" s="4"/>
      <c r="M134" s="4"/>
      <c r="N134" s="108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1"/>
      <c r="AL134" s="1"/>
      <c r="AM134" s="1"/>
      <c r="AN134" s="1"/>
      <c r="AO134" s="1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36"/>
      <c r="BT134" s="136"/>
      <c r="BU134" s="136"/>
      <c r="BV134" s="136"/>
      <c r="BW134" s="136"/>
      <c r="BX134" s="4"/>
      <c r="BY134" s="136"/>
      <c r="BZ134" s="136"/>
      <c r="CA134" s="136"/>
      <c r="CB134" s="136"/>
      <c r="CC134" s="136"/>
      <c r="CD134" s="136"/>
      <c r="CE134" s="136"/>
      <c r="CF134" s="136"/>
      <c r="CG134" s="136"/>
      <c r="CH134" s="136"/>
      <c r="CI134" s="136"/>
      <c r="CJ134" s="136"/>
      <c r="CK134" s="136"/>
      <c r="CL134" s="136"/>
      <c r="CM134" s="136"/>
      <c r="CN134" s="136"/>
      <c r="CO134" s="1"/>
      <c r="CP134" s="1"/>
      <c r="CQ134" s="1"/>
      <c r="CR134" s="1"/>
      <c r="DA134" s="379"/>
    </row>
    <row r="135" spans="1:105" ht="20.25" customHeight="1" x14ac:dyDescent="0.35">
      <c r="A135" s="6"/>
      <c r="B135" s="200" t="s">
        <v>2154</v>
      </c>
      <c r="C135" s="307" t="s">
        <v>2164</v>
      </c>
      <c r="D135" s="95" t="s">
        <v>1177</v>
      </c>
      <c r="E135" s="95" t="s">
        <v>2156</v>
      </c>
      <c r="F135" s="95" t="s">
        <v>2161</v>
      </c>
      <c r="G135" s="95" t="s">
        <v>2165</v>
      </c>
      <c r="H135" s="288"/>
      <c r="I135" s="4"/>
      <c r="J135" s="4"/>
      <c r="K135" s="4"/>
      <c r="L135" s="4"/>
      <c r="M135" s="4"/>
      <c r="N135" s="108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1"/>
      <c r="AL135" s="1"/>
      <c r="AM135" s="1"/>
      <c r="AN135" s="1"/>
      <c r="AO135" s="1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36"/>
      <c r="BT135" s="136"/>
      <c r="BU135" s="136"/>
      <c r="BV135" s="136"/>
      <c r="BW135" s="136"/>
      <c r="BX135" s="4"/>
      <c r="BY135" s="136"/>
      <c r="BZ135" s="136"/>
      <c r="CA135" s="136"/>
      <c r="CB135" s="136"/>
      <c r="CC135" s="136"/>
      <c r="CD135" s="136"/>
      <c r="CE135" s="136"/>
      <c r="CF135" s="136"/>
      <c r="CG135" s="136"/>
      <c r="CH135" s="136"/>
      <c r="CI135" s="136"/>
      <c r="CJ135" s="136"/>
      <c r="CK135" s="136"/>
      <c r="CL135" s="136"/>
      <c r="CM135" s="136"/>
      <c r="CN135" s="136"/>
      <c r="CO135" s="1"/>
      <c r="CP135" s="1"/>
      <c r="CQ135" s="1"/>
      <c r="CR135" s="1"/>
      <c r="DA135" s="379"/>
    </row>
    <row r="136" spans="1:105" ht="20.25" customHeight="1" x14ac:dyDescent="0.35">
      <c r="A136" s="6"/>
      <c r="B136" s="200" t="s">
        <v>2260</v>
      </c>
      <c r="C136" s="307" t="s">
        <v>2261</v>
      </c>
      <c r="D136" s="95" t="s">
        <v>1177</v>
      </c>
      <c r="E136" s="95" t="s">
        <v>36</v>
      </c>
      <c r="F136" s="95" t="s">
        <v>75</v>
      </c>
      <c r="G136" s="95" t="s">
        <v>51</v>
      </c>
      <c r="H136" s="288">
        <v>15.5</v>
      </c>
      <c r="I136" s="4"/>
      <c r="J136" s="4"/>
      <c r="K136" s="4"/>
      <c r="L136" s="4"/>
      <c r="M136" s="4"/>
      <c r="N136" s="108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1"/>
      <c r="AL136" s="1"/>
      <c r="AM136" s="1"/>
      <c r="AN136" s="1"/>
      <c r="AO136" s="1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36"/>
      <c r="BT136" s="136"/>
      <c r="BU136" s="136">
        <v>21</v>
      </c>
      <c r="BV136" s="136"/>
      <c r="BW136" s="136"/>
      <c r="BX136" s="4"/>
      <c r="BY136" s="136"/>
      <c r="BZ136" s="136"/>
      <c r="CA136" s="136"/>
      <c r="CB136" s="136"/>
      <c r="CC136" s="136"/>
      <c r="CD136" s="136"/>
      <c r="CE136" s="136"/>
      <c r="CF136" s="136"/>
      <c r="CG136" s="136"/>
      <c r="CH136" s="136"/>
      <c r="CI136" s="136"/>
      <c r="CJ136" s="136"/>
      <c r="CK136" s="136"/>
      <c r="CL136" s="136"/>
      <c r="CM136" s="136"/>
      <c r="CN136" s="136"/>
      <c r="CO136" s="1"/>
      <c r="CP136" s="1"/>
      <c r="CQ136" s="1"/>
      <c r="CR136" s="1"/>
      <c r="DA136" s="379">
        <v>15.5</v>
      </c>
    </row>
    <row r="137" spans="1:105" ht="20.25" customHeight="1" x14ac:dyDescent="0.35">
      <c r="A137" s="95"/>
      <c r="B137" s="200" t="s">
        <v>1562</v>
      </c>
      <c r="C137" s="200" t="s">
        <v>295</v>
      </c>
      <c r="D137" s="95" t="s">
        <v>494</v>
      </c>
      <c r="E137" s="95" t="s">
        <v>259</v>
      </c>
      <c r="F137" s="95" t="s">
        <v>258</v>
      </c>
      <c r="G137" s="95" t="s">
        <v>107</v>
      </c>
      <c r="H137" s="237">
        <v>56</v>
      </c>
      <c r="I137" s="4">
        <v>0</v>
      </c>
      <c r="J137" s="4">
        <v>0</v>
      </c>
      <c r="K137" s="4"/>
      <c r="L137" s="4"/>
      <c r="M137" s="4"/>
      <c r="N137" s="108"/>
      <c r="O137" s="154">
        <v>59</v>
      </c>
      <c r="P137" s="4"/>
      <c r="Q137" s="4"/>
      <c r="R137" s="154">
        <v>59</v>
      </c>
      <c r="S137" s="4"/>
      <c r="T137" s="4"/>
      <c r="U137" s="4"/>
      <c r="V137" s="238"/>
      <c r="W137" s="154">
        <v>60</v>
      </c>
      <c r="X137" s="4"/>
      <c r="Y137" s="4"/>
      <c r="Z137" s="4"/>
      <c r="AA137" s="4"/>
      <c r="AB137" s="4"/>
      <c r="AC137" s="344">
        <v>61</v>
      </c>
      <c r="AD137" s="4"/>
      <c r="AE137" s="4"/>
      <c r="AF137" s="4"/>
      <c r="AG137" s="4"/>
      <c r="AH137" s="4"/>
      <c r="AI137" s="4"/>
      <c r="AJ137" s="4"/>
      <c r="AK137" s="1"/>
      <c r="AL137" s="1"/>
      <c r="AM137" s="1"/>
      <c r="AN137" s="1"/>
      <c r="AO137" s="1"/>
      <c r="AP137" s="4">
        <v>0</v>
      </c>
      <c r="AQ137" s="4">
        <v>0</v>
      </c>
      <c r="AR137" s="4">
        <v>0</v>
      </c>
      <c r="AS137" s="4"/>
      <c r="AT137" s="4">
        <v>0</v>
      </c>
      <c r="AU137" s="4">
        <v>0</v>
      </c>
      <c r="AV137" s="4">
        <v>0</v>
      </c>
      <c r="AW137" s="4">
        <v>0</v>
      </c>
      <c r="AX137" s="4">
        <v>0</v>
      </c>
      <c r="AY137" s="4">
        <v>0</v>
      </c>
      <c r="AZ137" s="4">
        <v>0</v>
      </c>
      <c r="BA137" s="4">
        <v>0</v>
      </c>
      <c r="BB137" s="4"/>
      <c r="BC137" s="4">
        <v>0</v>
      </c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4"/>
      <c r="BY137" s="136"/>
      <c r="BZ137" s="136"/>
      <c r="CA137" s="136"/>
      <c r="CB137" s="136"/>
      <c r="CC137" s="136"/>
      <c r="CD137" s="136"/>
      <c r="CE137" s="136"/>
      <c r="CF137" s="136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DA137" s="379">
        <v>53</v>
      </c>
    </row>
    <row r="138" spans="1:105" ht="20.25" customHeight="1" x14ac:dyDescent="0.35">
      <c r="A138" s="95"/>
      <c r="B138" s="200" t="s">
        <v>1563</v>
      </c>
      <c r="C138" s="200" t="s">
        <v>295</v>
      </c>
      <c r="D138" s="95" t="s">
        <v>494</v>
      </c>
      <c r="E138" s="95" t="s">
        <v>61</v>
      </c>
      <c r="F138" s="231" t="s">
        <v>1340</v>
      </c>
      <c r="G138" s="95" t="s">
        <v>42</v>
      </c>
      <c r="H138" s="237"/>
      <c r="I138" s="4"/>
      <c r="J138" s="4"/>
      <c r="K138" s="4"/>
      <c r="L138" s="4">
        <v>11.5</v>
      </c>
      <c r="M138" s="4">
        <v>11.5</v>
      </c>
      <c r="N138" s="240">
        <v>10.5</v>
      </c>
      <c r="O138" s="4">
        <v>11.5</v>
      </c>
      <c r="P138" s="240">
        <v>10.5</v>
      </c>
      <c r="Q138" s="4">
        <v>10.5</v>
      </c>
      <c r="R138" s="4">
        <v>10.5</v>
      </c>
      <c r="S138" s="4">
        <v>10.5</v>
      </c>
      <c r="T138" s="4"/>
      <c r="U138" s="4">
        <v>11.5</v>
      </c>
      <c r="V138" s="243">
        <v>10.5</v>
      </c>
      <c r="W138" s="4"/>
      <c r="X138" s="4"/>
      <c r="Y138" s="4"/>
      <c r="Z138" s="4">
        <v>10.5</v>
      </c>
      <c r="AA138" s="4"/>
      <c r="AB138" s="4">
        <v>10.5</v>
      </c>
      <c r="AC138" s="4"/>
      <c r="AD138" s="4"/>
      <c r="AE138" s="4">
        <v>12</v>
      </c>
      <c r="AF138" s="4"/>
      <c r="AG138" s="4"/>
      <c r="AH138" s="4"/>
      <c r="AI138" s="4"/>
      <c r="AJ138" s="4">
        <v>12</v>
      </c>
      <c r="AK138" s="1"/>
      <c r="AL138" s="1"/>
      <c r="AM138" s="1"/>
      <c r="AN138" s="1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1"/>
      <c r="BE138" s="1"/>
      <c r="BF138" s="1"/>
      <c r="BG138" s="1"/>
      <c r="BH138" s="1"/>
      <c r="BI138" s="1"/>
      <c r="BJ138" s="1"/>
      <c r="BK138" s="1">
        <v>10.8</v>
      </c>
      <c r="BL138" s="1"/>
      <c r="BM138" s="1"/>
      <c r="BN138" s="1"/>
      <c r="BO138" s="1"/>
      <c r="BP138" s="1"/>
      <c r="BQ138" s="1"/>
      <c r="BR138" s="1"/>
      <c r="BS138" s="1"/>
      <c r="BT138" s="1"/>
      <c r="BU138" s="1">
        <v>10.8</v>
      </c>
      <c r="BV138" s="1"/>
      <c r="BW138" s="1"/>
      <c r="BX138" s="4"/>
      <c r="BY138" s="136"/>
      <c r="BZ138" s="136">
        <v>10.8</v>
      </c>
      <c r="CA138" s="136"/>
      <c r="CB138" s="136"/>
      <c r="CC138" s="136">
        <v>10.8</v>
      </c>
      <c r="CD138" s="136"/>
      <c r="CE138" s="136"/>
      <c r="CF138" s="136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DA138" s="379">
        <f>2.68*2.1</f>
        <v>5.628000000000001</v>
      </c>
    </row>
    <row r="139" spans="1:105" ht="20.25" customHeight="1" x14ac:dyDescent="0.35">
      <c r="A139" s="95" t="s">
        <v>79</v>
      </c>
      <c r="B139" s="200" t="s">
        <v>1564</v>
      </c>
      <c r="C139" s="200" t="s">
        <v>295</v>
      </c>
      <c r="D139" s="239" t="s">
        <v>494</v>
      </c>
      <c r="E139" s="95" t="s">
        <v>61</v>
      </c>
      <c r="F139" s="231" t="s">
        <v>2287</v>
      </c>
      <c r="G139" s="95" t="s">
        <v>42</v>
      </c>
      <c r="H139" s="237">
        <v>9</v>
      </c>
      <c r="I139" s="240">
        <v>10</v>
      </c>
      <c r="J139" s="4">
        <v>9</v>
      </c>
      <c r="K139" s="4"/>
      <c r="L139" s="4"/>
      <c r="M139" s="4"/>
      <c r="N139" s="108"/>
      <c r="O139" s="4"/>
      <c r="P139" s="242"/>
      <c r="Q139" s="4"/>
      <c r="R139" s="4"/>
      <c r="S139" s="4"/>
      <c r="T139" s="4"/>
      <c r="U139" s="4"/>
      <c r="V139" s="243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1"/>
      <c r="AL139" s="1"/>
      <c r="AM139" s="1"/>
      <c r="AN139" s="1"/>
      <c r="AO139" s="4">
        <v>9</v>
      </c>
      <c r="AP139" s="4">
        <v>9</v>
      </c>
      <c r="AQ139" s="4">
        <v>9</v>
      </c>
      <c r="AR139" s="4">
        <v>9</v>
      </c>
      <c r="AS139" s="4"/>
      <c r="AT139" s="4">
        <v>9</v>
      </c>
      <c r="AU139" s="4">
        <v>9</v>
      </c>
      <c r="AV139" s="4">
        <v>9</v>
      </c>
      <c r="AW139" s="4">
        <v>9</v>
      </c>
      <c r="AX139" s="4">
        <v>9</v>
      </c>
      <c r="AY139" s="4">
        <v>9</v>
      </c>
      <c r="AZ139" s="4">
        <v>9</v>
      </c>
      <c r="BA139" s="4">
        <v>9</v>
      </c>
      <c r="BB139" s="4"/>
      <c r="BC139" s="4">
        <v>9</v>
      </c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4">
        <f>J139</f>
        <v>9</v>
      </c>
      <c r="BY139" s="136"/>
      <c r="BZ139" s="136"/>
      <c r="CA139" s="136"/>
      <c r="CB139" s="136"/>
      <c r="CC139" s="136"/>
      <c r="CD139" s="136"/>
      <c r="CE139" s="136"/>
      <c r="CF139" s="136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DA139" s="379">
        <f>2.68*1.8</f>
        <v>4.8240000000000007</v>
      </c>
    </row>
    <row r="140" spans="1:105" ht="20.25" customHeight="1" x14ac:dyDescent="0.35">
      <c r="A140" s="95"/>
      <c r="B140" s="200" t="s">
        <v>1565</v>
      </c>
      <c r="C140" s="200" t="s">
        <v>295</v>
      </c>
      <c r="D140" s="200"/>
      <c r="E140" s="6" t="s">
        <v>61</v>
      </c>
      <c r="F140" s="95" t="s">
        <v>1174</v>
      </c>
      <c r="G140" s="95" t="s">
        <v>42</v>
      </c>
      <c r="H140" s="237"/>
      <c r="I140" s="4"/>
      <c r="J140" s="4"/>
      <c r="K140" s="4"/>
      <c r="L140" s="4"/>
      <c r="M140" s="4"/>
      <c r="N140" s="108"/>
      <c r="O140" s="4"/>
      <c r="P140" s="242"/>
      <c r="Q140" s="4"/>
      <c r="R140" s="4"/>
      <c r="S140" s="4"/>
      <c r="T140" s="4"/>
      <c r="U140" s="4"/>
      <c r="V140" s="243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1"/>
      <c r="AL140" s="1"/>
      <c r="AM140" s="1"/>
      <c r="AN140" s="1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>
        <v>1.2</v>
      </c>
      <c r="BP140" s="1"/>
      <c r="BQ140" s="1"/>
      <c r="BR140" s="1"/>
      <c r="BS140" s="1"/>
      <c r="BT140" s="1"/>
      <c r="BU140" s="1"/>
      <c r="BV140" s="1"/>
      <c r="BW140" s="1"/>
      <c r="BX140" s="4"/>
      <c r="BY140" s="136"/>
      <c r="BZ140" s="136"/>
      <c r="CA140" s="136"/>
      <c r="CB140" s="136"/>
      <c r="CC140" s="136"/>
      <c r="CD140" s="136"/>
      <c r="CE140" s="136"/>
      <c r="CF140" s="136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DA140" s="379"/>
    </row>
    <row r="141" spans="1:105" ht="20.25" customHeight="1" x14ac:dyDescent="0.35">
      <c r="A141" s="95" t="s">
        <v>69</v>
      </c>
      <c r="B141" s="200" t="s">
        <v>1566</v>
      </c>
      <c r="C141" s="200" t="s">
        <v>1239</v>
      </c>
      <c r="D141" s="239" t="s">
        <v>846</v>
      </c>
      <c r="E141" s="95" t="s">
        <v>973</v>
      </c>
      <c r="F141" s="95" t="s">
        <v>68</v>
      </c>
      <c r="G141" s="95" t="s">
        <v>40</v>
      </c>
      <c r="H141" s="237">
        <v>4.5</v>
      </c>
      <c r="I141" s="240">
        <v>4.5</v>
      </c>
      <c r="J141" s="4">
        <f>18/4</f>
        <v>4.5</v>
      </c>
      <c r="K141" s="4"/>
      <c r="L141" s="4">
        <v>5</v>
      </c>
      <c r="M141" s="4">
        <v>4.5</v>
      </c>
      <c r="N141" s="240">
        <v>5</v>
      </c>
      <c r="O141" s="4">
        <v>4.5</v>
      </c>
      <c r="P141" s="240">
        <v>5</v>
      </c>
      <c r="Q141" s="4">
        <v>5</v>
      </c>
      <c r="R141" s="4">
        <v>4.5</v>
      </c>
      <c r="S141" s="4">
        <v>6</v>
      </c>
      <c r="T141" s="4"/>
      <c r="U141" s="4"/>
      <c r="V141" s="238">
        <v>4.5</v>
      </c>
      <c r="W141" s="4"/>
      <c r="X141" s="4"/>
      <c r="Y141" s="4"/>
      <c r="Z141" s="4"/>
      <c r="AA141" s="4"/>
      <c r="AB141" s="4">
        <v>5</v>
      </c>
      <c r="AC141" s="4">
        <v>5</v>
      </c>
      <c r="AD141" s="4"/>
      <c r="AE141" s="4"/>
      <c r="AF141" s="4">
        <v>5</v>
      </c>
      <c r="AG141" s="4"/>
      <c r="AH141" s="4"/>
      <c r="AI141" s="4"/>
      <c r="AJ141" s="4">
        <v>5</v>
      </c>
      <c r="AK141" s="1"/>
      <c r="AL141" s="1"/>
      <c r="AM141" s="1">
        <v>5</v>
      </c>
      <c r="AN141" s="1"/>
      <c r="AO141" s="1"/>
      <c r="AP141" s="4">
        <f>18/4</f>
        <v>4.5</v>
      </c>
      <c r="AQ141" s="4">
        <f>18/4</f>
        <v>4.5</v>
      </c>
      <c r="AR141" s="4">
        <f>18/4</f>
        <v>4.5</v>
      </c>
      <c r="AS141" s="4"/>
      <c r="AT141" s="4">
        <f t="shared" ref="AT141:BA141" si="0">18/4</f>
        <v>4.5</v>
      </c>
      <c r="AU141" s="4">
        <f t="shared" si="0"/>
        <v>4.5</v>
      </c>
      <c r="AV141" s="4">
        <f t="shared" si="0"/>
        <v>4.5</v>
      </c>
      <c r="AW141" s="4">
        <f t="shared" si="0"/>
        <v>4.5</v>
      </c>
      <c r="AX141" s="4">
        <f t="shared" si="0"/>
        <v>4.5</v>
      </c>
      <c r="AY141" s="4">
        <f t="shared" si="0"/>
        <v>4.5</v>
      </c>
      <c r="AZ141" s="4">
        <f t="shared" si="0"/>
        <v>4.5</v>
      </c>
      <c r="BA141" s="4">
        <f t="shared" si="0"/>
        <v>4.5</v>
      </c>
      <c r="BB141" s="4"/>
      <c r="BC141" s="4">
        <f>18/4</f>
        <v>4.5</v>
      </c>
      <c r="BD141" s="1"/>
      <c r="BE141" s="1"/>
      <c r="BF141" s="1"/>
      <c r="BG141" s="1"/>
      <c r="BH141" s="1"/>
      <c r="BI141" s="1"/>
      <c r="BJ141" s="1"/>
      <c r="BK141" s="1">
        <v>5</v>
      </c>
      <c r="BL141" s="1">
        <v>5</v>
      </c>
      <c r="BM141" s="1"/>
      <c r="BN141" s="1"/>
      <c r="BO141" s="1"/>
      <c r="BP141" s="1"/>
      <c r="BQ141" s="1"/>
      <c r="BR141" s="1"/>
      <c r="BS141" s="1"/>
      <c r="BT141" s="1"/>
      <c r="BU141" s="1">
        <v>5</v>
      </c>
      <c r="BV141" s="1"/>
      <c r="BW141" s="1"/>
      <c r="BX141" s="4">
        <f>J141</f>
        <v>4.5</v>
      </c>
      <c r="BY141" s="136">
        <v>5</v>
      </c>
      <c r="BZ141" s="136"/>
      <c r="CA141" s="136"/>
      <c r="CB141" s="136"/>
      <c r="CC141" s="136"/>
      <c r="CD141" s="136"/>
      <c r="CE141" s="136"/>
      <c r="CF141" s="136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DA141" s="379">
        <v>4</v>
      </c>
    </row>
    <row r="142" spans="1:105" ht="20.25" customHeight="1" x14ac:dyDescent="0.35">
      <c r="A142" s="95" t="s">
        <v>619</v>
      </c>
      <c r="B142" s="200" t="s">
        <v>1567</v>
      </c>
      <c r="C142" s="200" t="s">
        <v>301</v>
      </c>
      <c r="D142" s="239" t="s">
        <v>53</v>
      </c>
      <c r="E142" s="95" t="s">
        <v>55</v>
      </c>
      <c r="F142" s="95" t="s">
        <v>50</v>
      </c>
      <c r="G142" s="95" t="s">
        <v>42</v>
      </c>
      <c r="H142" s="237">
        <f>AVERAGE(I142:BC142)</f>
        <v>6</v>
      </c>
      <c r="I142" s="240">
        <v>6</v>
      </c>
      <c r="J142" s="4">
        <v>6</v>
      </c>
      <c r="K142" s="4"/>
      <c r="L142" s="4"/>
      <c r="M142" s="4"/>
      <c r="N142" s="108"/>
      <c r="O142" s="4">
        <v>6</v>
      </c>
      <c r="P142" s="240">
        <v>6</v>
      </c>
      <c r="Q142" s="4">
        <v>6</v>
      </c>
      <c r="R142" s="4">
        <v>6</v>
      </c>
      <c r="S142" s="4"/>
      <c r="T142" s="4"/>
      <c r="U142" s="4"/>
      <c r="V142" s="238"/>
      <c r="W142" s="4"/>
      <c r="X142" s="4"/>
      <c r="Y142" s="4"/>
      <c r="Z142" s="4"/>
      <c r="AA142" s="4">
        <v>6</v>
      </c>
      <c r="AB142" s="4"/>
      <c r="AC142" s="4">
        <v>6</v>
      </c>
      <c r="AD142" s="4"/>
      <c r="AE142" s="4"/>
      <c r="AF142" s="4"/>
      <c r="AG142" s="4"/>
      <c r="AH142" s="4"/>
      <c r="AI142" s="4"/>
      <c r="AJ142" s="4"/>
      <c r="AK142" s="1"/>
      <c r="AL142" s="1"/>
      <c r="AM142" s="1"/>
      <c r="AN142" s="1"/>
      <c r="AO142" s="1"/>
      <c r="AP142" s="4">
        <v>6</v>
      </c>
      <c r="AQ142" s="4">
        <v>6</v>
      </c>
      <c r="AR142" s="4">
        <v>6</v>
      </c>
      <c r="AS142" s="4"/>
      <c r="AT142" s="4">
        <v>6</v>
      </c>
      <c r="AU142" s="4">
        <v>6</v>
      </c>
      <c r="AV142" s="4">
        <v>6</v>
      </c>
      <c r="AW142" s="4">
        <v>6</v>
      </c>
      <c r="AX142" s="4">
        <v>6</v>
      </c>
      <c r="AY142" s="4">
        <v>6</v>
      </c>
      <c r="AZ142" s="4">
        <v>6</v>
      </c>
      <c r="BA142" s="4">
        <v>6</v>
      </c>
      <c r="BB142" s="4"/>
      <c r="BC142" s="4">
        <v>6</v>
      </c>
      <c r="BD142" s="1"/>
      <c r="BE142" s="1"/>
      <c r="BF142" s="1"/>
      <c r="BG142" s="1"/>
      <c r="BH142" s="1"/>
      <c r="BI142" s="1"/>
      <c r="BJ142" s="1"/>
      <c r="BK142" s="1">
        <v>6</v>
      </c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4"/>
      <c r="BY142" s="136"/>
      <c r="BZ142" s="136">
        <v>6</v>
      </c>
      <c r="CA142" s="136"/>
      <c r="CB142" s="136"/>
      <c r="CC142" s="136"/>
      <c r="CD142" s="136"/>
      <c r="CE142" s="136"/>
      <c r="CF142" s="136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DA142" s="379">
        <f>6.5/2</f>
        <v>3.25</v>
      </c>
    </row>
    <row r="143" spans="1:105" ht="20.25" customHeight="1" x14ac:dyDescent="0.35">
      <c r="A143" s="95">
        <v>4000002756</v>
      </c>
      <c r="B143" s="200" t="s">
        <v>2212</v>
      </c>
      <c r="C143" s="200" t="s">
        <v>301</v>
      </c>
      <c r="D143" s="239" t="s">
        <v>53</v>
      </c>
      <c r="E143" s="95" t="s">
        <v>55</v>
      </c>
      <c r="F143" s="95" t="s">
        <v>34</v>
      </c>
      <c r="G143" s="95" t="s">
        <v>42</v>
      </c>
      <c r="H143" s="237">
        <v>12</v>
      </c>
      <c r="I143" s="240"/>
      <c r="J143" s="4"/>
      <c r="K143" s="4">
        <v>13</v>
      </c>
      <c r="L143" s="4"/>
      <c r="M143" s="4"/>
      <c r="N143" s="108"/>
      <c r="O143" s="4"/>
      <c r="P143" s="240"/>
      <c r="Q143" s="4"/>
      <c r="R143" s="4"/>
      <c r="S143" s="4"/>
      <c r="T143" s="4"/>
      <c r="U143" s="4"/>
      <c r="V143" s="238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1"/>
      <c r="AL143" s="1"/>
      <c r="AM143" s="1"/>
      <c r="AN143" s="1"/>
      <c r="AO143" s="1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4"/>
      <c r="BY143" s="136"/>
      <c r="BZ143" s="136"/>
      <c r="CA143" s="136"/>
      <c r="CB143" s="136"/>
      <c r="CC143" s="136"/>
      <c r="CD143" s="136"/>
      <c r="CE143" s="136"/>
      <c r="CF143" s="136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DA143" s="379">
        <v>6.5</v>
      </c>
    </row>
    <row r="144" spans="1:105" ht="20.25" customHeight="1" x14ac:dyDescent="0.35">
      <c r="A144" s="95"/>
      <c r="B144" s="200" t="s">
        <v>1568</v>
      </c>
      <c r="C144" s="200" t="s">
        <v>463</v>
      </c>
      <c r="D144" s="239" t="s">
        <v>1229</v>
      </c>
      <c r="E144" s="95" t="s">
        <v>36</v>
      </c>
      <c r="F144" s="95" t="s">
        <v>2348</v>
      </c>
      <c r="G144" s="95" t="s">
        <v>1345</v>
      </c>
      <c r="H144" s="304">
        <v>36</v>
      </c>
      <c r="I144" s="240"/>
      <c r="J144" s="4"/>
      <c r="K144" s="4"/>
      <c r="L144" s="4"/>
      <c r="M144" s="4"/>
      <c r="N144" s="108"/>
      <c r="O144" s="4"/>
      <c r="P144" s="4"/>
      <c r="Q144" s="4"/>
      <c r="R144" s="4"/>
      <c r="S144" s="4"/>
      <c r="T144" s="4"/>
      <c r="U144" s="4"/>
      <c r="V144" s="238"/>
      <c r="W144" s="4"/>
      <c r="X144" s="4"/>
      <c r="Y144" s="4"/>
      <c r="Z144" s="4"/>
      <c r="AA144" s="4"/>
      <c r="AB144" s="4"/>
      <c r="AC144" s="4"/>
      <c r="AD144" s="4"/>
      <c r="AE144" s="4">
        <v>50</v>
      </c>
      <c r="AF144" s="4"/>
      <c r="AG144" s="4"/>
      <c r="AH144" s="4"/>
      <c r="AI144" s="4"/>
      <c r="AJ144" s="4"/>
      <c r="AK144" s="1"/>
      <c r="AL144" s="1"/>
      <c r="AM144" s="1"/>
      <c r="AN144" s="1"/>
      <c r="AO144" s="1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4"/>
      <c r="BY144" s="136"/>
      <c r="BZ144" s="136"/>
      <c r="CA144" s="136"/>
      <c r="CB144" s="136"/>
      <c r="CC144" s="136"/>
      <c r="CD144" s="136"/>
      <c r="CE144" s="136"/>
      <c r="CF144" s="136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DA144" s="379">
        <v>38</v>
      </c>
    </row>
    <row r="145" spans="1:105" ht="20.25" customHeight="1" x14ac:dyDescent="0.35">
      <c r="A145" s="95" t="s">
        <v>116</v>
      </c>
      <c r="B145" s="200" t="s">
        <v>1569</v>
      </c>
      <c r="C145" s="200" t="s">
        <v>463</v>
      </c>
      <c r="D145" s="239" t="s">
        <v>1229</v>
      </c>
      <c r="E145" s="95" t="s">
        <v>36</v>
      </c>
      <c r="F145" s="95" t="s">
        <v>1570</v>
      </c>
      <c r="G145" s="95" t="s">
        <v>40</v>
      </c>
      <c r="H145" s="304">
        <f>H144/24*2</f>
        <v>3</v>
      </c>
      <c r="I145" s="240">
        <v>5</v>
      </c>
      <c r="J145" s="4">
        <v>5</v>
      </c>
      <c r="K145" s="4"/>
      <c r="L145" s="4"/>
      <c r="M145" s="4"/>
      <c r="N145" s="240">
        <f>15/3</f>
        <v>5</v>
      </c>
      <c r="O145" s="4"/>
      <c r="P145" s="4"/>
      <c r="Q145" s="4"/>
      <c r="R145" s="4"/>
      <c r="S145" s="4"/>
      <c r="T145" s="4"/>
      <c r="U145" s="4"/>
      <c r="V145" s="238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>
        <v>5</v>
      </c>
      <c r="AK145" s="1"/>
      <c r="AL145" s="1"/>
      <c r="AM145" s="1"/>
      <c r="AN145" s="1"/>
      <c r="AO145" s="1"/>
      <c r="AP145" s="4"/>
      <c r="AQ145" s="4">
        <v>5</v>
      </c>
      <c r="AR145" s="4">
        <v>5</v>
      </c>
      <c r="AS145" s="4"/>
      <c r="AT145" s="4">
        <v>5</v>
      </c>
      <c r="AU145" s="4"/>
      <c r="AV145" s="4"/>
      <c r="AW145" s="4">
        <v>5</v>
      </c>
      <c r="AX145" s="4">
        <v>5</v>
      </c>
      <c r="AY145" s="4">
        <v>5</v>
      </c>
      <c r="AZ145" s="4"/>
      <c r="BA145" s="4">
        <v>5</v>
      </c>
      <c r="BB145" s="4"/>
      <c r="BC145" s="4">
        <v>5</v>
      </c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>
        <v>5</v>
      </c>
      <c r="BP145" s="1"/>
      <c r="BQ145" s="1"/>
      <c r="BR145" s="1"/>
      <c r="BS145" s="1"/>
      <c r="BT145" s="1"/>
      <c r="BU145" s="1">
        <v>5</v>
      </c>
      <c r="BV145" s="1"/>
      <c r="BW145" s="1"/>
      <c r="BX145" s="4"/>
      <c r="BY145" s="136"/>
      <c r="BZ145" s="136"/>
      <c r="CA145" s="136"/>
      <c r="CB145" s="136"/>
      <c r="CC145" s="136"/>
      <c r="CD145" s="136"/>
      <c r="CE145" s="136"/>
      <c r="CF145" s="136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DA145" s="379">
        <f>DA144/12</f>
        <v>3.1666666666666665</v>
      </c>
    </row>
    <row r="146" spans="1:105" ht="20.25" customHeight="1" x14ac:dyDescent="0.35">
      <c r="A146" s="6">
        <v>4000005589</v>
      </c>
      <c r="B146" s="200" t="s">
        <v>1571</v>
      </c>
      <c r="C146" s="200" t="s">
        <v>302</v>
      </c>
      <c r="D146" s="95" t="s">
        <v>1229</v>
      </c>
      <c r="E146" s="95" t="s">
        <v>36</v>
      </c>
      <c r="F146" s="6" t="s">
        <v>135</v>
      </c>
      <c r="G146" s="95" t="s">
        <v>42</v>
      </c>
      <c r="H146" s="352">
        <f>3.25*25</f>
        <v>81.25</v>
      </c>
      <c r="I146" s="4"/>
      <c r="J146" s="4"/>
      <c r="K146" s="146">
        <v>90</v>
      </c>
      <c r="L146" s="110">
        <v>92</v>
      </c>
      <c r="M146" s="4"/>
      <c r="N146" s="108"/>
      <c r="O146" s="4">
        <v>90</v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1"/>
      <c r="AL146" s="1"/>
      <c r="AM146" s="1"/>
      <c r="AN146" s="1"/>
      <c r="AO146" s="1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1"/>
      <c r="BE146" s="1">
        <v>92</v>
      </c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4"/>
      <c r="BY146" s="136"/>
      <c r="BZ146" s="136"/>
      <c r="CA146" s="136"/>
      <c r="CB146" s="136"/>
      <c r="CC146" s="136"/>
      <c r="CD146" s="136"/>
      <c r="CE146" s="136"/>
      <c r="CF146" s="136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DA146" s="395">
        <f>3.4*25</f>
        <v>85</v>
      </c>
    </row>
    <row r="147" spans="1:105" ht="20.25" customHeight="1" x14ac:dyDescent="0.35">
      <c r="A147" s="95" t="s">
        <v>93</v>
      </c>
      <c r="B147" s="200" t="s">
        <v>1572</v>
      </c>
      <c r="C147" s="200" t="s">
        <v>625</v>
      </c>
      <c r="D147" s="239" t="s">
        <v>1229</v>
      </c>
      <c r="E147" s="95" t="s">
        <v>36</v>
      </c>
      <c r="F147" s="95" t="s">
        <v>54</v>
      </c>
      <c r="G147" s="95" t="s">
        <v>42</v>
      </c>
      <c r="H147" s="352">
        <f>3.25*5</f>
        <v>16.25</v>
      </c>
      <c r="I147" s="240">
        <v>20</v>
      </c>
      <c r="J147" s="250">
        <v>20.5</v>
      </c>
      <c r="K147" s="4"/>
      <c r="L147" s="4"/>
      <c r="M147" s="4"/>
      <c r="N147" s="240">
        <v>20.5</v>
      </c>
      <c r="O147" s="4"/>
      <c r="P147" s="240">
        <v>20</v>
      </c>
      <c r="Q147" s="4">
        <v>20.8</v>
      </c>
      <c r="R147" s="4">
        <v>21</v>
      </c>
      <c r="S147" s="4">
        <v>21</v>
      </c>
      <c r="T147" s="4">
        <v>22</v>
      </c>
      <c r="U147" s="4"/>
      <c r="V147" s="238">
        <v>20</v>
      </c>
      <c r="W147" s="4"/>
      <c r="X147" s="4"/>
      <c r="Y147" s="4"/>
      <c r="Z147" s="4"/>
      <c r="AA147" s="4"/>
      <c r="AB147" s="192">
        <v>20</v>
      </c>
      <c r="AC147" s="4"/>
      <c r="AD147" s="4"/>
      <c r="AE147" s="192"/>
      <c r="AF147" s="192">
        <v>21</v>
      </c>
      <c r="AG147" s="192">
        <v>21</v>
      </c>
      <c r="AH147" s="4"/>
      <c r="AI147" s="4"/>
      <c r="AJ147" s="4"/>
      <c r="AK147" s="1"/>
      <c r="AL147" s="1"/>
      <c r="AM147" s="1"/>
      <c r="AN147" s="1"/>
      <c r="AO147" s="1"/>
      <c r="AP147" s="250">
        <v>20.5</v>
      </c>
      <c r="AQ147" s="250">
        <v>20.5</v>
      </c>
      <c r="AR147" s="4"/>
      <c r="AS147" s="4"/>
      <c r="AT147" s="250">
        <v>20.5</v>
      </c>
      <c r="AU147" s="250">
        <v>20.5</v>
      </c>
      <c r="AV147" s="250">
        <v>20.5</v>
      </c>
      <c r="AW147" s="250">
        <v>20.5</v>
      </c>
      <c r="AX147" s="250">
        <v>20.5</v>
      </c>
      <c r="AY147" s="250">
        <v>20.5</v>
      </c>
      <c r="AZ147" s="250">
        <v>20.5</v>
      </c>
      <c r="BA147" s="250">
        <v>20.5</v>
      </c>
      <c r="BB147" s="4"/>
      <c r="BC147" s="250">
        <v>20.5</v>
      </c>
      <c r="BD147" s="136">
        <v>21</v>
      </c>
      <c r="BE147" s="1">
        <v>20</v>
      </c>
      <c r="BF147" s="1"/>
      <c r="BG147" s="1">
        <v>21</v>
      </c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4"/>
      <c r="BY147" s="136"/>
      <c r="BZ147" s="136">
        <v>20.5</v>
      </c>
      <c r="CA147" s="136"/>
      <c r="CB147" s="136"/>
      <c r="CC147" s="136"/>
      <c r="CD147" s="136"/>
      <c r="CE147" s="136"/>
      <c r="CF147" s="136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DA147" s="395">
        <f>DA146/25*5</f>
        <v>17</v>
      </c>
    </row>
    <row r="148" spans="1:105" ht="20.25" customHeight="1" x14ac:dyDescent="0.35">
      <c r="A148" s="6"/>
      <c r="B148" s="200" t="s">
        <v>1573</v>
      </c>
      <c r="C148" s="200" t="s">
        <v>302</v>
      </c>
      <c r="D148" s="200"/>
      <c r="E148" s="6" t="s">
        <v>36</v>
      </c>
      <c r="F148" s="95" t="s">
        <v>2168</v>
      </c>
      <c r="G148" s="95" t="s">
        <v>42</v>
      </c>
      <c r="H148" s="352">
        <f>H146/25*3.5</f>
        <v>11.375</v>
      </c>
      <c r="I148" s="4"/>
      <c r="J148" s="4"/>
      <c r="K148" s="4"/>
      <c r="L148" s="4"/>
      <c r="M148" s="4"/>
      <c r="N148" s="108"/>
      <c r="O148" s="4"/>
      <c r="P148" s="4"/>
      <c r="Q148" s="4"/>
      <c r="R148" s="4"/>
      <c r="S148" s="4"/>
      <c r="T148" s="4"/>
      <c r="U148" s="4"/>
      <c r="V148" s="238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1"/>
      <c r="AL148" s="1"/>
      <c r="AM148" s="1"/>
      <c r="AN148" s="1"/>
      <c r="AO148" s="1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4"/>
      <c r="BY148" s="136"/>
      <c r="BZ148" s="136"/>
      <c r="CA148" s="136"/>
      <c r="CB148" s="136"/>
      <c r="CC148" s="136"/>
      <c r="CD148" s="136"/>
      <c r="CE148" s="136"/>
      <c r="CF148" s="136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DA148" s="395">
        <f>DA146/25*3.5</f>
        <v>11.9</v>
      </c>
    </row>
    <row r="149" spans="1:105" ht="20.25" customHeight="1" x14ac:dyDescent="0.35">
      <c r="A149" s="6"/>
      <c r="B149" s="200" t="s">
        <v>1574</v>
      </c>
      <c r="C149" s="200" t="s">
        <v>302</v>
      </c>
      <c r="D149" s="200"/>
      <c r="E149" s="6" t="s">
        <v>36</v>
      </c>
      <c r="F149" s="95" t="s">
        <v>529</v>
      </c>
      <c r="G149" s="95" t="s">
        <v>42</v>
      </c>
      <c r="H149" s="352">
        <f>H146/25*3</f>
        <v>9.75</v>
      </c>
      <c r="I149" s="4">
        <f>I147/5*3+0.3</f>
        <v>12.3</v>
      </c>
      <c r="J149" s="4"/>
      <c r="K149" s="4"/>
      <c r="L149" s="4"/>
      <c r="M149" s="4"/>
      <c r="N149" s="108"/>
      <c r="O149" s="4"/>
      <c r="P149" s="4"/>
      <c r="Q149" s="4"/>
      <c r="R149" s="4"/>
      <c r="S149" s="4"/>
      <c r="T149" s="4"/>
      <c r="U149" s="4"/>
      <c r="V149" s="238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1"/>
      <c r="AL149" s="1"/>
      <c r="AM149" s="1"/>
      <c r="AN149" s="1"/>
      <c r="AO149" s="1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4"/>
      <c r="BY149" s="136"/>
      <c r="BZ149" s="136"/>
      <c r="CA149" s="136"/>
      <c r="CB149" s="136"/>
      <c r="CC149" s="136"/>
      <c r="CD149" s="136"/>
      <c r="CE149" s="136"/>
      <c r="CF149" s="136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DA149" s="395">
        <f>DA146/25*3</f>
        <v>10.199999999999999</v>
      </c>
    </row>
    <row r="150" spans="1:105" ht="20.25" customHeight="1" x14ac:dyDescent="0.35">
      <c r="A150" s="6"/>
      <c r="B150" s="200" t="s">
        <v>1575</v>
      </c>
      <c r="C150" s="200" t="s">
        <v>302</v>
      </c>
      <c r="D150" s="200"/>
      <c r="E150" s="6" t="s">
        <v>36</v>
      </c>
      <c r="F150" s="95" t="s">
        <v>75</v>
      </c>
      <c r="G150" s="95" t="s">
        <v>42</v>
      </c>
      <c r="H150" s="352">
        <f>H146/25</f>
        <v>3.25</v>
      </c>
      <c r="I150" s="4"/>
      <c r="J150" s="4"/>
      <c r="K150" s="4"/>
      <c r="L150" s="4"/>
      <c r="M150" s="4"/>
      <c r="N150" s="108"/>
      <c r="O150" s="4"/>
      <c r="P150" s="4"/>
      <c r="Q150" s="4"/>
      <c r="R150" s="4"/>
      <c r="S150" s="4"/>
      <c r="T150" s="4"/>
      <c r="U150" s="4"/>
      <c r="V150" s="238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1"/>
      <c r="AL150" s="1"/>
      <c r="AM150" s="1"/>
      <c r="AN150" s="1"/>
      <c r="AO150" s="1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4"/>
      <c r="BY150" s="136"/>
      <c r="BZ150" s="136"/>
      <c r="CA150" s="136"/>
      <c r="CB150" s="136"/>
      <c r="CC150" s="136"/>
      <c r="CD150" s="136"/>
      <c r="CE150" s="136"/>
      <c r="CF150" s="136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DA150" s="395">
        <f>DA146/25</f>
        <v>3.4</v>
      </c>
    </row>
    <row r="151" spans="1:105" ht="20.25" customHeight="1" x14ac:dyDescent="0.35">
      <c r="A151" s="6"/>
      <c r="B151" s="307" t="s">
        <v>2167</v>
      </c>
      <c r="C151" s="200" t="s">
        <v>302</v>
      </c>
      <c r="D151" s="95" t="s">
        <v>1229</v>
      </c>
      <c r="E151" s="95" t="s">
        <v>36</v>
      </c>
      <c r="F151" s="62" t="s">
        <v>2168</v>
      </c>
      <c r="G151" s="62" t="s">
        <v>42</v>
      </c>
      <c r="H151" s="352"/>
      <c r="I151" s="4"/>
      <c r="J151" s="4"/>
      <c r="K151" s="4"/>
      <c r="L151" s="4"/>
      <c r="M151" s="4"/>
      <c r="N151" s="108"/>
      <c r="O151" s="4"/>
      <c r="P151" s="4"/>
      <c r="Q151" s="4"/>
      <c r="R151" s="4"/>
      <c r="S151" s="4"/>
      <c r="T151" s="4"/>
      <c r="U151" s="4"/>
      <c r="V151" s="238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1"/>
      <c r="AL151" s="1"/>
      <c r="AM151" s="1"/>
      <c r="AN151" s="1"/>
      <c r="AO151" s="1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4"/>
      <c r="BY151" s="136"/>
      <c r="BZ151" s="136"/>
      <c r="CA151" s="136"/>
      <c r="CB151" s="136"/>
      <c r="CC151" s="136"/>
      <c r="CD151" s="136"/>
      <c r="CE151" s="136"/>
      <c r="CF151" s="136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DA151" s="379"/>
    </row>
    <row r="152" spans="1:105" ht="20.25" customHeight="1" x14ac:dyDescent="0.35">
      <c r="A152" s="6"/>
      <c r="B152" s="200" t="s">
        <v>1576</v>
      </c>
      <c r="C152" s="200" t="s">
        <v>498</v>
      </c>
      <c r="D152" s="239" t="s">
        <v>1229</v>
      </c>
      <c r="E152" s="95" t="s">
        <v>36</v>
      </c>
      <c r="F152" s="95" t="s">
        <v>689</v>
      </c>
      <c r="G152" s="95" t="s">
        <v>42</v>
      </c>
      <c r="H152" s="248">
        <f>2.9*25</f>
        <v>72.5</v>
      </c>
      <c r="I152" s="4"/>
      <c r="J152" s="4"/>
      <c r="K152" s="4"/>
      <c r="L152" s="4"/>
      <c r="M152" s="4"/>
      <c r="N152" s="108"/>
      <c r="O152" s="4"/>
      <c r="P152" s="4"/>
      <c r="Q152" s="4"/>
      <c r="R152" s="4"/>
      <c r="S152" s="4"/>
      <c r="T152" s="4"/>
      <c r="U152" s="4"/>
      <c r="V152" s="238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1"/>
      <c r="AL152" s="1"/>
      <c r="AM152" s="1"/>
      <c r="AN152" s="1"/>
      <c r="AO152" s="1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4"/>
      <c r="BY152" s="136"/>
      <c r="BZ152" s="136"/>
      <c r="CA152" s="136"/>
      <c r="CB152" s="136"/>
      <c r="CC152" s="136"/>
      <c r="CD152" s="136"/>
      <c r="CE152" s="136"/>
      <c r="CF152" s="136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DA152" s="395">
        <f>3.3*25</f>
        <v>82.5</v>
      </c>
    </row>
    <row r="153" spans="1:105" ht="20.25" customHeight="1" x14ac:dyDescent="0.35">
      <c r="A153" s="95"/>
      <c r="B153" s="200" t="s">
        <v>1577</v>
      </c>
      <c r="C153" s="200" t="s">
        <v>498</v>
      </c>
      <c r="D153" s="239" t="s">
        <v>1229</v>
      </c>
      <c r="E153" s="95" t="s">
        <v>36</v>
      </c>
      <c r="F153" s="95" t="s">
        <v>54</v>
      </c>
      <c r="G153" s="95" t="s">
        <v>42</v>
      </c>
      <c r="H153" s="248">
        <f>H152/25*5</f>
        <v>14.5</v>
      </c>
      <c r="I153" s="240">
        <v>18</v>
      </c>
      <c r="J153" s="4">
        <v>20.5</v>
      </c>
      <c r="K153" s="4"/>
      <c r="L153" s="4"/>
      <c r="M153" s="4"/>
      <c r="N153" s="108"/>
      <c r="O153" s="4">
        <v>0</v>
      </c>
      <c r="P153" s="4">
        <v>0</v>
      </c>
      <c r="Q153" s="4">
        <v>0</v>
      </c>
      <c r="R153" s="4">
        <v>0</v>
      </c>
      <c r="S153" s="4">
        <v>0</v>
      </c>
      <c r="T153" s="4"/>
      <c r="U153" s="4"/>
      <c r="V153" s="238">
        <v>20</v>
      </c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1"/>
      <c r="AL153" s="1"/>
      <c r="AM153" s="1"/>
      <c r="AN153" s="1"/>
      <c r="AO153" s="250">
        <v>20.5</v>
      </c>
      <c r="AP153" s="250">
        <v>20.5</v>
      </c>
      <c r="AQ153" s="4"/>
      <c r="AR153" s="250">
        <v>20.5</v>
      </c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>
        <v>20</v>
      </c>
      <c r="BV153" s="1"/>
      <c r="BW153" s="1"/>
      <c r="BX153" s="250">
        <v>20.5</v>
      </c>
      <c r="BY153" s="136"/>
      <c r="BZ153" s="136"/>
      <c r="CA153" s="136"/>
      <c r="CB153" s="136">
        <v>20</v>
      </c>
      <c r="CC153" s="136"/>
      <c r="CD153" s="136"/>
      <c r="CE153" s="136"/>
      <c r="CF153" s="136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DA153" s="379">
        <f>DA152/25*5</f>
        <v>16.5</v>
      </c>
    </row>
    <row r="154" spans="1:105" ht="20.25" customHeight="1" x14ac:dyDescent="0.35">
      <c r="A154" s="6"/>
      <c r="B154" s="200" t="s">
        <v>1578</v>
      </c>
      <c r="C154" s="200" t="s">
        <v>498</v>
      </c>
      <c r="D154" s="95"/>
      <c r="E154" s="6" t="s">
        <v>36</v>
      </c>
      <c r="F154" s="95" t="s">
        <v>1154</v>
      </c>
      <c r="G154" s="95" t="s">
        <v>42</v>
      </c>
      <c r="H154" s="248">
        <f>H153/5*2.5</f>
        <v>7.25</v>
      </c>
      <c r="I154" s="4"/>
      <c r="J154" s="4"/>
      <c r="K154" s="4"/>
      <c r="L154" s="4"/>
      <c r="M154" s="4"/>
      <c r="N154" s="108"/>
      <c r="O154" s="4"/>
      <c r="P154" s="4"/>
      <c r="Q154" s="4"/>
      <c r="R154" s="4"/>
      <c r="S154" s="4"/>
      <c r="T154" s="4"/>
      <c r="U154" s="4"/>
      <c r="V154" s="238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1"/>
      <c r="AL154" s="1"/>
      <c r="AM154" s="1"/>
      <c r="AN154" s="1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4"/>
      <c r="BY154" s="136"/>
      <c r="BZ154" s="136"/>
      <c r="CA154" s="136"/>
      <c r="CB154" s="136"/>
      <c r="CC154" s="136"/>
      <c r="CD154" s="136"/>
      <c r="CE154" s="136"/>
      <c r="CF154" s="136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DA154" s="379">
        <f>DA152/25*2.5</f>
        <v>8.25</v>
      </c>
    </row>
    <row r="155" spans="1:105" ht="20.25" customHeight="1" x14ac:dyDescent="0.35">
      <c r="A155" s="6"/>
      <c r="B155" s="200" t="s">
        <v>2020</v>
      </c>
      <c r="C155" s="200" t="s">
        <v>498</v>
      </c>
      <c r="D155" s="95"/>
      <c r="E155" s="6" t="s">
        <v>36</v>
      </c>
      <c r="F155" s="95" t="s">
        <v>75</v>
      </c>
      <c r="G155" s="95" t="s">
        <v>42</v>
      </c>
      <c r="H155" s="248">
        <f>H153/5</f>
        <v>2.9</v>
      </c>
      <c r="I155" s="4"/>
      <c r="J155" s="4"/>
      <c r="K155" s="4"/>
      <c r="L155" s="4"/>
      <c r="M155" s="4"/>
      <c r="N155" s="108"/>
      <c r="O155" s="4"/>
      <c r="P155" s="4"/>
      <c r="Q155" s="4"/>
      <c r="R155" s="4"/>
      <c r="S155" s="4"/>
      <c r="T155" s="4"/>
      <c r="U155" s="4"/>
      <c r="V155" s="238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1"/>
      <c r="AL155" s="1"/>
      <c r="AM155" s="1"/>
      <c r="AN155" s="1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4"/>
      <c r="BY155" s="136"/>
      <c r="BZ155" s="136"/>
      <c r="CA155" s="136"/>
      <c r="CB155" s="136"/>
      <c r="CC155" s="136"/>
      <c r="CD155" s="136"/>
      <c r="CE155" s="136"/>
      <c r="CF155" s="136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DA155" s="379">
        <f>DA152/25</f>
        <v>3.3</v>
      </c>
    </row>
    <row r="156" spans="1:105" ht="20.25" customHeight="1" x14ac:dyDescent="0.35">
      <c r="A156" s="6"/>
      <c r="B156" s="200" t="s">
        <v>1579</v>
      </c>
      <c r="C156" s="200" t="s">
        <v>609</v>
      </c>
      <c r="D156" s="245"/>
      <c r="E156" s="6" t="s">
        <v>36</v>
      </c>
      <c r="F156" s="95" t="s">
        <v>689</v>
      </c>
      <c r="G156" s="95" t="s">
        <v>42</v>
      </c>
      <c r="H156" s="248">
        <v>65</v>
      </c>
      <c r="I156" s="4"/>
      <c r="J156" s="4"/>
      <c r="K156" s="4"/>
      <c r="L156" s="4"/>
      <c r="M156" s="4"/>
      <c r="N156" s="108"/>
      <c r="O156" s="4"/>
      <c r="P156" s="4"/>
      <c r="Q156" s="4"/>
      <c r="R156" s="4"/>
      <c r="S156" s="4"/>
      <c r="T156" s="4"/>
      <c r="U156" s="4"/>
      <c r="V156" s="238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1"/>
      <c r="AL156" s="1"/>
      <c r="AM156" s="1"/>
      <c r="AN156" s="1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4"/>
      <c r="BY156" s="136"/>
      <c r="BZ156" s="136"/>
      <c r="CA156" s="136"/>
      <c r="CB156" s="136"/>
      <c r="CC156" s="136"/>
      <c r="CD156" s="136"/>
      <c r="CE156" s="136"/>
      <c r="CF156" s="136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DA156" s="379">
        <v>65</v>
      </c>
    </row>
    <row r="157" spans="1:105" ht="20.25" customHeight="1" x14ac:dyDescent="0.35">
      <c r="A157" s="6"/>
      <c r="B157" s="200" t="s">
        <v>1580</v>
      </c>
      <c r="C157" s="200" t="s">
        <v>609</v>
      </c>
      <c r="D157" s="245"/>
      <c r="E157" s="6" t="s">
        <v>36</v>
      </c>
      <c r="F157" s="95" t="s">
        <v>54</v>
      </c>
      <c r="G157" s="95" t="s">
        <v>42</v>
      </c>
      <c r="H157" s="248">
        <f>H156/25*5</f>
        <v>13</v>
      </c>
      <c r="I157" s="4">
        <v>0</v>
      </c>
      <c r="J157" s="4"/>
      <c r="K157" s="4"/>
      <c r="L157" s="4"/>
      <c r="M157" s="4"/>
      <c r="N157" s="108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1"/>
      <c r="AL157" s="1"/>
      <c r="AM157" s="1"/>
      <c r="AN157" s="1"/>
      <c r="AO157" s="1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4"/>
      <c r="BY157" s="136"/>
      <c r="BZ157" s="136"/>
      <c r="CA157" s="136"/>
      <c r="CB157" s="136"/>
      <c r="CC157" s="136"/>
      <c r="CD157" s="136"/>
      <c r="CE157" s="136"/>
      <c r="CF157" s="136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DA157" s="379">
        <f>DA156/25*5</f>
        <v>13</v>
      </c>
    </row>
    <row r="158" spans="1:105" ht="20.25" customHeight="1" x14ac:dyDescent="0.35">
      <c r="A158" s="6"/>
      <c r="B158" s="200" t="s">
        <v>2169</v>
      </c>
      <c r="C158" s="200" t="s">
        <v>609</v>
      </c>
      <c r="D158" s="245"/>
      <c r="E158" s="6" t="s">
        <v>36</v>
      </c>
      <c r="F158" s="95" t="s">
        <v>75</v>
      </c>
      <c r="G158" s="95"/>
      <c r="H158" s="248"/>
      <c r="I158" s="4"/>
      <c r="J158" s="4"/>
      <c r="K158" s="4"/>
      <c r="L158" s="4"/>
      <c r="M158" s="4"/>
      <c r="N158" s="108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1"/>
      <c r="AL158" s="1"/>
      <c r="AM158" s="1"/>
      <c r="AN158" s="1"/>
      <c r="AO158" s="1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4"/>
      <c r="BY158" s="136"/>
      <c r="BZ158" s="136"/>
      <c r="CA158" s="136"/>
      <c r="CB158" s="136"/>
      <c r="CC158" s="136"/>
      <c r="CD158" s="136"/>
      <c r="CE158" s="136"/>
      <c r="CF158" s="136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DA158" s="379">
        <f>DA157/5</f>
        <v>2.6</v>
      </c>
    </row>
    <row r="159" spans="1:105" ht="20.25" customHeight="1" x14ac:dyDescent="0.35">
      <c r="A159" s="6"/>
      <c r="B159" s="200" t="s">
        <v>1581</v>
      </c>
      <c r="C159" s="200" t="s">
        <v>303</v>
      </c>
      <c r="D159" s="245" t="s">
        <v>1229</v>
      </c>
      <c r="E159" s="6" t="s">
        <v>36</v>
      </c>
      <c r="F159" s="95" t="s">
        <v>929</v>
      </c>
      <c r="G159" s="95" t="s">
        <v>42</v>
      </c>
      <c r="H159" s="248">
        <f>2.6*25</f>
        <v>65</v>
      </c>
      <c r="I159" s="4"/>
      <c r="J159" s="4"/>
      <c r="K159" s="4"/>
      <c r="L159" s="4"/>
      <c r="M159" s="4"/>
      <c r="N159" s="108"/>
      <c r="O159" s="4"/>
      <c r="P159" s="4"/>
      <c r="Q159" s="4"/>
      <c r="R159" s="4"/>
      <c r="S159" s="4"/>
      <c r="T159" s="4"/>
      <c r="U159" s="4"/>
      <c r="V159" s="238"/>
      <c r="W159" s="4"/>
      <c r="X159" s="4"/>
      <c r="Y159" s="4"/>
      <c r="Z159" s="4"/>
      <c r="AA159" s="4"/>
      <c r="AB159" s="4"/>
      <c r="AC159" s="4">
        <v>75</v>
      </c>
      <c r="AD159" s="4"/>
      <c r="AE159" s="4"/>
      <c r="AF159" s="4"/>
      <c r="AG159" s="4"/>
      <c r="AH159" s="4"/>
      <c r="AI159" s="4"/>
      <c r="AJ159" s="4"/>
      <c r="AK159" s="1"/>
      <c r="AL159" s="1"/>
      <c r="AM159" s="1"/>
      <c r="AN159" s="1"/>
      <c r="AO159" s="1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4"/>
      <c r="BY159" s="136"/>
      <c r="BZ159" s="136"/>
      <c r="CA159" s="136"/>
      <c r="CB159" s="136"/>
      <c r="CC159" s="136"/>
      <c r="CD159" s="136"/>
      <c r="CE159" s="136"/>
      <c r="CF159" s="136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DA159" s="379">
        <v>62.5</v>
      </c>
    </row>
    <row r="160" spans="1:105" ht="20.25" customHeight="1" x14ac:dyDescent="0.35">
      <c r="A160" s="6"/>
      <c r="B160" s="200" t="s">
        <v>1582</v>
      </c>
      <c r="C160" s="200" t="s">
        <v>303</v>
      </c>
      <c r="D160" s="95"/>
      <c r="E160" s="95" t="s">
        <v>36</v>
      </c>
      <c r="F160" s="95" t="s">
        <v>54</v>
      </c>
      <c r="G160" s="95" t="s">
        <v>42</v>
      </c>
      <c r="H160" s="248">
        <f>H159/25*5</f>
        <v>13</v>
      </c>
      <c r="I160" s="4">
        <v>0</v>
      </c>
      <c r="J160" s="4"/>
      <c r="K160" s="4"/>
      <c r="L160" s="4"/>
      <c r="M160" s="4"/>
      <c r="N160" s="240">
        <v>18</v>
      </c>
      <c r="O160" s="4">
        <v>18</v>
      </c>
      <c r="P160" s="240">
        <v>18</v>
      </c>
      <c r="Q160" s="4">
        <v>18</v>
      </c>
      <c r="R160" s="4">
        <v>18</v>
      </c>
      <c r="S160" s="4"/>
      <c r="T160" s="4"/>
      <c r="U160" s="4"/>
      <c r="V160" s="238">
        <v>18</v>
      </c>
      <c r="W160" s="4"/>
      <c r="X160" s="4"/>
      <c r="Y160" s="4"/>
      <c r="Z160" s="4"/>
      <c r="AA160" s="4"/>
      <c r="AB160" s="4"/>
      <c r="AC160" s="4">
        <v>18</v>
      </c>
      <c r="AD160" s="4"/>
      <c r="AE160" s="4"/>
      <c r="AF160" s="4"/>
      <c r="AG160" s="4"/>
      <c r="AH160" s="4"/>
      <c r="AI160" s="4"/>
      <c r="AJ160" s="4"/>
      <c r="AK160" s="1"/>
      <c r="AL160" s="1"/>
      <c r="AM160" s="1"/>
      <c r="AN160" s="1"/>
      <c r="AO160" s="1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1"/>
      <c r="BE160" s="1"/>
      <c r="BF160" s="1"/>
      <c r="BG160" s="1"/>
      <c r="BH160" s="1"/>
      <c r="BI160" s="1"/>
      <c r="BJ160" s="1"/>
      <c r="BK160" s="1">
        <v>19</v>
      </c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4"/>
      <c r="BY160" s="136"/>
      <c r="BZ160" s="136"/>
      <c r="CA160" s="136"/>
      <c r="CB160" s="136"/>
      <c r="CC160" s="136"/>
      <c r="CD160" s="136"/>
      <c r="CE160" s="136"/>
      <c r="CF160" s="136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DA160" s="379">
        <f>DA159/25*5</f>
        <v>12.5</v>
      </c>
    </row>
    <row r="161" spans="1:105" ht="20.25" customHeight="1" x14ac:dyDescent="0.35">
      <c r="A161" s="6"/>
      <c r="B161" s="200" t="s">
        <v>1583</v>
      </c>
      <c r="C161" s="200" t="s">
        <v>303</v>
      </c>
      <c r="D161" s="245"/>
      <c r="E161" s="6" t="s">
        <v>36</v>
      </c>
      <c r="F161" s="95" t="s">
        <v>1081</v>
      </c>
      <c r="G161" s="95" t="s">
        <v>42</v>
      </c>
      <c r="H161" s="248">
        <f>H160/5000*300</f>
        <v>0.77999999999999992</v>
      </c>
      <c r="I161" s="4"/>
      <c r="J161" s="4"/>
      <c r="K161" s="4"/>
      <c r="L161" s="4"/>
      <c r="M161" s="4"/>
      <c r="N161" s="108"/>
      <c r="O161" s="4"/>
      <c r="P161" s="4"/>
      <c r="Q161" s="4"/>
      <c r="R161" s="4"/>
      <c r="S161" s="4"/>
      <c r="T161" s="4"/>
      <c r="U161" s="4"/>
      <c r="V161" s="238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1"/>
      <c r="AL161" s="1"/>
      <c r="AM161" s="1"/>
      <c r="AN161" s="1"/>
      <c r="AO161" s="1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>
        <v>0.9</v>
      </c>
      <c r="BP161" s="1"/>
      <c r="BQ161" s="1"/>
      <c r="BR161" s="1"/>
      <c r="BS161" s="1"/>
      <c r="BT161" s="1"/>
      <c r="BU161" s="1"/>
      <c r="BV161" s="1"/>
      <c r="BW161" s="1"/>
      <c r="BX161" s="4"/>
      <c r="BY161" s="136"/>
      <c r="BZ161" s="136"/>
      <c r="CA161" s="136"/>
      <c r="CB161" s="136"/>
      <c r="CC161" s="136"/>
      <c r="CD161" s="136"/>
      <c r="CE161" s="136"/>
      <c r="CF161" s="136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DA161" s="379"/>
    </row>
    <row r="162" spans="1:105" ht="20.25" customHeight="1" x14ac:dyDescent="0.35">
      <c r="A162" s="6">
        <v>4000005590</v>
      </c>
      <c r="B162" s="200" t="s">
        <v>1584</v>
      </c>
      <c r="C162" s="200" t="s">
        <v>304</v>
      </c>
      <c r="D162" s="95"/>
      <c r="E162" s="95" t="s">
        <v>36</v>
      </c>
      <c r="F162" s="6" t="s">
        <v>135</v>
      </c>
      <c r="G162" s="95" t="s">
        <v>42</v>
      </c>
      <c r="H162" s="248">
        <f>2*25</f>
        <v>50</v>
      </c>
      <c r="I162" s="4"/>
      <c r="J162" s="4"/>
      <c r="K162" s="146">
        <v>55</v>
      </c>
      <c r="L162" s="146">
        <v>60</v>
      </c>
      <c r="M162" s="4"/>
      <c r="N162" s="108"/>
      <c r="O162" s="146">
        <v>60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>
        <v>58</v>
      </c>
      <c r="AD162" s="4"/>
      <c r="AE162" s="4"/>
      <c r="AF162" s="4"/>
      <c r="AG162" s="4"/>
      <c r="AH162" s="4"/>
      <c r="AI162" s="4"/>
      <c r="AJ162" s="4"/>
      <c r="AK162" s="1"/>
      <c r="AL162" s="1"/>
      <c r="AM162" s="1"/>
      <c r="AN162" s="1"/>
      <c r="AO162" s="1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4"/>
      <c r="BY162" s="136"/>
      <c r="BZ162" s="136"/>
      <c r="CA162" s="136"/>
      <c r="CB162" s="136"/>
      <c r="CC162" s="136"/>
      <c r="CD162" s="136"/>
      <c r="CE162" s="136"/>
      <c r="CF162" s="136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DA162" s="379">
        <f>1.9*25</f>
        <v>47.5</v>
      </c>
    </row>
    <row r="163" spans="1:105" ht="20.25" customHeight="1" x14ac:dyDescent="0.35">
      <c r="A163" s="95" t="s">
        <v>83</v>
      </c>
      <c r="B163" s="200" t="s">
        <v>1585</v>
      </c>
      <c r="C163" s="200" t="s">
        <v>304</v>
      </c>
      <c r="D163" s="239" t="s">
        <v>1234</v>
      </c>
      <c r="E163" s="95" t="s">
        <v>36</v>
      </c>
      <c r="F163" s="95" t="s">
        <v>54</v>
      </c>
      <c r="G163" s="95" t="s">
        <v>42</v>
      </c>
      <c r="H163" s="248">
        <f>H162/25*5</f>
        <v>10</v>
      </c>
      <c r="I163" s="240">
        <v>14</v>
      </c>
      <c r="J163" s="4">
        <v>13</v>
      </c>
      <c r="K163" s="4"/>
      <c r="L163" s="4"/>
      <c r="M163" s="4"/>
      <c r="N163" s="240">
        <v>14</v>
      </c>
      <c r="O163" s="4">
        <v>13</v>
      </c>
      <c r="P163" s="240">
        <v>14</v>
      </c>
      <c r="Q163" s="4">
        <v>14</v>
      </c>
      <c r="R163" s="4">
        <v>13.5</v>
      </c>
      <c r="S163" s="4">
        <v>14</v>
      </c>
      <c r="T163" s="4">
        <v>14.5</v>
      </c>
      <c r="U163" s="4"/>
      <c r="V163" s="243">
        <v>14.5</v>
      </c>
      <c r="W163" s="4"/>
      <c r="X163" s="4"/>
      <c r="Y163" s="4"/>
      <c r="Z163" s="4"/>
      <c r="AA163" s="4"/>
      <c r="AB163" s="4"/>
      <c r="AC163" s="67">
        <v>13.5</v>
      </c>
      <c r="AD163" s="4"/>
      <c r="AE163" s="4"/>
      <c r="AF163" s="4">
        <v>14</v>
      </c>
      <c r="AG163" s="4">
        <v>14</v>
      </c>
      <c r="AH163" s="4"/>
      <c r="AI163" s="4"/>
      <c r="AJ163" s="4"/>
      <c r="AK163" s="1"/>
      <c r="AL163" s="1"/>
      <c r="AM163" s="1"/>
      <c r="AN163" s="1"/>
      <c r="AO163" s="1">
        <v>13</v>
      </c>
      <c r="AP163" s="4">
        <v>13</v>
      </c>
      <c r="AQ163" s="4">
        <v>13</v>
      </c>
      <c r="AR163" s="4">
        <v>13</v>
      </c>
      <c r="AS163" s="4"/>
      <c r="AT163" s="4">
        <v>13</v>
      </c>
      <c r="AU163" s="4">
        <v>13</v>
      </c>
      <c r="AV163" s="4">
        <v>13</v>
      </c>
      <c r="AW163" s="4">
        <v>13</v>
      </c>
      <c r="AX163" s="4">
        <v>13</v>
      </c>
      <c r="AY163" s="4">
        <v>13</v>
      </c>
      <c r="AZ163" s="4">
        <v>13</v>
      </c>
      <c r="BA163" s="4">
        <v>13</v>
      </c>
      <c r="BB163" s="4"/>
      <c r="BC163" s="4">
        <v>13</v>
      </c>
      <c r="BD163" s="4">
        <v>14</v>
      </c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>
        <v>14</v>
      </c>
      <c r="BV163" s="1"/>
      <c r="BW163" s="1"/>
      <c r="BX163" s="4">
        <v>13</v>
      </c>
      <c r="BY163" s="136"/>
      <c r="BZ163" s="136">
        <v>14</v>
      </c>
      <c r="CA163" s="136"/>
      <c r="CB163" s="136"/>
      <c r="CC163" s="136"/>
      <c r="CD163" s="136"/>
      <c r="CE163" s="136"/>
      <c r="CF163" s="136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DA163" s="379">
        <f>DA165*5</f>
        <v>9.3999999999999986</v>
      </c>
    </row>
    <row r="164" spans="1:105" ht="20.25" customHeight="1" x14ac:dyDescent="0.35">
      <c r="A164" s="6"/>
      <c r="B164" s="200" t="s">
        <v>1586</v>
      </c>
      <c r="C164" s="200" t="s">
        <v>304</v>
      </c>
      <c r="D164" s="245"/>
      <c r="E164" s="6" t="s">
        <v>36</v>
      </c>
      <c r="F164" s="95" t="s">
        <v>2168</v>
      </c>
      <c r="G164" s="95" t="s">
        <v>42</v>
      </c>
      <c r="H164" s="248">
        <f>H163/5*3.5</f>
        <v>7</v>
      </c>
      <c r="I164" s="4"/>
      <c r="J164" s="4"/>
      <c r="K164" s="4"/>
      <c r="L164" s="4"/>
      <c r="M164" s="4"/>
      <c r="N164" s="108"/>
      <c r="O164" s="4"/>
      <c r="P164" s="4"/>
      <c r="Q164" s="4"/>
      <c r="R164" s="4"/>
      <c r="S164" s="4"/>
      <c r="T164" s="4"/>
      <c r="U164" s="4"/>
      <c r="V164" s="238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1"/>
      <c r="AL164" s="1"/>
      <c r="AM164" s="1"/>
      <c r="AN164" s="1"/>
      <c r="AO164" s="1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4"/>
      <c r="BY164" s="136"/>
      <c r="BZ164" s="136"/>
      <c r="CA164" s="136"/>
      <c r="CB164" s="136"/>
      <c r="CC164" s="136"/>
      <c r="CD164" s="136"/>
      <c r="CE164" s="136"/>
      <c r="CF164" s="136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DA164" s="379">
        <f>DA165*3.5</f>
        <v>6.58</v>
      </c>
    </row>
    <row r="165" spans="1:105" ht="20.25" customHeight="1" x14ac:dyDescent="0.35">
      <c r="A165" s="6"/>
      <c r="B165" s="200" t="s">
        <v>1587</v>
      </c>
      <c r="C165" s="200" t="s">
        <v>304</v>
      </c>
      <c r="D165" s="245"/>
      <c r="E165" s="6" t="s">
        <v>36</v>
      </c>
      <c r="F165" s="95" t="s">
        <v>75</v>
      </c>
      <c r="G165" s="95" t="s">
        <v>42</v>
      </c>
      <c r="H165" s="248">
        <f>H163/5</f>
        <v>2</v>
      </c>
      <c r="I165" s="4"/>
      <c r="J165" s="4"/>
      <c r="K165" s="4"/>
      <c r="L165" s="4"/>
      <c r="M165" s="4"/>
      <c r="N165" s="108"/>
      <c r="O165" s="4"/>
      <c r="P165" s="4"/>
      <c r="Q165" s="4"/>
      <c r="R165" s="4"/>
      <c r="S165" s="4"/>
      <c r="T165" s="4"/>
      <c r="U165" s="4"/>
      <c r="V165" s="238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1"/>
      <c r="AL165" s="1"/>
      <c r="AM165" s="1"/>
      <c r="AN165" s="1"/>
      <c r="AO165" s="1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4"/>
      <c r="BY165" s="136"/>
      <c r="BZ165" s="136"/>
      <c r="CA165" s="136"/>
      <c r="CB165" s="136"/>
      <c r="CC165" s="136"/>
      <c r="CD165" s="136"/>
      <c r="CE165" s="136"/>
      <c r="CF165" s="136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DA165" s="379">
        <v>1.88</v>
      </c>
    </row>
    <row r="166" spans="1:105" ht="20.25" customHeight="1" x14ac:dyDescent="0.35">
      <c r="A166" s="6"/>
      <c r="B166" s="200" t="s">
        <v>2354</v>
      </c>
      <c r="C166" s="200" t="s">
        <v>304</v>
      </c>
      <c r="D166" s="245"/>
      <c r="E166" s="6" t="s">
        <v>36</v>
      </c>
      <c r="F166" s="95" t="s">
        <v>946</v>
      </c>
      <c r="G166" s="95" t="s">
        <v>42</v>
      </c>
      <c r="H166" s="248"/>
      <c r="I166" s="4">
        <f>I163/5*3+0.3</f>
        <v>8.6999999999999993</v>
      </c>
      <c r="J166" s="4"/>
      <c r="K166" s="4"/>
      <c r="L166" s="4"/>
      <c r="M166" s="4"/>
      <c r="N166" s="108"/>
      <c r="O166" s="4"/>
      <c r="P166" s="4"/>
      <c r="Q166" s="4"/>
      <c r="R166" s="4"/>
      <c r="S166" s="4"/>
      <c r="T166" s="4"/>
      <c r="U166" s="4"/>
      <c r="V166" s="238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1"/>
      <c r="AL166" s="1"/>
      <c r="AM166" s="1"/>
      <c r="AN166" s="1"/>
      <c r="AO166" s="1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4"/>
      <c r="BY166" s="136"/>
      <c r="BZ166" s="136"/>
      <c r="CA166" s="136"/>
      <c r="CB166" s="136"/>
      <c r="CC166" s="136"/>
      <c r="CD166" s="136"/>
      <c r="CE166" s="136"/>
      <c r="CF166" s="136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DA166" s="379">
        <f>DA165*3</f>
        <v>5.64</v>
      </c>
    </row>
    <row r="167" spans="1:105" ht="20.25" customHeight="1" x14ac:dyDescent="0.35">
      <c r="A167" s="6"/>
      <c r="B167" s="200" t="s">
        <v>1588</v>
      </c>
      <c r="C167" s="200" t="s">
        <v>1589</v>
      </c>
      <c r="D167" s="245" t="s">
        <v>1229</v>
      </c>
      <c r="E167" s="6"/>
      <c r="F167" s="95" t="s">
        <v>689</v>
      </c>
      <c r="G167" s="95" t="s">
        <v>864</v>
      </c>
      <c r="H167" s="237"/>
      <c r="I167" s="4"/>
      <c r="J167" s="4"/>
      <c r="K167" s="4"/>
      <c r="L167" s="4"/>
      <c r="M167" s="4"/>
      <c r="N167" s="108"/>
      <c r="O167" s="4"/>
      <c r="P167" s="4"/>
      <c r="Q167" s="4"/>
      <c r="R167" s="4"/>
      <c r="S167" s="4"/>
      <c r="T167" s="4"/>
      <c r="U167" s="4"/>
      <c r="V167" s="238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1"/>
      <c r="AL167" s="1"/>
      <c r="AM167" s="1"/>
      <c r="AN167" s="1"/>
      <c r="AO167" s="1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4"/>
      <c r="BY167" s="136"/>
      <c r="BZ167" s="136"/>
      <c r="CA167" s="136"/>
      <c r="CB167" s="136"/>
      <c r="CC167" s="136"/>
      <c r="CD167" s="136"/>
      <c r="CE167" s="136"/>
      <c r="CF167" s="136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DA167" s="379"/>
    </row>
    <row r="168" spans="1:105" ht="20.25" customHeight="1" x14ac:dyDescent="0.35">
      <c r="A168" s="6"/>
      <c r="B168" s="200" t="s">
        <v>1590</v>
      </c>
      <c r="C168" s="200" t="s">
        <v>1591</v>
      </c>
      <c r="D168" s="245" t="s">
        <v>1229</v>
      </c>
      <c r="E168" s="6"/>
      <c r="F168" s="95" t="s">
        <v>689</v>
      </c>
      <c r="G168" s="95" t="s">
        <v>864</v>
      </c>
      <c r="H168" s="237"/>
      <c r="I168" s="4"/>
      <c r="J168" s="4"/>
      <c r="K168" s="4"/>
      <c r="L168" s="4"/>
      <c r="M168" s="4"/>
      <c r="N168" s="108"/>
      <c r="O168" s="4"/>
      <c r="P168" s="4"/>
      <c r="Q168" s="4"/>
      <c r="R168" s="4"/>
      <c r="S168" s="4"/>
      <c r="T168" s="4"/>
      <c r="U168" s="4"/>
      <c r="V168" s="238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1"/>
      <c r="AL168" s="1"/>
      <c r="AM168" s="1"/>
      <c r="AN168" s="1"/>
      <c r="AO168" s="1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4"/>
      <c r="BY168" s="136"/>
      <c r="BZ168" s="136"/>
      <c r="CA168" s="136"/>
      <c r="CB168" s="136"/>
      <c r="CC168" s="136"/>
      <c r="CD168" s="136"/>
      <c r="CE168" s="136"/>
      <c r="CF168" s="136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DA168" s="379"/>
    </row>
    <row r="169" spans="1:105" ht="20.25" customHeight="1" x14ac:dyDescent="0.35">
      <c r="A169" s="6">
        <v>4000005588</v>
      </c>
      <c r="B169" s="200" t="s">
        <v>1592</v>
      </c>
      <c r="C169" s="200" t="s">
        <v>305</v>
      </c>
      <c r="D169" s="245" t="s">
        <v>1232</v>
      </c>
      <c r="E169" s="95" t="s">
        <v>594</v>
      </c>
      <c r="F169" s="6" t="s">
        <v>2318</v>
      </c>
      <c r="G169" s="95" t="s">
        <v>42</v>
      </c>
      <c r="H169" s="248">
        <v>70</v>
      </c>
      <c r="I169" s="4"/>
      <c r="J169" s="4"/>
      <c r="K169" s="192">
        <v>78</v>
      </c>
      <c r="L169" s="4">
        <v>80</v>
      </c>
      <c r="M169" s="4">
        <v>80</v>
      </c>
      <c r="N169" s="108"/>
      <c r="O169" s="4"/>
      <c r="P169" s="4"/>
      <c r="Q169" s="4"/>
      <c r="R169" s="4"/>
      <c r="S169" s="4"/>
      <c r="T169" s="4"/>
      <c r="U169" s="4"/>
      <c r="V169" s="238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1"/>
      <c r="AL169" s="1"/>
      <c r="AM169" s="1"/>
      <c r="AN169" s="1"/>
      <c r="AO169" s="1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1"/>
      <c r="BE169" s="1">
        <v>84</v>
      </c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4"/>
      <c r="BY169" s="136"/>
      <c r="BZ169" s="136"/>
      <c r="CA169" s="136"/>
      <c r="CB169" s="136"/>
      <c r="CC169" s="136"/>
      <c r="CD169" s="136"/>
      <c r="CE169" s="136"/>
      <c r="CF169" s="136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DA169" s="395">
        <v>73</v>
      </c>
    </row>
    <row r="170" spans="1:105" ht="20.25" customHeight="1" x14ac:dyDescent="0.35">
      <c r="A170" s="95" t="s">
        <v>94</v>
      </c>
      <c r="B170" s="200" t="s">
        <v>1593</v>
      </c>
      <c r="C170" s="200" t="s">
        <v>305</v>
      </c>
      <c r="D170" s="239" t="s">
        <v>1232</v>
      </c>
      <c r="E170" s="95" t="s">
        <v>36</v>
      </c>
      <c r="F170" s="95" t="s">
        <v>1156</v>
      </c>
      <c r="G170" s="95" t="s">
        <v>42</v>
      </c>
      <c r="H170" s="248">
        <f>H169/25*5</f>
        <v>14</v>
      </c>
      <c r="I170" s="240">
        <v>17</v>
      </c>
      <c r="J170" s="4"/>
      <c r="K170" s="4"/>
      <c r="L170" s="4">
        <v>16</v>
      </c>
      <c r="M170" s="4">
        <v>16</v>
      </c>
      <c r="N170" s="108"/>
      <c r="O170" s="4">
        <v>16</v>
      </c>
      <c r="P170" s="240">
        <v>16</v>
      </c>
      <c r="Q170" s="4">
        <v>17</v>
      </c>
      <c r="R170" s="4">
        <v>16</v>
      </c>
      <c r="S170" s="4">
        <v>17</v>
      </c>
      <c r="T170" s="4"/>
      <c r="U170" s="4"/>
      <c r="V170" s="238">
        <v>17</v>
      </c>
      <c r="W170" s="4"/>
      <c r="X170" s="4"/>
      <c r="Y170" s="4"/>
      <c r="Z170" s="4"/>
      <c r="AA170" s="4"/>
      <c r="AB170" s="4"/>
      <c r="AC170" s="4">
        <v>17</v>
      </c>
      <c r="AD170" s="4"/>
      <c r="AE170" s="4"/>
      <c r="AF170" s="4">
        <v>17</v>
      </c>
      <c r="AG170" s="4">
        <v>16.5</v>
      </c>
      <c r="AH170" s="4"/>
      <c r="AI170" s="4"/>
      <c r="AJ170" s="4"/>
      <c r="AK170" s="1"/>
      <c r="AL170" s="1"/>
      <c r="AM170" s="1"/>
      <c r="AN170" s="1"/>
      <c r="AO170" s="1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1"/>
      <c r="BE170" s="1"/>
      <c r="BF170" s="1"/>
      <c r="BG170" s="1">
        <v>18</v>
      </c>
      <c r="BH170" s="1"/>
      <c r="BI170" s="1"/>
      <c r="BJ170" s="1"/>
      <c r="BK170" s="1">
        <v>19</v>
      </c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4"/>
      <c r="BY170" s="136"/>
      <c r="BZ170" s="136">
        <v>17</v>
      </c>
      <c r="CA170" s="136"/>
      <c r="CB170" s="136"/>
      <c r="CC170" s="136"/>
      <c r="CD170" s="136"/>
      <c r="CE170" s="136"/>
      <c r="CF170" s="136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DA170" s="395">
        <f>DA169/30*5</f>
        <v>12.166666666666666</v>
      </c>
    </row>
    <row r="171" spans="1:105" ht="20.25" customHeight="1" x14ac:dyDescent="0.35">
      <c r="A171" s="6"/>
      <c r="B171" s="253" t="s">
        <v>1594</v>
      </c>
      <c r="C171" s="200" t="s">
        <v>305</v>
      </c>
      <c r="D171" s="245"/>
      <c r="E171" s="95" t="s">
        <v>36</v>
      </c>
      <c r="F171" s="95" t="s">
        <v>1157</v>
      </c>
      <c r="G171" s="95" t="s">
        <v>42</v>
      </c>
      <c r="H171" s="248">
        <f>H170/5*3</f>
        <v>8.3999999999999986</v>
      </c>
      <c r="I171" s="4">
        <f>I170/5*3+0.3</f>
        <v>10.5</v>
      </c>
      <c r="J171" s="4"/>
      <c r="K171" s="4"/>
      <c r="L171" s="4"/>
      <c r="M171" s="4"/>
      <c r="N171" s="108"/>
      <c r="O171" s="4"/>
      <c r="P171" s="4"/>
      <c r="Q171" s="4"/>
      <c r="R171" s="4"/>
      <c r="S171" s="4"/>
      <c r="T171" s="4"/>
      <c r="U171" s="4"/>
      <c r="V171" s="238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>
        <v>11</v>
      </c>
      <c r="AK171" s="1"/>
      <c r="AL171" s="1"/>
      <c r="AM171" s="1"/>
      <c r="AN171" s="1"/>
      <c r="AO171" s="1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4"/>
      <c r="BY171" s="136"/>
      <c r="BZ171" s="136"/>
      <c r="CA171" s="136"/>
      <c r="CB171" s="136"/>
      <c r="CC171" s="136"/>
      <c r="CD171" s="136"/>
      <c r="CE171" s="136"/>
      <c r="CF171" s="136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DA171" s="395">
        <f>DA169/30*3</f>
        <v>7.2999999999999989</v>
      </c>
    </row>
    <row r="172" spans="1:105" ht="20.25" customHeight="1" x14ac:dyDescent="0.35">
      <c r="A172" s="6"/>
      <c r="B172" s="253" t="s">
        <v>1595</v>
      </c>
      <c r="C172" s="200" t="s">
        <v>305</v>
      </c>
      <c r="D172" s="245"/>
      <c r="E172" s="95" t="s">
        <v>36</v>
      </c>
      <c r="F172" s="95" t="s">
        <v>1158</v>
      </c>
      <c r="G172" s="95" t="s">
        <v>42</v>
      </c>
      <c r="H172" s="248">
        <f>H170/5*2</f>
        <v>5.6</v>
      </c>
      <c r="I172" s="4"/>
      <c r="J172" s="4"/>
      <c r="K172" s="4"/>
      <c r="L172" s="4"/>
      <c r="M172" s="4"/>
      <c r="N172" s="108"/>
      <c r="O172" s="4"/>
      <c r="P172" s="4"/>
      <c r="Q172" s="4"/>
      <c r="R172" s="4"/>
      <c r="S172" s="4"/>
      <c r="T172" s="4"/>
      <c r="U172" s="4"/>
      <c r="V172" s="238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1"/>
      <c r="AL172" s="1"/>
      <c r="AM172" s="1"/>
      <c r="AN172" s="1"/>
      <c r="AO172" s="1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4"/>
      <c r="BY172" s="136"/>
      <c r="BZ172" s="136"/>
      <c r="CA172" s="136"/>
      <c r="CB172" s="136"/>
      <c r="CC172" s="136"/>
      <c r="CD172" s="136"/>
      <c r="CE172" s="136"/>
      <c r="CF172" s="136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DA172" s="395">
        <f>DA169/30*2</f>
        <v>4.8666666666666663</v>
      </c>
    </row>
    <row r="173" spans="1:105" ht="20.25" customHeight="1" x14ac:dyDescent="0.35">
      <c r="A173" s="6"/>
      <c r="B173" s="253" t="s">
        <v>1596</v>
      </c>
      <c r="C173" s="200" t="s">
        <v>305</v>
      </c>
      <c r="D173" s="245"/>
      <c r="E173" s="95" t="s">
        <v>1159</v>
      </c>
      <c r="F173" s="71" t="s">
        <v>75</v>
      </c>
      <c r="G173" s="95" t="s">
        <v>42</v>
      </c>
      <c r="H173" s="248">
        <f>H170/5</f>
        <v>2.8</v>
      </c>
      <c r="I173" s="4"/>
      <c r="J173" s="4"/>
      <c r="K173" s="4"/>
      <c r="L173" s="4"/>
      <c r="M173" s="4"/>
      <c r="N173" s="108"/>
      <c r="O173" s="4"/>
      <c r="P173" s="4"/>
      <c r="Q173" s="4"/>
      <c r="R173" s="4"/>
      <c r="S173" s="4"/>
      <c r="T173" s="4"/>
      <c r="U173" s="4"/>
      <c r="V173" s="238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1"/>
      <c r="AL173" s="1"/>
      <c r="AM173" s="1"/>
      <c r="AN173" s="1"/>
      <c r="AO173" s="1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4"/>
      <c r="BY173" s="136"/>
      <c r="BZ173" s="136"/>
      <c r="CA173" s="136"/>
      <c r="CB173" s="136"/>
      <c r="CC173" s="136"/>
      <c r="CD173" s="136"/>
      <c r="CE173" s="136"/>
      <c r="CF173" s="136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DA173" s="395">
        <f>DA169/30</f>
        <v>2.4333333333333331</v>
      </c>
    </row>
    <row r="174" spans="1:105" ht="20.25" customHeight="1" x14ac:dyDescent="0.35">
      <c r="A174" s="6"/>
      <c r="B174" s="253" t="s">
        <v>1597</v>
      </c>
      <c r="C174" s="200" t="s">
        <v>305</v>
      </c>
      <c r="D174" s="245"/>
      <c r="E174" s="95" t="s">
        <v>1159</v>
      </c>
      <c r="F174" s="71" t="s">
        <v>1079</v>
      </c>
      <c r="G174" s="95" t="s">
        <v>42</v>
      </c>
      <c r="H174" s="248">
        <f>H173/2</f>
        <v>1.4</v>
      </c>
      <c r="I174" s="4"/>
      <c r="J174" s="4"/>
      <c r="K174" s="4"/>
      <c r="L174" s="4"/>
      <c r="M174" s="4"/>
      <c r="N174" s="108"/>
      <c r="O174" s="4"/>
      <c r="P174" s="4"/>
      <c r="Q174" s="4"/>
      <c r="R174" s="4"/>
      <c r="S174" s="4"/>
      <c r="T174" s="4"/>
      <c r="U174" s="4"/>
      <c r="V174" s="238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1"/>
      <c r="AL174" s="1"/>
      <c r="AM174" s="1"/>
      <c r="AN174" s="1"/>
      <c r="AO174" s="1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4"/>
      <c r="BY174" s="136"/>
      <c r="BZ174" s="136"/>
      <c r="CA174" s="136"/>
      <c r="CB174" s="136"/>
      <c r="CC174" s="136"/>
      <c r="CD174" s="136"/>
      <c r="CE174" s="136"/>
      <c r="CF174" s="136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DA174" s="395">
        <f>DA173/2</f>
        <v>1.2166666666666666</v>
      </c>
    </row>
    <row r="175" spans="1:105" ht="20.25" customHeight="1" x14ac:dyDescent="0.35">
      <c r="A175" s="6">
        <v>4000005592</v>
      </c>
      <c r="B175" s="200" t="s">
        <v>1598</v>
      </c>
      <c r="C175" s="200" t="s">
        <v>306</v>
      </c>
      <c r="D175" s="245"/>
      <c r="E175" s="95" t="s">
        <v>53</v>
      </c>
      <c r="F175" s="95" t="s">
        <v>135</v>
      </c>
      <c r="G175" s="95" t="s">
        <v>42</v>
      </c>
      <c r="H175" s="248">
        <v>62</v>
      </c>
      <c r="I175" s="4"/>
      <c r="J175" s="4"/>
      <c r="K175" s="4">
        <v>77</v>
      </c>
      <c r="L175" s="4">
        <v>80</v>
      </c>
      <c r="M175" s="4">
        <v>80</v>
      </c>
      <c r="N175" s="108"/>
      <c r="O175" s="4"/>
      <c r="P175" s="4"/>
      <c r="Q175" s="4"/>
      <c r="R175" s="4"/>
      <c r="S175" s="4"/>
      <c r="T175" s="4"/>
      <c r="U175" s="4"/>
      <c r="V175" s="238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1"/>
      <c r="AL175" s="1"/>
      <c r="AM175" s="1"/>
      <c r="AN175" s="1"/>
      <c r="AO175" s="1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1"/>
      <c r="BE175" s="1">
        <v>80</v>
      </c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4"/>
      <c r="BY175" s="136"/>
      <c r="BZ175" s="136"/>
      <c r="CA175" s="136"/>
      <c r="CB175" s="136"/>
      <c r="CC175" s="136"/>
      <c r="CD175" s="136"/>
      <c r="CE175" s="136"/>
      <c r="CF175" s="136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DA175" s="395">
        <v>60</v>
      </c>
    </row>
    <row r="176" spans="1:105" ht="20.25" customHeight="1" x14ac:dyDescent="0.35">
      <c r="A176" s="95" t="s">
        <v>92</v>
      </c>
      <c r="B176" s="200" t="s">
        <v>1599</v>
      </c>
      <c r="C176" s="200" t="s">
        <v>306</v>
      </c>
      <c r="D176" s="239" t="s">
        <v>494</v>
      </c>
      <c r="E176" s="95" t="s">
        <v>36</v>
      </c>
      <c r="F176" s="95" t="s">
        <v>54</v>
      </c>
      <c r="G176" s="95" t="s">
        <v>42</v>
      </c>
      <c r="H176" s="248">
        <f>H175/25*5</f>
        <v>12.4</v>
      </c>
      <c r="I176" s="240">
        <v>18</v>
      </c>
      <c r="J176" s="4">
        <v>18</v>
      </c>
      <c r="K176" s="4"/>
      <c r="L176" s="4">
        <v>18</v>
      </c>
      <c r="M176" s="4"/>
      <c r="N176" s="240">
        <v>18</v>
      </c>
      <c r="O176" s="4">
        <v>18</v>
      </c>
      <c r="P176" s="240">
        <v>18</v>
      </c>
      <c r="Q176" s="4">
        <v>18</v>
      </c>
      <c r="R176" s="4">
        <v>18</v>
      </c>
      <c r="S176" s="4">
        <v>19</v>
      </c>
      <c r="T176" s="4"/>
      <c r="U176" s="4"/>
      <c r="V176" s="238">
        <v>18</v>
      </c>
      <c r="W176" s="4"/>
      <c r="X176" s="4"/>
      <c r="Y176" s="4"/>
      <c r="Z176" s="4"/>
      <c r="AA176" s="4"/>
      <c r="AB176" s="4"/>
      <c r="AC176" s="4">
        <v>18</v>
      </c>
      <c r="AD176" s="4"/>
      <c r="AE176" s="4"/>
      <c r="AF176" s="4">
        <v>18</v>
      </c>
      <c r="AG176" s="4">
        <v>18</v>
      </c>
      <c r="AH176" s="4"/>
      <c r="AI176" s="4"/>
      <c r="AJ176" s="4"/>
      <c r="AK176" s="1"/>
      <c r="AL176" s="1"/>
      <c r="AM176" s="1"/>
      <c r="AN176" s="1"/>
      <c r="AO176" s="1">
        <v>18</v>
      </c>
      <c r="AP176" s="4">
        <v>18</v>
      </c>
      <c r="AQ176" s="4">
        <v>18</v>
      </c>
      <c r="AR176" s="4">
        <v>18</v>
      </c>
      <c r="AS176" s="4"/>
      <c r="AT176" s="4">
        <v>18</v>
      </c>
      <c r="AU176" s="4">
        <v>18</v>
      </c>
      <c r="AV176" s="4">
        <v>18</v>
      </c>
      <c r="AW176" s="4">
        <v>18</v>
      </c>
      <c r="AX176" s="4">
        <v>18</v>
      </c>
      <c r="AY176" s="4">
        <v>18</v>
      </c>
      <c r="AZ176" s="4">
        <v>18</v>
      </c>
      <c r="BA176" s="4">
        <v>18</v>
      </c>
      <c r="BB176" s="4"/>
      <c r="BC176" s="4">
        <v>18</v>
      </c>
      <c r="BD176" s="1"/>
      <c r="BE176" s="1">
        <v>18</v>
      </c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>
        <v>18</v>
      </c>
      <c r="BV176" s="1"/>
      <c r="BW176" s="1"/>
      <c r="BX176" s="4">
        <f>J176</f>
        <v>18</v>
      </c>
      <c r="BY176" s="136"/>
      <c r="BZ176" s="136">
        <v>18</v>
      </c>
      <c r="CA176" s="136"/>
      <c r="CB176" s="136"/>
      <c r="CC176" s="136"/>
      <c r="CD176" s="136"/>
      <c r="CE176" s="136"/>
      <c r="CF176" s="136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DA176" s="395">
        <f>DA175/25*5</f>
        <v>12</v>
      </c>
    </row>
    <row r="177" spans="1:105" ht="20.25" customHeight="1" x14ac:dyDescent="0.35">
      <c r="A177" s="95"/>
      <c r="B177" s="200" t="s">
        <v>1600</v>
      </c>
      <c r="C177" s="200" t="s">
        <v>306</v>
      </c>
      <c r="D177" s="245"/>
      <c r="E177" s="95" t="s">
        <v>528</v>
      </c>
      <c r="F177" s="95" t="s">
        <v>75</v>
      </c>
      <c r="G177" s="95" t="s">
        <v>42</v>
      </c>
      <c r="H177" s="248">
        <f>H176/5*1</f>
        <v>2.48</v>
      </c>
      <c r="I177" s="4"/>
      <c r="J177" s="4"/>
      <c r="K177" s="4"/>
      <c r="L177" s="4"/>
      <c r="M177" s="4"/>
      <c r="N177" s="108"/>
      <c r="O177" s="4"/>
      <c r="P177" s="4"/>
      <c r="Q177" s="4"/>
      <c r="R177" s="4"/>
      <c r="S177" s="4"/>
      <c r="T177" s="4"/>
      <c r="U177" s="4"/>
      <c r="V177" s="238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>
        <v>4</v>
      </c>
      <c r="AK177" s="1"/>
      <c r="AL177" s="1"/>
      <c r="AM177" s="1"/>
      <c r="AN177" s="1"/>
      <c r="AO177" s="1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4"/>
      <c r="BY177" s="136"/>
      <c r="BZ177" s="136"/>
      <c r="CA177" s="136"/>
      <c r="CB177" s="136"/>
      <c r="CC177" s="136"/>
      <c r="CD177" s="136"/>
      <c r="CE177" s="136"/>
      <c r="CF177" s="136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DA177" s="395">
        <f>DA175/25</f>
        <v>2.4</v>
      </c>
    </row>
    <row r="178" spans="1:105" ht="20.25" customHeight="1" x14ac:dyDescent="0.35">
      <c r="A178" s="95"/>
      <c r="B178" s="200" t="s">
        <v>1601</v>
      </c>
      <c r="C178" s="200" t="s">
        <v>306</v>
      </c>
      <c r="D178" s="245"/>
      <c r="E178" s="95" t="s">
        <v>528</v>
      </c>
      <c r="F178" s="95" t="s">
        <v>1080</v>
      </c>
      <c r="G178" s="95" t="s">
        <v>42</v>
      </c>
      <c r="H178" s="248">
        <f>H177/2</f>
        <v>1.24</v>
      </c>
      <c r="I178" s="4"/>
      <c r="J178" s="4"/>
      <c r="K178" s="4"/>
      <c r="L178" s="4"/>
      <c r="M178" s="4"/>
      <c r="N178" s="108"/>
      <c r="O178" s="4"/>
      <c r="P178" s="4"/>
      <c r="Q178" s="4"/>
      <c r="R178" s="4"/>
      <c r="S178" s="4"/>
      <c r="T178" s="4"/>
      <c r="U178" s="4"/>
      <c r="V178" s="238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1"/>
      <c r="AL178" s="1"/>
      <c r="AM178" s="1"/>
      <c r="AN178" s="1"/>
      <c r="AO178" s="1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>
        <v>1.9</v>
      </c>
      <c r="BP178" s="1"/>
      <c r="BQ178" s="1"/>
      <c r="BR178" s="1"/>
      <c r="BS178" s="1"/>
      <c r="BT178" s="1"/>
      <c r="BU178" s="1"/>
      <c r="BV178" s="1"/>
      <c r="BW178" s="1"/>
      <c r="BX178" s="4"/>
      <c r="BY178" s="136"/>
      <c r="BZ178" s="136"/>
      <c r="CA178" s="136"/>
      <c r="CB178" s="136"/>
      <c r="CC178" s="136"/>
      <c r="CD178" s="136"/>
      <c r="CE178" s="136"/>
      <c r="CF178" s="136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DA178" s="395">
        <f>DA177/2</f>
        <v>1.2</v>
      </c>
    </row>
    <row r="179" spans="1:105" ht="20.25" customHeight="1" x14ac:dyDescent="0.35">
      <c r="A179" s="6">
        <v>4000005593</v>
      </c>
      <c r="B179" s="200" t="s">
        <v>1602</v>
      </c>
      <c r="C179" s="200" t="s">
        <v>307</v>
      </c>
      <c r="D179" s="245"/>
      <c r="E179" s="95" t="s">
        <v>857</v>
      </c>
      <c r="F179" s="95" t="s">
        <v>135</v>
      </c>
      <c r="G179" s="95" t="s">
        <v>42</v>
      </c>
      <c r="H179" s="248">
        <v>32</v>
      </c>
      <c r="I179" s="4"/>
      <c r="J179" s="4"/>
      <c r="K179" s="250">
        <v>46</v>
      </c>
      <c r="L179" s="4">
        <v>0</v>
      </c>
      <c r="M179" s="4"/>
      <c r="N179" s="108"/>
      <c r="O179" s="4"/>
      <c r="P179" s="4"/>
      <c r="Q179" s="4"/>
      <c r="R179" s="4"/>
      <c r="S179" s="4"/>
      <c r="T179" s="4"/>
      <c r="U179" s="4"/>
      <c r="V179" s="238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1"/>
      <c r="AL179" s="1"/>
      <c r="AM179" s="1"/>
      <c r="AN179" s="1"/>
      <c r="AO179" s="1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4"/>
      <c r="BY179" s="136"/>
      <c r="BZ179" s="136"/>
      <c r="CA179" s="136"/>
      <c r="CB179" s="136"/>
      <c r="CC179" s="136"/>
      <c r="CD179" s="136"/>
      <c r="CE179" s="136"/>
      <c r="CF179" s="136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DA179" s="379">
        <v>30</v>
      </c>
    </row>
    <row r="180" spans="1:105" ht="20.25" customHeight="1" x14ac:dyDescent="0.35">
      <c r="A180" s="95" t="s">
        <v>97</v>
      </c>
      <c r="B180" s="200" t="s">
        <v>1603</v>
      </c>
      <c r="C180" s="200" t="s">
        <v>307</v>
      </c>
      <c r="D180" s="239" t="s">
        <v>857</v>
      </c>
      <c r="E180" s="95" t="s">
        <v>36</v>
      </c>
      <c r="F180" s="95" t="s">
        <v>54</v>
      </c>
      <c r="G180" s="95" t="s">
        <v>42</v>
      </c>
      <c r="H180" s="248">
        <f>H179/25*5</f>
        <v>6.4</v>
      </c>
      <c r="I180" s="240">
        <v>11</v>
      </c>
      <c r="J180" s="4">
        <v>10</v>
      </c>
      <c r="K180" s="4"/>
      <c r="L180" s="4"/>
      <c r="M180" s="4"/>
      <c r="N180" s="240">
        <v>10</v>
      </c>
      <c r="O180" s="4">
        <v>10</v>
      </c>
      <c r="P180" s="240">
        <v>10</v>
      </c>
      <c r="Q180" s="4">
        <v>10</v>
      </c>
      <c r="R180" s="246">
        <v>11</v>
      </c>
      <c r="S180" s="4">
        <v>10</v>
      </c>
      <c r="T180" s="4"/>
      <c r="U180" s="4"/>
      <c r="V180" s="238">
        <v>10</v>
      </c>
      <c r="W180" s="4"/>
      <c r="X180" s="4"/>
      <c r="Y180" s="4"/>
      <c r="Z180" s="4"/>
      <c r="AA180" s="4"/>
      <c r="AB180" s="4"/>
      <c r="AC180" s="4">
        <v>10</v>
      </c>
      <c r="AD180" s="4"/>
      <c r="AE180" s="4"/>
      <c r="AF180" s="4"/>
      <c r="AG180" s="4">
        <v>11</v>
      </c>
      <c r="AH180" s="4"/>
      <c r="AI180" s="4"/>
      <c r="AJ180" s="4"/>
      <c r="AK180" s="1"/>
      <c r="AL180" s="1"/>
      <c r="AM180" s="1"/>
      <c r="AN180" s="1"/>
      <c r="AO180" s="1"/>
      <c r="AP180" s="4">
        <v>10</v>
      </c>
      <c r="AQ180" s="4">
        <v>10</v>
      </c>
      <c r="AR180" s="4">
        <v>10</v>
      </c>
      <c r="AS180" s="4"/>
      <c r="AT180" s="4">
        <v>10</v>
      </c>
      <c r="AU180" s="4">
        <v>10</v>
      </c>
      <c r="AV180" s="4">
        <v>10</v>
      </c>
      <c r="AW180" s="4">
        <v>10</v>
      </c>
      <c r="AX180" s="4">
        <v>10</v>
      </c>
      <c r="AY180" s="4">
        <v>10</v>
      </c>
      <c r="AZ180" s="4">
        <v>10</v>
      </c>
      <c r="BA180" s="4">
        <v>10</v>
      </c>
      <c r="BB180" s="4"/>
      <c r="BC180" s="4">
        <v>10</v>
      </c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4"/>
      <c r="BY180" s="136"/>
      <c r="BZ180" s="136">
        <v>11</v>
      </c>
      <c r="CA180" s="136"/>
      <c r="CB180" s="136"/>
      <c r="CC180" s="136"/>
      <c r="CD180" s="136"/>
      <c r="CE180" s="136"/>
      <c r="CF180" s="136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DA180" s="379">
        <f>DA179/25*5</f>
        <v>6</v>
      </c>
    </row>
    <row r="181" spans="1:105" ht="20.25" customHeight="1" x14ac:dyDescent="0.35">
      <c r="A181" s="95"/>
      <c r="B181" s="200" t="s">
        <v>1604</v>
      </c>
      <c r="C181" s="200" t="s">
        <v>307</v>
      </c>
      <c r="D181" s="245"/>
      <c r="E181" s="6" t="s">
        <v>36</v>
      </c>
      <c r="F181" s="95" t="s">
        <v>34</v>
      </c>
      <c r="G181" s="95" t="s">
        <v>42</v>
      </c>
      <c r="H181" s="248">
        <f>H180/5</f>
        <v>1.28</v>
      </c>
      <c r="I181" s="4"/>
      <c r="J181" s="4"/>
      <c r="K181" s="4"/>
      <c r="L181" s="4"/>
      <c r="M181" s="4"/>
      <c r="N181" s="108"/>
      <c r="O181" s="4"/>
      <c r="P181" s="4"/>
      <c r="Q181" s="146">
        <v>2.2999999999999998</v>
      </c>
      <c r="R181" s="4"/>
      <c r="S181" s="4"/>
      <c r="T181" s="4"/>
      <c r="U181" s="4"/>
      <c r="V181" s="238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1"/>
      <c r="AL181" s="1"/>
      <c r="AM181" s="1"/>
      <c r="AN181" s="1"/>
      <c r="AO181" s="1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4"/>
      <c r="BY181" s="136"/>
      <c r="BZ181" s="136"/>
      <c r="CA181" s="136"/>
      <c r="CB181" s="136"/>
      <c r="CC181" s="136"/>
      <c r="CD181" s="136"/>
      <c r="CE181" s="136"/>
      <c r="CF181" s="136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DA181" s="379">
        <f>DA179/25</f>
        <v>1.2</v>
      </c>
    </row>
    <row r="182" spans="1:105" ht="20.25" customHeight="1" x14ac:dyDescent="0.35">
      <c r="A182" s="95"/>
      <c r="B182" s="200" t="s">
        <v>1605</v>
      </c>
      <c r="C182" s="200" t="s">
        <v>307</v>
      </c>
      <c r="D182" s="245"/>
      <c r="E182" s="6" t="s">
        <v>36</v>
      </c>
      <c r="F182" s="95" t="s">
        <v>1079</v>
      </c>
      <c r="G182" s="95" t="s">
        <v>42</v>
      </c>
      <c r="H182" s="248">
        <f>H181/2</f>
        <v>0.64</v>
      </c>
      <c r="I182" s="4"/>
      <c r="J182" s="4"/>
      <c r="K182" s="4"/>
      <c r="L182" s="4"/>
      <c r="M182" s="4"/>
      <c r="N182" s="108"/>
      <c r="O182" s="4"/>
      <c r="P182" s="4"/>
      <c r="Q182" s="146"/>
      <c r="R182" s="4"/>
      <c r="S182" s="4"/>
      <c r="T182" s="4"/>
      <c r="U182" s="4"/>
      <c r="V182" s="238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1"/>
      <c r="AL182" s="1"/>
      <c r="AM182" s="1"/>
      <c r="AN182" s="1"/>
      <c r="AO182" s="1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>
        <v>1.2</v>
      </c>
      <c r="BP182" s="1"/>
      <c r="BQ182" s="1"/>
      <c r="BR182" s="1"/>
      <c r="BS182" s="1"/>
      <c r="BT182" s="1"/>
      <c r="BU182" s="1"/>
      <c r="BV182" s="1"/>
      <c r="BW182" s="1"/>
      <c r="BX182" s="4"/>
      <c r="BY182" s="136"/>
      <c r="BZ182" s="136"/>
      <c r="CA182" s="136"/>
      <c r="CB182" s="136"/>
      <c r="CC182" s="136"/>
      <c r="CD182" s="136"/>
      <c r="CE182" s="136"/>
      <c r="CF182" s="136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DA182" s="379">
        <f>DA181/2</f>
        <v>0.6</v>
      </c>
    </row>
    <row r="183" spans="1:105" ht="20.25" customHeight="1" x14ac:dyDescent="0.35">
      <c r="A183" s="95"/>
      <c r="B183" s="200" t="s">
        <v>1606</v>
      </c>
      <c r="C183" s="200" t="s">
        <v>308</v>
      </c>
      <c r="D183" s="239" t="s">
        <v>1101</v>
      </c>
      <c r="E183" s="95" t="s">
        <v>36</v>
      </c>
      <c r="F183" s="95" t="s">
        <v>73</v>
      </c>
      <c r="G183" s="95" t="s">
        <v>51</v>
      </c>
      <c r="H183" s="248">
        <v>6.5</v>
      </c>
      <c r="I183" s="240">
        <v>8.5</v>
      </c>
      <c r="J183" s="250">
        <v>9.5</v>
      </c>
      <c r="K183" s="4"/>
      <c r="L183" s="4">
        <v>10.5</v>
      </c>
      <c r="M183" s="4"/>
      <c r="N183" s="240">
        <v>10.5</v>
      </c>
      <c r="O183" s="4">
        <v>10.5</v>
      </c>
      <c r="P183" s="4">
        <v>10.5</v>
      </c>
      <c r="Q183" s="4">
        <v>10.5</v>
      </c>
      <c r="R183" s="4">
        <v>10.5</v>
      </c>
      <c r="S183" s="4">
        <v>11</v>
      </c>
      <c r="T183" s="4"/>
      <c r="U183" s="4"/>
      <c r="V183" s="238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>
        <v>10.5</v>
      </c>
      <c r="AH183" s="4"/>
      <c r="AI183" s="4"/>
      <c r="AJ183" s="4"/>
      <c r="AK183" s="1"/>
      <c r="AL183" s="1"/>
      <c r="AM183" s="1"/>
      <c r="AN183" s="1"/>
      <c r="AO183" s="250">
        <v>9.5</v>
      </c>
      <c r="AP183" s="250">
        <v>9.5</v>
      </c>
      <c r="AQ183" s="250">
        <v>9.5</v>
      </c>
      <c r="AR183" s="250">
        <v>9.5</v>
      </c>
      <c r="AS183" s="4"/>
      <c r="AT183" s="250">
        <v>9.5</v>
      </c>
      <c r="AU183" s="250">
        <v>9.5</v>
      </c>
      <c r="AV183" s="250">
        <v>9.5</v>
      </c>
      <c r="AW183" s="250">
        <v>9.5</v>
      </c>
      <c r="AX183" s="250">
        <v>9.5</v>
      </c>
      <c r="AY183" s="250">
        <v>9.5</v>
      </c>
      <c r="AZ183" s="250">
        <v>9.5</v>
      </c>
      <c r="BA183" s="250">
        <v>9.5</v>
      </c>
      <c r="BB183" s="4"/>
      <c r="BC183" s="250">
        <v>9.5</v>
      </c>
      <c r="BD183" s="1"/>
      <c r="BE183" s="1"/>
      <c r="BF183" s="1"/>
      <c r="BG183" s="1"/>
      <c r="BH183" s="1"/>
      <c r="BI183" s="1"/>
      <c r="BJ183" s="1"/>
      <c r="BK183" s="1">
        <v>11</v>
      </c>
      <c r="BL183" s="1"/>
      <c r="BM183" s="1"/>
      <c r="BN183" s="1"/>
      <c r="BO183" s="1">
        <v>8.5</v>
      </c>
      <c r="BP183" s="1"/>
      <c r="BQ183" s="1"/>
      <c r="BR183" s="1"/>
      <c r="BS183" s="1"/>
      <c r="BT183" s="1"/>
      <c r="BU183" s="1"/>
      <c r="BV183" s="1"/>
      <c r="BW183" s="1"/>
      <c r="BX183" s="250">
        <v>9.5</v>
      </c>
      <c r="BY183" s="136"/>
      <c r="BZ183" s="136">
        <v>10.5</v>
      </c>
      <c r="CA183" s="136"/>
      <c r="CB183" s="136"/>
      <c r="CC183" s="136"/>
      <c r="CD183" s="136"/>
      <c r="CE183" s="136"/>
      <c r="CF183" s="136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DA183" s="395">
        <f>45/60*10</f>
        <v>7.5</v>
      </c>
    </row>
    <row r="184" spans="1:105" ht="20.25" customHeight="1" x14ac:dyDescent="0.35">
      <c r="A184" s="95"/>
      <c r="B184" s="200" t="s">
        <v>1607</v>
      </c>
      <c r="C184" s="200" t="s">
        <v>309</v>
      </c>
      <c r="D184" s="239" t="s">
        <v>536</v>
      </c>
      <c r="E184" s="95" t="s">
        <v>36</v>
      </c>
      <c r="F184" s="95" t="s">
        <v>689</v>
      </c>
      <c r="G184" s="95" t="s">
        <v>42</v>
      </c>
      <c r="H184" s="248">
        <v>24</v>
      </c>
      <c r="I184" s="240"/>
      <c r="J184" s="4"/>
      <c r="K184" s="4"/>
      <c r="L184" s="4"/>
      <c r="M184" s="4"/>
      <c r="N184" s="108"/>
      <c r="O184" s="4"/>
      <c r="P184" s="4"/>
      <c r="Q184" s="4"/>
      <c r="R184" s="4"/>
      <c r="S184" s="4"/>
      <c r="T184" s="4"/>
      <c r="U184" s="4"/>
      <c r="V184" s="238"/>
      <c r="W184" s="4"/>
      <c r="X184" s="4"/>
      <c r="Y184" s="4"/>
      <c r="Z184" s="4"/>
      <c r="AA184" s="4"/>
      <c r="AB184" s="4"/>
      <c r="AC184" s="4">
        <v>43</v>
      </c>
      <c r="AD184" s="4"/>
      <c r="AE184" s="4"/>
      <c r="AF184" s="4"/>
      <c r="AG184" s="4"/>
      <c r="AH184" s="4"/>
      <c r="AI184" s="4"/>
      <c r="AJ184" s="4"/>
      <c r="AK184" s="1"/>
      <c r="AL184" s="1"/>
      <c r="AM184" s="1"/>
      <c r="AN184" s="1"/>
      <c r="AO184" s="1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4"/>
      <c r="BY184" s="136"/>
      <c r="BZ184" s="136"/>
      <c r="CA184" s="136"/>
      <c r="CB184" s="136"/>
      <c r="CC184" s="136"/>
      <c r="CD184" s="136"/>
      <c r="CE184" s="136"/>
      <c r="CF184" s="136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DA184" s="412">
        <v>34</v>
      </c>
    </row>
    <row r="185" spans="1:105" ht="20.25" customHeight="1" x14ac:dyDescent="0.35">
      <c r="A185" s="95" t="s">
        <v>63</v>
      </c>
      <c r="B185" s="200" t="s">
        <v>1608</v>
      </c>
      <c r="C185" s="200" t="s">
        <v>309</v>
      </c>
      <c r="D185" s="239" t="s">
        <v>536</v>
      </c>
      <c r="E185" s="95" t="s">
        <v>36</v>
      </c>
      <c r="F185" s="95" t="s">
        <v>54</v>
      </c>
      <c r="G185" s="95" t="s">
        <v>42</v>
      </c>
      <c r="H185" s="248">
        <f>H184/25*5</f>
        <v>4.8</v>
      </c>
      <c r="I185" s="240">
        <v>8.5</v>
      </c>
      <c r="J185" s="4">
        <v>10</v>
      </c>
      <c r="K185" s="4"/>
      <c r="L185" s="4">
        <v>8.5</v>
      </c>
      <c r="M185" s="4"/>
      <c r="N185" s="240">
        <v>10</v>
      </c>
      <c r="O185" s="4">
        <v>10</v>
      </c>
      <c r="P185" s="240">
        <v>10</v>
      </c>
      <c r="Q185" s="4">
        <v>10</v>
      </c>
      <c r="R185" s="4">
        <v>10</v>
      </c>
      <c r="S185" s="4">
        <v>10.5</v>
      </c>
      <c r="T185" s="4"/>
      <c r="U185" s="4"/>
      <c r="V185" s="238">
        <v>9</v>
      </c>
      <c r="W185" s="4"/>
      <c r="X185" s="4"/>
      <c r="Y185" s="4"/>
      <c r="Z185" s="4"/>
      <c r="AA185" s="4"/>
      <c r="AB185" s="4"/>
      <c r="AC185" s="4">
        <v>9</v>
      </c>
      <c r="AD185" s="4"/>
      <c r="AE185" s="4"/>
      <c r="AF185" s="4">
        <v>10.5</v>
      </c>
      <c r="AG185" s="4"/>
      <c r="AH185" s="4"/>
      <c r="AI185" s="4">
        <v>10</v>
      </c>
      <c r="AJ185" s="4"/>
      <c r="AK185" s="1">
        <v>10</v>
      </c>
      <c r="AL185" s="1">
        <v>10</v>
      </c>
      <c r="AM185" s="1">
        <v>8.5</v>
      </c>
      <c r="AN185" s="1"/>
      <c r="AO185" s="4">
        <v>10</v>
      </c>
      <c r="AP185" s="4">
        <v>10</v>
      </c>
      <c r="AQ185" s="4">
        <v>10</v>
      </c>
      <c r="AR185" s="4">
        <v>10</v>
      </c>
      <c r="AS185" s="4"/>
      <c r="AT185" s="4">
        <v>10</v>
      </c>
      <c r="AU185" s="4">
        <v>10</v>
      </c>
      <c r="AV185" s="4">
        <v>10</v>
      </c>
      <c r="AW185" s="4">
        <v>10</v>
      </c>
      <c r="AX185" s="4">
        <v>10</v>
      </c>
      <c r="AY185" s="4">
        <v>10</v>
      </c>
      <c r="AZ185" s="4">
        <v>10</v>
      </c>
      <c r="BA185" s="4">
        <v>10</v>
      </c>
      <c r="BB185" s="4"/>
      <c r="BC185" s="4">
        <v>10</v>
      </c>
      <c r="BD185" s="1"/>
      <c r="BE185" s="1"/>
      <c r="BF185" s="1"/>
      <c r="BG185" s="1"/>
      <c r="BH185" s="1"/>
      <c r="BI185" s="1">
        <v>8.5</v>
      </c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>
        <v>8.5</v>
      </c>
      <c r="BV185" s="1"/>
      <c r="BW185" s="1"/>
      <c r="BX185" s="4">
        <v>10</v>
      </c>
      <c r="BY185" s="136"/>
      <c r="BZ185" s="136">
        <v>8.5</v>
      </c>
      <c r="CA185" s="136"/>
      <c r="CB185" s="136"/>
      <c r="CC185" s="136"/>
      <c r="CD185" s="136"/>
      <c r="CE185" s="136"/>
      <c r="CF185" s="136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DA185" s="395">
        <f>DA184/25*5</f>
        <v>6.8000000000000007</v>
      </c>
    </row>
    <row r="186" spans="1:105" ht="20.25" customHeight="1" x14ac:dyDescent="0.35">
      <c r="A186" s="95"/>
      <c r="B186" s="200" t="s">
        <v>1609</v>
      </c>
      <c r="C186" s="200" t="s">
        <v>309</v>
      </c>
      <c r="D186" s="245"/>
      <c r="E186" s="6" t="s">
        <v>536</v>
      </c>
      <c r="F186" s="95" t="s">
        <v>34</v>
      </c>
      <c r="G186" s="95" t="s">
        <v>42</v>
      </c>
      <c r="H186" s="248">
        <f>H185/5</f>
        <v>0.96</v>
      </c>
      <c r="I186" s="4"/>
      <c r="J186" s="4"/>
      <c r="K186" s="4"/>
      <c r="L186" s="4"/>
      <c r="M186" s="4"/>
      <c r="N186" s="108"/>
      <c r="O186" s="4"/>
      <c r="P186" s="4"/>
      <c r="Q186" s="4"/>
      <c r="R186" s="4"/>
      <c r="S186" s="4"/>
      <c r="T186" s="4"/>
      <c r="U186" s="4"/>
      <c r="V186" s="238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136">
        <v>2.1</v>
      </c>
      <c r="AK186" s="1"/>
      <c r="AL186" s="1"/>
      <c r="AM186" s="1">
        <f>AM185/5+0.5</f>
        <v>2.2000000000000002</v>
      </c>
      <c r="AN186" s="1"/>
      <c r="AO186" s="1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4"/>
      <c r="BY186" s="136"/>
      <c r="BZ186" s="136"/>
      <c r="CA186" s="136"/>
      <c r="CB186" s="136"/>
      <c r="CC186" s="136"/>
      <c r="CD186" s="136"/>
      <c r="CE186" s="136"/>
      <c r="CF186" s="136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DA186" s="395">
        <f>DA184/25</f>
        <v>1.36</v>
      </c>
    </row>
    <row r="187" spans="1:105" ht="20.25" customHeight="1" x14ac:dyDescent="0.35">
      <c r="A187" s="95"/>
      <c r="B187" s="200" t="s">
        <v>1610</v>
      </c>
      <c r="C187" s="200" t="s">
        <v>310</v>
      </c>
      <c r="D187" s="239" t="s">
        <v>1232</v>
      </c>
      <c r="E187" s="95" t="s">
        <v>36</v>
      </c>
      <c r="F187" s="95" t="s">
        <v>1884</v>
      </c>
      <c r="G187" s="95" t="s">
        <v>42</v>
      </c>
      <c r="H187" s="248">
        <v>49</v>
      </c>
      <c r="I187" s="4"/>
      <c r="J187" s="4"/>
      <c r="K187" s="4"/>
      <c r="L187" s="4"/>
      <c r="M187" s="4"/>
      <c r="N187" s="108"/>
      <c r="O187" s="4"/>
      <c r="P187" s="4"/>
      <c r="Q187" s="4"/>
      <c r="R187" s="4"/>
      <c r="S187" s="4"/>
      <c r="T187" s="4"/>
      <c r="U187" s="4"/>
      <c r="V187" s="238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1"/>
      <c r="AL187" s="1"/>
      <c r="AM187" s="1"/>
      <c r="AN187" s="1"/>
      <c r="AO187" s="1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4"/>
      <c r="BY187" s="136"/>
      <c r="BZ187" s="136"/>
      <c r="CA187" s="136"/>
      <c r="CB187" s="136"/>
      <c r="CC187" s="136"/>
      <c r="CD187" s="136"/>
      <c r="CE187" s="136"/>
      <c r="CF187" s="136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DA187" s="412">
        <v>52</v>
      </c>
    </row>
    <row r="188" spans="1:105" ht="20.25" customHeight="1" x14ac:dyDescent="0.35">
      <c r="A188" s="95" t="s">
        <v>119</v>
      </c>
      <c r="B188" s="200" t="s">
        <v>1611</v>
      </c>
      <c r="C188" s="200" t="s">
        <v>310</v>
      </c>
      <c r="D188" s="239" t="s">
        <v>1232</v>
      </c>
      <c r="E188" s="95" t="s">
        <v>36</v>
      </c>
      <c r="F188" s="95" t="s">
        <v>54</v>
      </c>
      <c r="G188" s="95" t="s">
        <v>42</v>
      </c>
      <c r="H188" s="248">
        <f>H187/30*5</f>
        <v>8.1666666666666661</v>
      </c>
      <c r="I188" s="240">
        <v>11</v>
      </c>
      <c r="J188" s="4">
        <v>11</v>
      </c>
      <c r="K188" s="4"/>
      <c r="L188" s="4">
        <v>11</v>
      </c>
      <c r="M188" s="4"/>
      <c r="N188" s="240">
        <v>11</v>
      </c>
      <c r="O188" s="4">
        <v>10</v>
      </c>
      <c r="P188" s="240">
        <v>11</v>
      </c>
      <c r="Q188" s="4">
        <v>10.5</v>
      </c>
      <c r="R188" s="4">
        <v>10.5</v>
      </c>
      <c r="S188" s="4">
        <v>11</v>
      </c>
      <c r="T188" s="4"/>
      <c r="U188" s="4"/>
      <c r="V188" s="238">
        <v>10.5</v>
      </c>
      <c r="W188" s="4"/>
      <c r="X188" s="4"/>
      <c r="Y188" s="4"/>
      <c r="Z188" s="4"/>
      <c r="AA188" s="4"/>
      <c r="AB188" s="4">
        <v>11</v>
      </c>
      <c r="AC188" s="313">
        <v>10.5</v>
      </c>
      <c r="AD188" s="4"/>
      <c r="AE188" s="4"/>
      <c r="AF188" s="4"/>
      <c r="AG188" s="4">
        <v>10.5</v>
      </c>
      <c r="AH188" s="4"/>
      <c r="AI188" s="4"/>
      <c r="AJ188" s="4"/>
      <c r="AK188" s="1"/>
      <c r="AL188" s="1"/>
      <c r="AM188" s="1">
        <v>11</v>
      </c>
      <c r="AN188" s="1"/>
      <c r="AO188" s="1"/>
      <c r="AP188" s="4">
        <v>11</v>
      </c>
      <c r="AQ188" s="4">
        <v>11</v>
      </c>
      <c r="AR188" s="4">
        <v>11</v>
      </c>
      <c r="AS188" s="4"/>
      <c r="AT188" s="4">
        <v>11</v>
      </c>
      <c r="AU188" s="4">
        <v>11</v>
      </c>
      <c r="AV188" s="4">
        <v>11</v>
      </c>
      <c r="AW188" s="4">
        <v>11</v>
      </c>
      <c r="AX188" s="4">
        <v>11</v>
      </c>
      <c r="AY188" s="4">
        <v>11</v>
      </c>
      <c r="AZ188" s="4">
        <v>11</v>
      </c>
      <c r="BA188" s="4">
        <v>11</v>
      </c>
      <c r="BB188" s="4"/>
      <c r="BC188" s="4">
        <v>11</v>
      </c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>
        <v>10.5</v>
      </c>
      <c r="BV188" s="1"/>
      <c r="BW188" s="1"/>
      <c r="BX188" s="4"/>
      <c r="BY188" s="136"/>
      <c r="BZ188" s="136">
        <v>11</v>
      </c>
      <c r="CA188" s="136"/>
      <c r="CB188" s="136"/>
      <c r="CC188" s="136"/>
      <c r="CD188" s="136"/>
      <c r="CE188" s="136"/>
      <c r="CF188" s="136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DA188" s="395">
        <f>DA187/30*5</f>
        <v>8.6666666666666679</v>
      </c>
    </row>
    <row r="189" spans="1:105" ht="20.25" customHeight="1" x14ac:dyDescent="0.35">
      <c r="A189" s="95"/>
      <c r="B189" s="200" t="s">
        <v>1612</v>
      </c>
      <c r="C189" s="200" t="s">
        <v>310</v>
      </c>
      <c r="D189" s="245"/>
      <c r="E189" s="6" t="s">
        <v>36</v>
      </c>
      <c r="F189" s="95" t="s">
        <v>34</v>
      </c>
      <c r="G189" s="95" t="s">
        <v>42</v>
      </c>
      <c r="H189" s="248">
        <f>H188/5</f>
        <v>1.6333333333333333</v>
      </c>
      <c r="I189" s="4"/>
      <c r="J189" s="4"/>
      <c r="K189" s="4"/>
      <c r="L189" s="4"/>
      <c r="M189" s="4"/>
      <c r="N189" s="108"/>
      <c r="O189" s="4"/>
      <c r="P189" s="4"/>
      <c r="Q189" s="4"/>
      <c r="R189" s="4"/>
      <c r="S189" s="4"/>
      <c r="T189" s="4"/>
      <c r="U189" s="4"/>
      <c r="V189" s="238"/>
      <c r="W189" s="4"/>
      <c r="X189" s="4"/>
      <c r="Y189" s="4"/>
      <c r="Z189" s="4"/>
      <c r="AA189" s="4"/>
      <c r="AB189" s="4"/>
      <c r="AC189" s="4"/>
      <c r="AD189" s="4"/>
      <c r="AE189" s="4"/>
      <c r="AF189" s="4">
        <v>10.5</v>
      </c>
      <c r="AG189" s="4"/>
      <c r="AH189" s="4"/>
      <c r="AI189" s="4"/>
      <c r="AJ189" s="4"/>
      <c r="AK189" s="1"/>
      <c r="AL189" s="1"/>
      <c r="AM189" s="1">
        <v>2.2999999999999998</v>
      </c>
      <c r="AN189" s="1"/>
      <c r="AO189" s="1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4"/>
      <c r="BY189" s="136"/>
      <c r="BZ189" s="136"/>
      <c r="CA189" s="136"/>
      <c r="CB189" s="136"/>
      <c r="CC189" s="136"/>
      <c r="CD189" s="136"/>
      <c r="CE189" s="136"/>
      <c r="CF189" s="136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DA189" s="395">
        <f>DA187/30</f>
        <v>1.7333333333333334</v>
      </c>
    </row>
    <row r="190" spans="1:105" ht="20.25" customHeight="1" x14ac:dyDescent="0.35">
      <c r="A190" s="95"/>
      <c r="B190" s="200" t="s">
        <v>1613</v>
      </c>
      <c r="C190" s="200" t="s">
        <v>310</v>
      </c>
      <c r="D190" s="245"/>
      <c r="E190" s="6" t="s">
        <v>36</v>
      </c>
      <c r="F190" s="95" t="s">
        <v>1154</v>
      </c>
      <c r="G190" s="95" t="s">
        <v>42</v>
      </c>
      <c r="H190" s="248">
        <f>H189*2.5</f>
        <v>4.083333333333333</v>
      </c>
      <c r="I190" s="4"/>
      <c r="J190" s="4"/>
      <c r="K190" s="4"/>
      <c r="L190" s="4"/>
      <c r="M190" s="4"/>
      <c r="N190" s="108"/>
      <c r="O190" s="4"/>
      <c r="P190" s="4"/>
      <c r="Q190" s="4"/>
      <c r="R190" s="4"/>
      <c r="S190" s="4"/>
      <c r="T190" s="4"/>
      <c r="U190" s="4"/>
      <c r="V190" s="238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1"/>
      <c r="AL190" s="1"/>
      <c r="AM190" s="1"/>
      <c r="AN190" s="1"/>
      <c r="AO190" s="1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4"/>
      <c r="BY190" s="136"/>
      <c r="BZ190" s="136"/>
      <c r="CA190" s="136"/>
      <c r="CB190" s="136"/>
      <c r="CC190" s="136"/>
      <c r="CD190" s="136"/>
      <c r="CE190" s="136"/>
      <c r="CF190" s="136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DA190" s="395">
        <f>DA189*2.5</f>
        <v>4.3333333333333339</v>
      </c>
    </row>
    <row r="191" spans="1:105" ht="20.25" customHeight="1" x14ac:dyDescent="0.35">
      <c r="A191" s="95"/>
      <c r="B191" s="200" t="s">
        <v>1614</v>
      </c>
      <c r="C191" s="200" t="s">
        <v>311</v>
      </c>
      <c r="D191" s="239" t="s">
        <v>1232</v>
      </c>
      <c r="E191" s="95" t="s">
        <v>36</v>
      </c>
      <c r="F191" s="95" t="s">
        <v>1884</v>
      </c>
      <c r="G191" s="95" t="s">
        <v>42</v>
      </c>
      <c r="H191" s="248">
        <v>42</v>
      </c>
      <c r="I191" s="4"/>
      <c r="J191" s="4"/>
      <c r="K191" s="4"/>
      <c r="L191" s="4"/>
      <c r="M191" s="4"/>
      <c r="N191" s="108"/>
      <c r="O191" s="4"/>
      <c r="P191" s="4"/>
      <c r="Q191" s="4"/>
      <c r="R191" s="4"/>
      <c r="S191" s="4"/>
      <c r="T191" s="4"/>
      <c r="U191" s="4"/>
      <c r="V191" s="238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1"/>
      <c r="AL191" s="1"/>
      <c r="AM191" s="1"/>
      <c r="AN191" s="1"/>
      <c r="AO191" s="1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4"/>
      <c r="BY191" s="136"/>
      <c r="BZ191" s="136"/>
      <c r="CA191" s="136"/>
      <c r="CB191" s="136"/>
      <c r="CC191" s="136"/>
      <c r="CD191" s="136"/>
      <c r="CE191" s="136"/>
      <c r="CF191" s="136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DA191" s="395">
        <f>1.6*20</f>
        <v>32</v>
      </c>
    </row>
    <row r="192" spans="1:105" ht="20.25" customHeight="1" x14ac:dyDescent="0.35">
      <c r="A192" s="95" t="s">
        <v>114</v>
      </c>
      <c r="B192" s="200" t="s">
        <v>1615</v>
      </c>
      <c r="C192" s="200" t="s">
        <v>311</v>
      </c>
      <c r="D192" s="239" t="s">
        <v>1232</v>
      </c>
      <c r="E192" s="95" t="s">
        <v>36</v>
      </c>
      <c r="F192" s="95" t="s">
        <v>54</v>
      </c>
      <c r="G192" s="95" t="s">
        <v>42</v>
      </c>
      <c r="H192" s="248">
        <f>H191/30*5</f>
        <v>7</v>
      </c>
      <c r="I192" s="240">
        <v>10</v>
      </c>
      <c r="J192" s="4">
        <v>10</v>
      </c>
      <c r="K192" s="4"/>
      <c r="L192" s="4">
        <v>10.8</v>
      </c>
      <c r="M192" s="4"/>
      <c r="N192" s="240">
        <v>10.5</v>
      </c>
      <c r="O192" s="4">
        <v>10.5</v>
      </c>
      <c r="P192" s="240">
        <v>10.5</v>
      </c>
      <c r="Q192" s="4">
        <v>10.5</v>
      </c>
      <c r="R192" s="4">
        <v>10.5</v>
      </c>
      <c r="S192" s="4">
        <v>11</v>
      </c>
      <c r="T192" s="4"/>
      <c r="U192" s="4"/>
      <c r="V192" s="238">
        <v>10.5</v>
      </c>
      <c r="W192" s="4"/>
      <c r="X192" s="4"/>
      <c r="Y192" s="4"/>
      <c r="Z192" s="4"/>
      <c r="AA192" s="4"/>
      <c r="AB192" s="4"/>
      <c r="AC192" s="67">
        <v>10.5</v>
      </c>
      <c r="AD192" s="4"/>
      <c r="AE192" s="4"/>
      <c r="AF192" s="4">
        <v>10.5</v>
      </c>
      <c r="AG192" s="4">
        <v>10.5</v>
      </c>
      <c r="AH192" s="4"/>
      <c r="AI192" s="4"/>
      <c r="AJ192" s="4"/>
      <c r="AK192" s="1"/>
      <c r="AL192" s="1"/>
      <c r="AM192" s="1">
        <v>10.5</v>
      </c>
      <c r="AN192" s="1"/>
      <c r="AO192" s="1">
        <v>10</v>
      </c>
      <c r="AP192" s="4">
        <v>10</v>
      </c>
      <c r="AQ192" s="4">
        <v>10</v>
      </c>
      <c r="AR192" s="4">
        <v>10</v>
      </c>
      <c r="AS192" s="4"/>
      <c r="AT192" s="4">
        <v>10</v>
      </c>
      <c r="AU192" s="4">
        <v>10</v>
      </c>
      <c r="AV192" s="4">
        <v>10</v>
      </c>
      <c r="AW192" s="4">
        <v>10</v>
      </c>
      <c r="AX192" s="4">
        <v>10</v>
      </c>
      <c r="AY192" s="4">
        <v>10</v>
      </c>
      <c r="AZ192" s="4">
        <v>10</v>
      </c>
      <c r="BA192" s="4">
        <v>10</v>
      </c>
      <c r="BB192" s="4"/>
      <c r="BC192" s="4">
        <v>10</v>
      </c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>
        <v>10.8</v>
      </c>
      <c r="BV192" s="1"/>
      <c r="BW192" s="1"/>
      <c r="BX192" s="4">
        <f>J192</f>
        <v>10</v>
      </c>
      <c r="BY192" s="136"/>
      <c r="BZ192" s="136">
        <v>10.5</v>
      </c>
      <c r="CA192" s="136"/>
      <c r="CB192" s="136"/>
      <c r="CC192" s="136"/>
      <c r="CD192" s="136"/>
      <c r="CE192" s="136"/>
      <c r="CF192" s="136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DA192" s="395">
        <f>1.6*5</f>
        <v>8</v>
      </c>
    </row>
    <row r="193" spans="1:105" ht="20.25" customHeight="1" x14ac:dyDescent="0.35">
      <c r="A193" s="95"/>
      <c r="B193" s="200" t="s">
        <v>1616</v>
      </c>
      <c r="C193" s="200" t="s">
        <v>311</v>
      </c>
      <c r="D193" s="245"/>
      <c r="E193" s="6" t="s">
        <v>36</v>
      </c>
      <c r="F193" s="95" t="s">
        <v>34</v>
      </c>
      <c r="G193" s="95" t="s">
        <v>42</v>
      </c>
      <c r="H193" s="248">
        <f>H192/5</f>
        <v>1.4</v>
      </c>
      <c r="I193" s="4">
        <f>I192/5+0.2</f>
        <v>2.2000000000000002</v>
      </c>
      <c r="J193" s="4"/>
      <c r="K193" s="4"/>
      <c r="L193" s="4"/>
      <c r="M193" s="4"/>
      <c r="N193" s="108"/>
      <c r="O193" s="4"/>
      <c r="P193" s="4"/>
      <c r="Q193" s="4">
        <v>2.2000000000000002</v>
      </c>
      <c r="R193" s="4"/>
      <c r="S193" s="4"/>
      <c r="T193" s="4"/>
      <c r="U193" s="4"/>
      <c r="V193" s="238"/>
      <c r="W193" s="4"/>
      <c r="X193" s="4"/>
      <c r="Y193" s="4"/>
      <c r="Z193" s="4"/>
      <c r="AA193" s="4"/>
      <c r="AB193" s="4"/>
      <c r="AC193" s="4"/>
      <c r="AD193" s="4"/>
      <c r="AE193" s="4"/>
      <c r="AF193" s="4">
        <v>2.2000000000000002</v>
      </c>
      <c r="AG193" s="4"/>
      <c r="AH193" s="4"/>
      <c r="AI193" s="4"/>
      <c r="AJ193" s="4">
        <v>2.2000000000000002</v>
      </c>
      <c r="AK193" s="1"/>
      <c r="AL193" s="1"/>
      <c r="AM193" s="1">
        <v>2.2000000000000002</v>
      </c>
      <c r="AN193" s="1"/>
      <c r="AO193" s="1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4"/>
      <c r="BY193" s="136">
        <v>2.1</v>
      </c>
      <c r="BZ193" s="136"/>
      <c r="CA193" s="136"/>
      <c r="CB193" s="136"/>
      <c r="CC193" s="136"/>
      <c r="CD193" s="136"/>
      <c r="CE193" s="136"/>
      <c r="CF193" s="136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DA193" s="395">
        <v>1.6</v>
      </c>
    </row>
    <row r="194" spans="1:105" ht="20.25" customHeight="1" x14ac:dyDescent="0.35">
      <c r="A194" s="95"/>
      <c r="B194" s="200" t="s">
        <v>1617</v>
      </c>
      <c r="C194" s="200" t="s">
        <v>312</v>
      </c>
      <c r="D194" s="239" t="s">
        <v>1232</v>
      </c>
      <c r="E194" s="95" t="s">
        <v>1871</v>
      </c>
      <c r="F194" s="95" t="s">
        <v>1264</v>
      </c>
      <c r="G194" s="95" t="s">
        <v>35</v>
      </c>
      <c r="H194" s="304">
        <f>8.3*15</f>
        <v>124.50000000000001</v>
      </c>
      <c r="I194" s="240"/>
      <c r="J194" s="4"/>
      <c r="K194" s="4"/>
      <c r="L194" s="4"/>
      <c r="M194" s="4"/>
      <c r="N194" s="108"/>
      <c r="O194" s="4"/>
      <c r="P194" s="4"/>
      <c r="Q194" s="4"/>
      <c r="R194" s="4"/>
      <c r="S194" s="67"/>
      <c r="T194" s="4"/>
      <c r="U194" s="4"/>
      <c r="V194" s="238"/>
      <c r="W194" s="4"/>
      <c r="X194" s="4"/>
      <c r="Y194" s="4"/>
      <c r="Z194" s="4"/>
      <c r="AA194" s="4"/>
      <c r="AB194" s="4"/>
      <c r="AC194" s="4">
        <v>160</v>
      </c>
      <c r="AD194" s="4"/>
      <c r="AE194" s="4"/>
      <c r="AF194" s="4"/>
      <c r="AG194" s="4"/>
      <c r="AH194" s="4"/>
      <c r="AI194" s="4"/>
      <c r="AJ194" s="4"/>
      <c r="AK194" s="1"/>
      <c r="AL194" s="1"/>
      <c r="AM194" s="1"/>
      <c r="AN194" s="1"/>
      <c r="AO194" s="1"/>
      <c r="AP194" s="4"/>
      <c r="AQ194" s="180"/>
      <c r="AR194" s="67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4"/>
      <c r="BY194" s="136"/>
      <c r="BZ194" s="136"/>
      <c r="CA194" s="136"/>
      <c r="CB194" s="136"/>
      <c r="CC194" s="136"/>
      <c r="CD194" s="136"/>
      <c r="CE194" s="136"/>
      <c r="CF194" s="136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DA194" s="379">
        <f>8.5*15</f>
        <v>127.5</v>
      </c>
    </row>
    <row r="195" spans="1:105" ht="20.25" customHeight="1" x14ac:dyDescent="0.35">
      <c r="A195" s="95" t="s">
        <v>82</v>
      </c>
      <c r="B195" s="200" t="s">
        <v>1618</v>
      </c>
      <c r="C195" s="200" t="s">
        <v>312</v>
      </c>
      <c r="D195" s="239" t="s">
        <v>1232</v>
      </c>
      <c r="E195" s="95" t="s">
        <v>256</v>
      </c>
      <c r="F195" s="95" t="s">
        <v>34</v>
      </c>
      <c r="G195" s="95" t="s">
        <v>42</v>
      </c>
      <c r="H195" s="304">
        <v>8.3000000000000007</v>
      </c>
      <c r="I195" s="240">
        <v>12</v>
      </c>
      <c r="J195" s="4">
        <v>12</v>
      </c>
      <c r="K195" s="4"/>
      <c r="L195" s="4">
        <v>12</v>
      </c>
      <c r="M195" s="4"/>
      <c r="N195" s="240">
        <v>12</v>
      </c>
      <c r="O195" s="4">
        <v>12</v>
      </c>
      <c r="P195" s="240">
        <v>12</v>
      </c>
      <c r="Q195" s="4">
        <v>12</v>
      </c>
      <c r="R195" s="4"/>
      <c r="S195" s="67">
        <v>13</v>
      </c>
      <c r="T195" s="4"/>
      <c r="U195" s="4"/>
      <c r="V195" s="238">
        <v>12</v>
      </c>
      <c r="W195" s="4"/>
      <c r="X195" s="4"/>
      <c r="Y195" s="4"/>
      <c r="Z195" s="4"/>
      <c r="AA195" s="4"/>
      <c r="AB195" s="4">
        <v>12</v>
      </c>
      <c r="AC195" s="4"/>
      <c r="AD195" s="4"/>
      <c r="AE195" s="4"/>
      <c r="AF195" s="4">
        <v>13</v>
      </c>
      <c r="AG195" s="4"/>
      <c r="AH195" s="4"/>
      <c r="AI195" s="4"/>
      <c r="AJ195" s="4"/>
      <c r="AK195" s="1">
        <v>12</v>
      </c>
      <c r="AL195" s="1"/>
      <c r="AM195" s="1">
        <v>12</v>
      </c>
      <c r="AN195" s="1"/>
      <c r="AO195" s="1"/>
      <c r="AP195" s="4">
        <v>12</v>
      </c>
      <c r="AQ195" s="180">
        <v>0</v>
      </c>
      <c r="AR195" s="67">
        <v>12</v>
      </c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1"/>
      <c r="BE195" s="1"/>
      <c r="BF195" s="1"/>
      <c r="BG195" s="1"/>
      <c r="BH195" s="1"/>
      <c r="BI195" s="1"/>
      <c r="BJ195" s="1"/>
      <c r="BK195" s="1">
        <v>13</v>
      </c>
      <c r="BL195" s="1"/>
      <c r="BM195" s="1"/>
      <c r="BN195" s="1"/>
      <c r="BO195" s="1"/>
      <c r="BP195" s="1"/>
      <c r="BQ195" s="1"/>
      <c r="BR195" s="1"/>
      <c r="BS195" s="1"/>
      <c r="BT195" s="1"/>
      <c r="BU195" s="1">
        <v>12</v>
      </c>
      <c r="BV195" s="1"/>
      <c r="BW195" s="1"/>
      <c r="BX195" s="4"/>
      <c r="BY195" s="136"/>
      <c r="BZ195" s="136">
        <v>0</v>
      </c>
      <c r="CA195" s="136"/>
      <c r="CB195" s="136"/>
      <c r="CC195" s="136"/>
      <c r="CD195" s="136"/>
      <c r="CE195" s="136"/>
      <c r="CF195" s="136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DA195" s="379">
        <v>8.5</v>
      </c>
    </row>
    <row r="196" spans="1:105" ht="20.25" customHeight="1" x14ac:dyDescent="0.35">
      <c r="A196" s="95"/>
      <c r="B196" s="200" t="s">
        <v>1619</v>
      </c>
      <c r="C196" s="200" t="s">
        <v>312</v>
      </c>
      <c r="D196" s="245"/>
      <c r="E196" s="95" t="s">
        <v>643</v>
      </c>
      <c r="F196" s="95" t="s">
        <v>1620</v>
      </c>
      <c r="G196" s="95" t="s">
        <v>35</v>
      </c>
      <c r="H196" s="304">
        <f>8.5*10</f>
        <v>85</v>
      </c>
      <c r="I196" s="240"/>
      <c r="J196" s="4"/>
      <c r="K196" s="4"/>
      <c r="L196" s="4"/>
      <c r="M196" s="4"/>
      <c r="N196" s="108"/>
      <c r="O196" s="4"/>
      <c r="P196" s="4"/>
      <c r="Q196" s="4"/>
      <c r="R196" s="4">
        <v>120</v>
      </c>
      <c r="S196" s="67"/>
      <c r="T196" s="4"/>
      <c r="U196" s="4"/>
      <c r="V196" s="238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1"/>
      <c r="AL196" s="1"/>
      <c r="AM196" s="1"/>
      <c r="AN196" s="1"/>
      <c r="AO196" s="1"/>
      <c r="AP196" s="4"/>
      <c r="AQ196" s="180"/>
      <c r="AR196" s="67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4"/>
      <c r="BY196" s="136"/>
      <c r="BZ196" s="136"/>
      <c r="CA196" s="136"/>
      <c r="CB196" s="136"/>
      <c r="CC196" s="136"/>
      <c r="CD196" s="136"/>
      <c r="CE196" s="136"/>
      <c r="CF196" s="136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DA196" s="379">
        <f>DA197*10</f>
        <v>92</v>
      </c>
    </row>
    <row r="197" spans="1:105" ht="20.25" customHeight="1" x14ac:dyDescent="0.35">
      <c r="A197" s="95"/>
      <c r="B197" s="200" t="s">
        <v>1621</v>
      </c>
      <c r="C197" s="200" t="s">
        <v>312</v>
      </c>
      <c r="D197" s="245" t="s">
        <v>1229</v>
      </c>
      <c r="E197" s="95" t="s">
        <v>643</v>
      </c>
      <c r="F197" s="95" t="s">
        <v>34</v>
      </c>
      <c r="G197" s="95" t="s">
        <v>42</v>
      </c>
      <c r="H197" s="304">
        <v>8</v>
      </c>
      <c r="I197" s="4"/>
      <c r="J197" s="4">
        <v>12</v>
      </c>
      <c r="K197" s="4"/>
      <c r="L197" s="4">
        <v>12</v>
      </c>
      <c r="M197" s="4"/>
      <c r="N197" s="242"/>
      <c r="O197" s="4"/>
      <c r="P197" s="4"/>
      <c r="Q197" s="4"/>
      <c r="R197" s="4"/>
      <c r="S197" s="4"/>
      <c r="T197" s="4"/>
      <c r="U197" s="4"/>
      <c r="V197" s="238"/>
      <c r="W197" s="4"/>
      <c r="X197" s="4"/>
      <c r="Y197" s="4"/>
      <c r="Z197" s="4"/>
      <c r="AA197" s="4"/>
      <c r="AB197" s="4"/>
      <c r="AC197" s="4"/>
      <c r="AD197" s="4"/>
      <c r="AE197" s="4"/>
      <c r="AF197" s="4">
        <v>13</v>
      </c>
      <c r="AG197" s="4"/>
      <c r="AH197" s="4"/>
      <c r="AI197" s="4"/>
      <c r="AJ197" s="4"/>
      <c r="AK197" s="1"/>
      <c r="AL197" s="1"/>
      <c r="AM197" s="1"/>
      <c r="AN197" s="1"/>
      <c r="AO197" s="4">
        <v>12</v>
      </c>
      <c r="AP197" s="4"/>
      <c r="AQ197" s="4">
        <v>12</v>
      </c>
      <c r="AR197" s="4"/>
      <c r="AS197" s="4"/>
      <c r="AT197" s="4">
        <v>12</v>
      </c>
      <c r="AU197" s="4">
        <v>12</v>
      </c>
      <c r="AV197" s="4">
        <v>12</v>
      </c>
      <c r="AW197" s="4">
        <v>12</v>
      </c>
      <c r="AX197" s="4">
        <v>12</v>
      </c>
      <c r="AY197" s="4">
        <v>12</v>
      </c>
      <c r="AZ197" s="4">
        <v>12</v>
      </c>
      <c r="BA197" s="4">
        <v>12</v>
      </c>
      <c r="BB197" s="4"/>
      <c r="BC197" s="4">
        <v>12</v>
      </c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>
        <v>13</v>
      </c>
      <c r="BP197" s="1"/>
      <c r="BQ197" s="1"/>
      <c r="BR197" s="1"/>
      <c r="BS197" s="1"/>
      <c r="BT197" s="1"/>
      <c r="BU197" s="1"/>
      <c r="BV197" s="1"/>
      <c r="BW197" s="1"/>
      <c r="BX197" s="4">
        <f>J197</f>
        <v>12</v>
      </c>
      <c r="BY197" s="136"/>
      <c r="BZ197" s="136">
        <v>13.5</v>
      </c>
      <c r="CA197" s="136"/>
      <c r="CB197" s="136"/>
      <c r="CC197" s="136"/>
      <c r="CD197" s="136"/>
      <c r="CE197" s="136"/>
      <c r="CF197" s="136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DA197" s="379">
        <v>9.1999999999999993</v>
      </c>
    </row>
    <row r="198" spans="1:105" ht="20.25" customHeight="1" x14ac:dyDescent="0.35">
      <c r="A198" s="95"/>
      <c r="B198" s="200" t="s">
        <v>1622</v>
      </c>
      <c r="C198" s="200" t="s">
        <v>876</v>
      </c>
      <c r="D198" s="239" t="s">
        <v>1229</v>
      </c>
      <c r="E198" s="95" t="s">
        <v>649</v>
      </c>
      <c r="F198" s="95" t="s">
        <v>34</v>
      </c>
      <c r="G198" s="95" t="s">
        <v>42</v>
      </c>
      <c r="H198" s="304">
        <v>11.5</v>
      </c>
      <c r="I198" s="240"/>
      <c r="J198" s="4">
        <v>16</v>
      </c>
      <c r="K198" s="4"/>
      <c r="L198" s="4">
        <v>17</v>
      </c>
      <c r="M198" s="4">
        <v>16</v>
      </c>
      <c r="N198" s="240">
        <v>16</v>
      </c>
      <c r="O198" s="4">
        <v>17</v>
      </c>
      <c r="P198" s="240">
        <v>16</v>
      </c>
      <c r="Q198" s="4">
        <v>16</v>
      </c>
      <c r="R198" s="4">
        <v>16</v>
      </c>
      <c r="S198" s="4">
        <v>17</v>
      </c>
      <c r="T198" s="4"/>
      <c r="U198" s="4"/>
      <c r="V198" s="238">
        <v>17</v>
      </c>
      <c r="W198" s="4"/>
      <c r="X198" s="4"/>
      <c r="Y198" s="4"/>
      <c r="Z198" s="4"/>
      <c r="AA198" s="4"/>
      <c r="AB198" s="4">
        <v>16</v>
      </c>
      <c r="AC198" s="4"/>
      <c r="AD198" s="4"/>
      <c r="AE198" s="4"/>
      <c r="AF198" s="4"/>
      <c r="AG198" s="4"/>
      <c r="AH198" s="4"/>
      <c r="AI198" s="4"/>
      <c r="AJ198" s="4"/>
      <c r="AK198" s="1"/>
      <c r="AL198" s="1"/>
      <c r="AM198" s="1"/>
      <c r="AN198" s="1"/>
      <c r="AO198" s="1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1"/>
      <c r="BE198" s="1"/>
      <c r="BF198" s="1"/>
      <c r="BG198" s="1"/>
      <c r="BH198" s="1"/>
      <c r="BI198" s="1"/>
      <c r="BJ198" s="1"/>
      <c r="BK198" s="1">
        <v>18</v>
      </c>
      <c r="BL198" s="1"/>
      <c r="BM198" s="1"/>
      <c r="BN198" s="1"/>
      <c r="BO198" s="1"/>
      <c r="BP198" s="1"/>
      <c r="BQ198" s="1"/>
      <c r="BR198" s="1"/>
      <c r="BS198" s="1"/>
      <c r="BT198" s="1"/>
      <c r="BU198" s="1">
        <v>16</v>
      </c>
      <c r="BV198" s="1"/>
      <c r="BW198" s="1"/>
      <c r="BX198" s="4">
        <f>J198</f>
        <v>16</v>
      </c>
      <c r="BY198" s="136"/>
      <c r="BZ198" s="136"/>
      <c r="CA198" s="136"/>
      <c r="CB198" s="136"/>
      <c r="CC198" s="136"/>
      <c r="CD198" s="136"/>
      <c r="CE198" s="136"/>
      <c r="CF198" s="136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DA198" s="379">
        <v>11.5</v>
      </c>
    </row>
    <row r="199" spans="1:105" ht="20.25" customHeight="1" x14ac:dyDescent="0.35">
      <c r="A199" s="95"/>
      <c r="B199" s="200" t="s">
        <v>1623</v>
      </c>
      <c r="C199" s="200"/>
      <c r="D199" s="245"/>
      <c r="E199" s="95"/>
      <c r="F199" s="95"/>
      <c r="G199" s="95" t="s">
        <v>42</v>
      </c>
      <c r="H199" s="248">
        <v>0</v>
      </c>
      <c r="I199" s="4"/>
      <c r="J199" s="4"/>
      <c r="K199" s="4"/>
      <c r="L199" s="4"/>
      <c r="M199" s="4"/>
      <c r="N199" s="111">
        <v>0</v>
      </c>
      <c r="O199" s="4"/>
      <c r="P199" s="4"/>
      <c r="Q199" s="4"/>
      <c r="R199" s="4"/>
      <c r="S199" s="4"/>
      <c r="T199" s="4"/>
      <c r="U199" s="4"/>
      <c r="V199" s="238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1"/>
      <c r="AL199" s="1"/>
      <c r="AM199" s="1">
        <v>16</v>
      </c>
      <c r="AN199" s="1"/>
      <c r="AO199" s="1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4"/>
      <c r="BY199" s="136"/>
      <c r="BZ199" s="136"/>
      <c r="CA199" s="136"/>
      <c r="CB199" s="136"/>
      <c r="CC199" s="136"/>
      <c r="CD199" s="136"/>
      <c r="CE199" s="136"/>
      <c r="CF199" s="136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DA199" s="379">
        <v>0</v>
      </c>
    </row>
    <row r="200" spans="1:105" ht="20.25" customHeight="1" x14ac:dyDescent="0.35">
      <c r="A200" s="95" t="s">
        <v>124</v>
      </c>
      <c r="B200" s="200" t="s">
        <v>1624</v>
      </c>
      <c r="C200" s="200" t="s">
        <v>877</v>
      </c>
      <c r="D200" s="245" t="s">
        <v>1229</v>
      </c>
      <c r="E200" s="95" t="s">
        <v>649</v>
      </c>
      <c r="F200" s="95" t="s">
        <v>34</v>
      </c>
      <c r="G200" s="95" t="s">
        <v>42</v>
      </c>
      <c r="H200" s="248">
        <v>11</v>
      </c>
      <c r="I200" s="4">
        <v>16</v>
      </c>
      <c r="J200" s="4">
        <v>16</v>
      </c>
      <c r="K200" s="4"/>
      <c r="L200" s="4"/>
      <c r="M200" s="146">
        <v>16</v>
      </c>
      <c r="N200" s="108"/>
      <c r="O200" s="4"/>
      <c r="P200" s="4"/>
      <c r="Q200" s="4"/>
      <c r="R200" s="4"/>
      <c r="S200" s="4"/>
      <c r="T200" s="4"/>
      <c r="U200" s="4"/>
      <c r="V200" s="238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1"/>
      <c r="AL200" s="1"/>
      <c r="AM200" s="1"/>
      <c r="AN200" s="1"/>
      <c r="AO200" s="1"/>
      <c r="AP200" s="4">
        <v>16</v>
      </c>
      <c r="AQ200" s="4">
        <v>16</v>
      </c>
      <c r="AR200" s="4">
        <v>16</v>
      </c>
      <c r="AS200" s="4"/>
      <c r="AT200" s="4">
        <v>16</v>
      </c>
      <c r="AU200" s="4">
        <v>16</v>
      </c>
      <c r="AV200" s="4">
        <v>16</v>
      </c>
      <c r="AW200" s="4">
        <v>16</v>
      </c>
      <c r="AX200" s="4">
        <v>16</v>
      </c>
      <c r="AY200" s="4">
        <v>16</v>
      </c>
      <c r="AZ200" s="4">
        <v>16</v>
      </c>
      <c r="BA200" s="4">
        <v>16</v>
      </c>
      <c r="BB200" s="4"/>
      <c r="BC200" s="4">
        <v>16</v>
      </c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4">
        <v>16</v>
      </c>
      <c r="BY200" s="136"/>
      <c r="BZ200" s="136">
        <v>17</v>
      </c>
      <c r="CA200" s="136"/>
      <c r="CB200" s="136"/>
      <c r="CC200" s="136"/>
      <c r="CD200" s="136"/>
      <c r="CE200" s="136"/>
      <c r="CF200" s="136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DA200" s="379">
        <v>11</v>
      </c>
    </row>
    <row r="201" spans="1:105" ht="20.25" customHeight="1" x14ac:dyDescent="0.35">
      <c r="A201" s="95" t="s">
        <v>85</v>
      </c>
      <c r="B201" s="200" t="s">
        <v>1625</v>
      </c>
      <c r="C201" s="200" t="s">
        <v>496</v>
      </c>
      <c r="D201" s="239" t="s">
        <v>1229</v>
      </c>
      <c r="E201" s="95" t="s">
        <v>643</v>
      </c>
      <c r="F201" s="95" t="s">
        <v>34</v>
      </c>
      <c r="G201" s="95" t="s">
        <v>42</v>
      </c>
      <c r="H201" s="248">
        <v>18.5</v>
      </c>
      <c r="I201" s="240">
        <v>23</v>
      </c>
      <c r="J201" s="4">
        <v>22</v>
      </c>
      <c r="K201" s="4"/>
      <c r="L201" s="4"/>
      <c r="M201" s="4"/>
      <c r="N201" s="108"/>
      <c r="O201" s="4"/>
      <c r="P201" s="240">
        <v>23</v>
      </c>
      <c r="Q201" s="111">
        <v>22</v>
      </c>
      <c r="R201" s="146">
        <v>23</v>
      </c>
      <c r="S201" s="4"/>
      <c r="T201" s="4"/>
      <c r="U201" s="4"/>
      <c r="V201" s="238"/>
      <c r="W201" s="4"/>
      <c r="X201" s="4"/>
      <c r="Y201" s="4"/>
      <c r="Z201" s="4"/>
      <c r="AA201" s="4"/>
      <c r="AB201" s="4"/>
      <c r="AC201" s="4">
        <v>23</v>
      </c>
      <c r="AD201" s="146"/>
      <c r="AE201" s="146"/>
      <c r="AF201" s="4"/>
      <c r="AG201" s="4"/>
      <c r="AH201" s="4"/>
      <c r="AI201" s="4"/>
      <c r="AJ201" s="4"/>
      <c r="AK201" s="1"/>
      <c r="AL201" s="1"/>
      <c r="AM201" s="1"/>
      <c r="AN201" s="1"/>
      <c r="AO201" s="1"/>
      <c r="AP201" s="4">
        <v>22</v>
      </c>
      <c r="AQ201" s="4">
        <v>22</v>
      </c>
      <c r="AR201" s="4">
        <v>22</v>
      </c>
      <c r="AS201" s="4"/>
      <c r="AT201" s="4">
        <v>22</v>
      </c>
      <c r="AU201" s="4">
        <v>22</v>
      </c>
      <c r="AV201" s="4">
        <v>22</v>
      </c>
      <c r="AW201" s="4">
        <v>22</v>
      </c>
      <c r="AX201" s="4">
        <v>22</v>
      </c>
      <c r="AY201" s="4">
        <v>22</v>
      </c>
      <c r="AZ201" s="4">
        <v>22</v>
      </c>
      <c r="BA201" s="4">
        <v>22</v>
      </c>
      <c r="BB201" s="4"/>
      <c r="BC201" s="4">
        <v>22</v>
      </c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4"/>
      <c r="BY201" s="136"/>
      <c r="BZ201" s="136">
        <v>24</v>
      </c>
      <c r="CA201" s="136"/>
      <c r="CB201" s="136"/>
      <c r="CC201" s="136"/>
      <c r="CD201" s="136"/>
      <c r="CE201" s="136"/>
      <c r="CF201" s="136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DA201" s="379">
        <v>18.5</v>
      </c>
    </row>
    <row r="202" spans="1:105" ht="20.25" customHeight="1" x14ac:dyDescent="0.35">
      <c r="A202" s="95"/>
      <c r="B202" s="200" t="s">
        <v>1626</v>
      </c>
      <c r="C202" s="200" t="s">
        <v>496</v>
      </c>
      <c r="D202" s="245"/>
      <c r="E202" s="95" t="s">
        <v>643</v>
      </c>
      <c r="F202" s="95" t="s">
        <v>1083</v>
      </c>
      <c r="G202" s="95"/>
      <c r="H202" s="248">
        <f>H201/1000*100</f>
        <v>1.8499999999999999</v>
      </c>
      <c r="I202" s="4"/>
      <c r="J202" s="4"/>
      <c r="K202" s="4"/>
      <c r="L202" s="4"/>
      <c r="M202" s="4"/>
      <c r="N202" s="108"/>
      <c r="O202" s="4"/>
      <c r="P202" s="146"/>
      <c r="Q202" s="111"/>
      <c r="R202" s="146"/>
      <c r="S202" s="4"/>
      <c r="T202" s="4"/>
      <c r="U202" s="4"/>
      <c r="V202" s="238"/>
      <c r="W202" s="4"/>
      <c r="X202" s="4"/>
      <c r="Y202" s="4"/>
      <c r="Z202" s="4"/>
      <c r="AA202" s="4"/>
      <c r="AB202" s="4"/>
      <c r="AC202" s="4"/>
      <c r="AD202" s="146"/>
      <c r="AE202" s="146"/>
      <c r="AF202" s="4"/>
      <c r="AG202" s="4"/>
      <c r="AH202" s="4"/>
      <c r="AI202" s="4"/>
      <c r="AJ202" s="4"/>
      <c r="AK202" s="1"/>
      <c r="AL202" s="1"/>
      <c r="AM202" s="1"/>
      <c r="AN202" s="1"/>
      <c r="AO202" s="1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>
        <v>2.7</v>
      </c>
      <c r="BP202" s="1"/>
      <c r="BQ202" s="1"/>
      <c r="BR202" s="1"/>
      <c r="BS202" s="1"/>
      <c r="BT202" s="1"/>
      <c r="BU202" s="1"/>
      <c r="BV202" s="1"/>
      <c r="BW202" s="1"/>
      <c r="BX202" s="4"/>
      <c r="BY202" s="136"/>
      <c r="BZ202" s="136"/>
      <c r="CA202" s="136"/>
      <c r="CB202" s="136"/>
      <c r="CC202" s="136"/>
      <c r="CD202" s="136"/>
      <c r="CE202" s="136"/>
      <c r="CF202" s="136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DA202" s="379">
        <f>DA201/10</f>
        <v>1.85</v>
      </c>
    </row>
    <row r="203" spans="1:105" ht="20.25" customHeight="1" x14ac:dyDescent="0.35">
      <c r="A203" s="95" t="s">
        <v>118</v>
      </c>
      <c r="B203" s="200" t="s">
        <v>1627</v>
      </c>
      <c r="C203" s="200" t="s">
        <v>1897</v>
      </c>
      <c r="D203" s="239" t="s">
        <v>1229</v>
      </c>
      <c r="E203" s="95" t="s">
        <v>36</v>
      </c>
      <c r="F203" s="95" t="s">
        <v>34</v>
      </c>
      <c r="G203" s="95" t="s">
        <v>42</v>
      </c>
      <c r="H203" s="248">
        <v>4.3</v>
      </c>
      <c r="I203" s="240">
        <v>5.5</v>
      </c>
      <c r="J203" s="4">
        <v>5</v>
      </c>
      <c r="K203" s="4"/>
      <c r="L203" s="4"/>
      <c r="M203" s="4"/>
      <c r="N203" s="108"/>
      <c r="O203" s="4"/>
      <c r="P203" s="240">
        <v>5.3</v>
      </c>
      <c r="Q203" s="4">
        <v>5.5</v>
      </c>
      <c r="R203" s="4"/>
      <c r="S203" s="4">
        <v>6</v>
      </c>
      <c r="T203" s="4"/>
      <c r="U203" s="4"/>
      <c r="V203" s="238">
        <v>6</v>
      </c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1"/>
      <c r="AL203" s="1"/>
      <c r="AM203" s="1">
        <v>5.5</v>
      </c>
      <c r="AN203" s="1"/>
      <c r="AO203" s="4">
        <v>5</v>
      </c>
      <c r="AP203" s="4">
        <v>5</v>
      </c>
      <c r="AQ203" s="4">
        <v>5</v>
      </c>
      <c r="AR203" s="4">
        <v>5</v>
      </c>
      <c r="AS203" s="4"/>
      <c r="AT203" s="4">
        <v>5</v>
      </c>
      <c r="AU203" s="4">
        <v>5</v>
      </c>
      <c r="AV203" s="4">
        <v>5</v>
      </c>
      <c r="AW203" s="4">
        <v>5</v>
      </c>
      <c r="AX203" s="4">
        <v>5</v>
      </c>
      <c r="AY203" s="4">
        <v>5</v>
      </c>
      <c r="AZ203" s="4">
        <v>5</v>
      </c>
      <c r="BA203" s="4">
        <v>5</v>
      </c>
      <c r="BB203" s="4"/>
      <c r="BC203" s="4">
        <v>5</v>
      </c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>
        <v>5.5</v>
      </c>
      <c r="BV203" s="1"/>
      <c r="BW203" s="1"/>
      <c r="BX203" s="4">
        <f>J203</f>
        <v>5</v>
      </c>
      <c r="BY203" s="136"/>
      <c r="BZ203" s="136">
        <v>0</v>
      </c>
      <c r="CA203" s="136"/>
      <c r="CB203" s="136"/>
      <c r="CC203" s="136"/>
      <c r="CD203" s="136"/>
      <c r="CE203" s="136"/>
      <c r="CF203" s="136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DA203" s="395">
        <v>4.3</v>
      </c>
    </row>
    <row r="204" spans="1:105" ht="20.25" customHeight="1" x14ac:dyDescent="0.35">
      <c r="A204" s="95"/>
      <c r="B204" s="200" t="s">
        <v>1628</v>
      </c>
      <c r="C204" s="200" t="s">
        <v>314</v>
      </c>
      <c r="D204" s="245"/>
      <c r="E204" s="6" t="s">
        <v>36</v>
      </c>
      <c r="F204" s="95" t="s">
        <v>1154</v>
      </c>
      <c r="G204" s="95" t="s">
        <v>42</v>
      </c>
      <c r="H204" s="248">
        <f>3.8*2.5</f>
        <v>9.5</v>
      </c>
      <c r="I204" s="4"/>
      <c r="J204" s="4"/>
      <c r="K204" s="4"/>
      <c r="L204" s="4"/>
      <c r="M204" s="4"/>
      <c r="N204" s="108"/>
      <c r="O204" s="4"/>
      <c r="P204" s="4"/>
      <c r="Q204" s="4"/>
      <c r="R204" s="4"/>
      <c r="S204" s="4"/>
      <c r="T204" s="4"/>
      <c r="U204" s="4"/>
      <c r="V204" s="238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1"/>
      <c r="AL204" s="1"/>
      <c r="AM204" s="1"/>
      <c r="AN204" s="1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4"/>
      <c r="BY204" s="136"/>
      <c r="BZ204" s="136">
        <v>12</v>
      </c>
      <c r="CA204" s="136"/>
      <c r="CB204" s="136"/>
      <c r="CC204" s="136"/>
      <c r="CD204" s="136"/>
      <c r="CE204" s="136"/>
      <c r="CF204" s="136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DA204" s="379">
        <f>3.8*2.5</f>
        <v>9.5</v>
      </c>
    </row>
    <row r="205" spans="1:105" ht="20.25" customHeight="1" x14ac:dyDescent="0.35">
      <c r="A205" s="95"/>
      <c r="B205" s="200" t="s">
        <v>2124</v>
      </c>
      <c r="C205" s="200" t="s">
        <v>314</v>
      </c>
      <c r="D205" s="245"/>
      <c r="E205" s="6" t="s">
        <v>36</v>
      </c>
      <c r="F205" s="95" t="s">
        <v>1401</v>
      </c>
      <c r="G205" s="95" t="s">
        <v>42</v>
      </c>
      <c r="H205" s="248">
        <v>4.3</v>
      </c>
      <c r="I205" s="4">
        <v>4</v>
      </c>
      <c r="J205" s="4"/>
      <c r="K205" s="4"/>
      <c r="L205" s="4"/>
      <c r="M205" s="4"/>
      <c r="N205" s="108"/>
      <c r="O205" s="4"/>
      <c r="P205" s="4"/>
      <c r="Q205" s="4"/>
      <c r="R205" s="4"/>
      <c r="S205" s="4"/>
      <c r="T205" s="4"/>
      <c r="U205" s="4"/>
      <c r="V205" s="238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1"/>
      <c r="AL205" s="1"/>
      <c r="AM205" s="1"/>
      <c r="AN205" s="1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4"/>
      <c r="BY205" s="136"/>
      <c r="BZ205" s="136"/>
      <c r="CA205" s="136"/>
      <c r="CB205" s="136"/>
      <c r="CC205" s="136"/>
      <c r="CD205" s="136"/>
      <c r="CE205" s="136"/>
      <c r="CF205" s="136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DA205" s="379"/>
    </row>
    <row r="206" spans="1:105" ht="20.25" customHeight="1" x14ac:dyDescent="0.35">
      <c r="A206" s="95" t="s">
        <v>128</v>
      </c>
      <c r="B206" s="200" t="s">
        <v>1629</v>
      </c>
      <c r="C206" s="200" t="s">
        <v>315</v>
      </c>
      <c r="D206" s="239" t="s">
        <v>1229</v>
      </c>
      <c r="E206" s="95" t="s">
        <v>57</v>
      </c>
      <c r="F206" s="95" t="s">
        <v>1401</v>
      </c>
      <c r="G206" s="95" t="s">
        <v>1402</v>
      </c>
      <c r="H206" s="237">
        <v>6.5</v>
      </c>
      <c r="I206" s="240">
        <v>6.5</v>
      </c>
      <c r="J206" s="4">
        <v>6.5</v>
      </c>
      <c r="K206" s="4"/>
      <c r="L206" s="4"/>
      <c r="M206" s="4"/>
      <c r="N206" s="108"/>
      <c r="O206" s="4"/>
      <c r="P206" s="4"/>
      <c r="Q206" s="4"/>
      <c r="R206" s="4"/>
      <c r="S206" s="4">
        <v>9</v>
      </c>
      <c r="T206" s="4"/>
      <c r="U206" s="4"/>
      <c r="V206" s="238">
        <v>9</v>
      </c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1"/>
      <c r="AL206" s="1"/>
      <c r="AM206" s="1"/>
      <c r="AN206" s="1"/>
      <c r="AO206" s="1"/>
      <c r="AP206" s="4">
        <v>6.5</v>
      </c>
      <c r="AQ206" s="4">
        <v>6.5</v>
      </c>
      <c r="AR206" s="4">
        <v>6.5</v>
      </c>
      <c r="AS206" s="4"/>
      <c r="AT206" s="4">
        <v>6.5</v>
      </c>
      <c r="AU206" s="4">
        <v>6.5</v>
      </c>
      <c r="AV206" s="4">
        <v>6.5</v>
      </c>
      <c r="AW206" s="4">
        <v>6.5</v>
      </c>
      <c r="AX206" s="4">
        <v>6.5</v>
      </c>
      <c r="AY206" s="4">
        <v>6.5</v>
      </c>
      <c r="AZ206" s="4">
        <v>6.5</v>
      </c>
      <c r="BA206" s="4">
        <v>6.5</v>
      </c>
      <c r="BB206" s="4"/>
      <c r="BC206" s="4">
        <v>6.5</v>
      </c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4"/>
      <c r="BY206" s="136"/>
      <c r="BZ206" s="136"/>
      <c r="CA206" s="136"/>
      <c r="CB206" s="136"/>
      <c r="CC206" s="136"/>
      <c r="CD206" s="136"/>
      <c r="CE206" s="136"/>
      <c r="CF206" s="136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DA206" s="379">
        <f>6/1000*800</f>
        <v>4.8</v>
      </c>
    </row>
    <row r="207" spans="1:105" ht="20.25" customHeight="1" x14ac:dyDescent="0.35">
      <c r="A207" s="6"/>
      <c r="B207" s="200" t="s">
        <v>1630</v>
      </c>
      <c r="C207" s="200" t="s">
        <v>464</v>
      </c>
      <c r="D207" s="200"/>
      <c r="E207" s="6" t="s">
        <v>36</v>
      </c>
      <c r="F207" s="6" t="s">
        <v>54</v>
      </c>
      <c r="G207" s="95" t="s">
        <v>42</v>
      </c>
      <c r="H207" s="248">
        <f>2.2*5</f>
        <v>11</v>
      </c>
      <c r="I207" s="4"/>
      <c r="J207" s="4"/>
      <c r="K207" s="4"/>
      <c r="L207" s="4">
        <v>19</v>
      </c>
      <c r="M207" s="4">
        <v>19</v>
      </c>
      <c r="N207" s="108"/>
      <c r="O207" s="4">
        <v>19</v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>
        <v>19</v>
      </c>
      <c r="AD207" s="4"/>
      <c r="AE207" s="4"/>
      <c r="AF207" s="4"/>
      <c r="AG207" s="4"/>
      <c r="AH207" s="4"/>
      <c r="AI207" s="4"/>
      <c r="AJ207" s="4"/>
      <c r="AK207" s="1"/>
      <c r="AL207" s="1"/>
      <c r="AM207" s="1"/>
      <c r="AN207" s="1"/>
      <c r="AO207" s="1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4"/>
      <c r="BY207" s="136"/>
      <c r="BZ207" s="136"/>
      <c r="CA207" s="136"/>
      <c r="CB207" s="136"/>
      <c r="CC207" s="136"/>
      <c r="CD207" s="136"/>
      <c r="CE207" s="136"/>
      <c r="CF207" s="136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DA207" s="397">
        <f>2.9*5</f>
        <v>14.5</v>
      </c>
    </row>
    <row r="208" spans="1:105" ht="20.25" customHeight="1" x14ac:dyDescent="0.35">
      <c r="A208" s="6"/>
      <c r="B208" s="200" t="s">
        <v>1838</v>
      </c>
      <c r="C208" s="200" t="s">
        <v>464</v>
      </c>
      <c r="D208" s="200"/>
      <c r="E208" s="6" t="s">
        <v>36</v>
      </c>
      <c r="F208" s="6" t="s">
        <v>500</v>
      </c>
      <c r="G208" s="95" t="s">
        <v>42</v>
      </c>
      <c r="H208" s="248">
        <f>2.2*2</f>
        <v>4.4000000000000004</v>
      </c>
      <c r="I208" s="4"/>
      <c r="J208" s="4"/>
      <c r="K208" s="4"/>
      <c r="L208" s="4"/>
      <c r="M208" s="4"/>
      <c r="N208" s="108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1"/>
      <c r="AL208" s="1"/>
      <c r="AM208" s="1"/>
      <c r="AN208" s="1"/>
      <c r="AO208" s="1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4"/>
      <c r="BY208" s="136"/>
      <c r="BZ208" s="136"/>
      <c r="CA208" s="136"/>
      <c r="CB208" s="136"/>
      <c r="CC208" s="136"/>
      <c r="CD208" s="136"/>
      <c r="CE208" s="136"/>
      <c r="CF208" s="136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DA208" s="397">
        <f>2.9*2</f>
        <v>5.8</v>
      </c>
    </row>
    <row r="209" spans="1:105" ht="20.25" customHeight="1" x14ac:dyDescent="0.35">
      <c r="A209" s="6"/>
      <c r="B209" s="200" t="s">
        <v>1631</v>
      </c>
      <c r="C209" s="200" t="s">
        <v>1632</v>
      </c>
      <c r="D209" s="95" t="s">
        <v>1229</v>
      </c>
      <c r="E209" s="6"/>
      <c r="F209" s="6" t="s">
        <v>75</v>
      </c>
      <c r="G209" s="95" t="s">
        <v>51</v>
      </c>
      <c r="H209" s="237"/>
      <c r="I209" s="4"/>
      <c r="J209" s="4"/>
      <c r="K209" s="4"/>
      <c r="L209" s="4"/>
      <c r="M209" s="4"/>
      <c r="N209" s="108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1"/>
      <c r="AL209" s="1"/>
      <c r="AM209" s="1"/>
      <c r="AN209" s="1"/>
      <c r="AO209" s="1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4"/>
      <c r="BY209" s="136"/>
      <c r="BZ209" s="136"/>
      <c r="CA209" s="136"/>
      <c r="CB209" s="136"/>
      <c r="CC209" s="136"/>
      <c r="CD209" s="136"/>
      <c r="CE209" s="136"/>
      <c r="CF209" s="136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DA209" s="379"/>
    </row>
    <row r="210" spans="1:105" ht="20.25" customHeight="1" x14ac:dyDescent="0.35">
      <c r="A210" s="95" t="s">
        <v>127</v>
      </c>
      <c r="B210" s="200" t="s">
        <v>1633</v>
      </c>
      <c r="C210" s="200" t="s">
        <v>319</v>
      </c>
      <c r="D210" s="239" t="s">
        <v>1229</v>
      </c>
      <c r="E210" s="95" t="s">
        <v>36</v>
      </c>
      <c r="F210" s="95" t="s">
        <v>34</v>
      </c>
      <c r="G210" s="95" t="s">
        <v>42</v>
      </c>
      <c r="H210" s="237">
        <v>25</v>
      </c>
      <c r="I210" s="240">
        <v>25</v>
      </c>
      <c r="J210" s="4"/>
      <c r="K210" s="4"/>
      <c r="L210" s="4"/>
      <c r="M210" s="4"/>
      <c r="N210" s="108"/>
      <c r="O210" s="4">
        <v>25</v>
      </c>
      <c r="P210" s="4"/>
      <c r="Q210" s="4"/>
      <c r="R210" s="4">
        <v>25</v>
      </c>
      <c r="S210" s="4"/>
      <c r="T210" s="4"/>
      <c r="U210" s="4"/>
      <c r="V210" s="238">
        <v>25</v>
      </c>
      <c r="W210" s="4"/>
      <c r="X210" s="4"/>
      <c r="Y210" s="4"/>
      <c r="Z210" s="4"/>
      <c r="AA210" s="4"/>
      <c r="AB210" s="4"/>
      <c r="AC210" s="4">
        <v>24</v>
      </c>
      <c r="AD210" s="4"/>
      <c r="AE210" s="4"/>
      <c r="AF210" s="4"/>
      <c r="AG210" s="4"/>
      <c r="AH210" s="4"/>
      <c r="AI210" s="4"/>
      <c r="AJ210" s="4"/>
      <c r="AK210" s="1"/>
      <c r="AL210" s="1"/>
      <c r="AM210" s="1"/>
      <c r="AN210" s="1"/>
      <c r="AO210" s="1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4"/>
      <c r="BY210" s="136"/>
      <c r="BZ210" s="136">
        <v>25</v>
      </c>
      <c r="CA210" s="136"/>
      <c r="CB210" s="136"/>
      <c r="CC210" s="136"/>
      <c r="CD210" s="136"/>
      <c r="CE210" s="136"/>
      <c r="CF210" s="136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DA210" s="379">
        <v>18</v>
      </c>
    </row>
    <row r="211" spans="1:105" ht="20.25" customHeight="1" x14ac:dyDescent="0.35">
      <c r="A211" s="95"/>
      <c r="B211" s="200" t="s">
        <v>1634</v>
      </c>
      <c r="C211" s="200" t="s">
        <v>321</v>
      </c>
      <c r="D211" s="245" t="s">
        <v>1229</v>
      </c>
      <c r="E211" s="95" t="s">
        <v>257</v>
      </c>
      <c r="F211" s="95" t="s">
        <v>1635</v>
      </c>
      <c r="G211" s="95" t="s">
        <v>35</v>
      </c>
      <c r="H211" s="304">
        <v>112</v>
      </c>
      <c r="I211" s="240"/>
      <c r="J211" s="4"/>
      <c r="K211" s="4"/>
      <c r="L211" s="4"/>
      <c r="M211" s="4"/>
      <c r="N211" s="108"/>
      <c r="O211" s="4"/>
      <c r="P211" s="4"/>
      <c r="Q211" s="4"/>
      <c r="R211" s="4"/>
      <c r="S211" s="4"/>
      <c r="T211" s="4"/>
      <c r="U211" s="4"/>
      <c r="V211" s="238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1"/>
      <c r="AL211" s="1"/>
      <c r="AM211" s="1"/>
      <c r="AN211" s="1"/>
      <c r="AO211" s="1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4"/>
      <c r="BY211" s="136"/>
      <c r="BZ211" s="136"/>
      <c r="CA211" s="136"/>
      <c r="CB211" s="136"/>
      <c r="CC211" s="136"/>
      <c r="CD211" s="136"/>
      <c r="CE211" s="136"/>
      <c r="CF211" s="136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DA211" s="395">
        <v>125</v>
      </c>
    </row>
    <row r="212" spans="1:105" ht="20.25" customHeight="1" x14ac:dyDescent="0.35">
      <c r="A212" s="95" t="s">
        <v>111</v>
      </c>
      <c r="B212" s="200" t="s">
        <v>1636</v>
      </c>
      <c r="C212" s="200" t="s">
        <v>321</v>
      </c>
      <c r="D212" s="245" t="s">
        <v>1229</v>
      </c>
      <c r="E212" s="95" t="s">
        <v>257</v>
      </c>
      <c r="F212" s="95" t="s">
        <v>686</v>
      </c>
      <c r="G212" s="95" t="s">
        <v>42</v>
      </c>
      <c r="H212" s="304">
        <f>H211/60</f>
        <v>1.8666666666666667</v>
      </c>
      <c r="I212" s="4"/>
      <c r="J212" s="4">
        <v>2.2000000000000002</v>
      </c>
      <c r="K212" s="4"/>
      <c r="L212" s="4">
        <v>2.6</v>
      </c>
      <c r="M212" s="4"/>
      <c r="N212" s="108"/>
      <c r="O212" s="4"/>
      <c r="P212" s="4"/>
      <c r="Q212" s="4"/>
      <c r="R212" s="4"/>
      <c r="S212" s="4">
        <v>2.6</v>
      </c>
      <c r="T212" s="4"/>
      <c r="U212" s="4"/>
      <c r="V212" s="238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1"/>
      <c r="AL212" s="1"/>
      <c r="AM212" s="1"/>
      <c r="AN212" s="1"/>
      <c r="AO212" s="4">
        <v>2.2000000000000002</v>
      </c>
      <c r="AP212" s="4">
        <v>2.2000000000000002</v>
      </c>
      <c r="AQ212" s="4">
        <v>2.2000000000000002</v>
      </c>
      <c r="AR212" s="4">
        <v>2.2000000000000002</v>
      </c>
      <c r="AS212" s="4">
        <v>2.2000000000000002</v>
      </c>
      <c r="AT212" s="4">
        <v>2.2000000000000002</v>
      </c>
      <c r="AU212" s="4">
        <v>2.2000000000000002</v>
      </c>
      <c r="AV212" s="4">
        <v>2.2000000000000002</v>
      </c>
      <c r="AW212" s="4">
        <v>2.2000000000000002</v>
      </c>
      <c r="AX212" s="4">
        <v>2.2000000000000002</v>
      </c>
      <c r="AY212" s="4">
        <v>2.2000000000000002</v>
      </c>
      <c r="AZ212" s="4">
        <v>2.2000000000000002</v>
      </c>
      <c r="BA212" s="4">
        <v>2.2000000000000002</v>
      </c>
      <c r="BB212" s="4">
        <v>2.2000000000000002</v>
      </c>
      <c r="BC212" s="4">
        <v>2.2000000000000002</v>
      </c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4">
        <f>J212</f>
        <v>2.2000000000000002</v>
      </c>
      <c r="BY212" s="136"/>
      <c r="BZ212" s="136"/>
      <c r="CA212" s="136"/>
      <c r="CB212" s="136"/>
      <c r="CC212" s="136"/>
      <c r="CD212" s="136"/>
      <c r="CE212" s="136"/>
      <c r="CF212" s="136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DA212" s="395">
        <f>DA211/60</f>
        <v>2.0833333333333335</v>
      </c>
    </row>
    <row r="213" spans="1:105" ht="20.25" customHeight="1" x14ac:dyDescent="0.35">
      <c r="A213" s="95">
        <v>4000001591</v>
      </c>
      <c r="B213" s="200" t="s">
        <v>1860</v>
      </c>
      <c r="C213" s="200" t="s">
        <v>321</v>
      </c>
      <c r="D213" s="245"/>
      <c r="E213" s="95"/>
      <c r="F213" s="95" t="s">
        <v>2171</v>
      </c>
      <c r="G213" s="95" t="s">
        <v>51</v>
      </c>
      <c r="H213" s="237"/>
      <c r="I213" s="4"/>
      <c r="J213" s="4"/>
      <c r="K213" s="4">
        <v>2.5</v>
      </c>
      <c r="L213" s="4"/>
      <c r="M213" s="4"/>
      <c r="N213" s="108"/>
      <c r="O213" s="4"/>
      <c r="P213" s="4"/>
      <c r="Q213" s="4"/>
      <c r="R213" s="4"/>
      <c r="S213" s="4"/>
      <c r="T213" s="4"/>
      <c r="U213" s="4"/>
      <c r="V213" s="238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1"/>
      <c r="AL213" s="1"/>
      <c r="AM213" s="1"/>
      <c r="AN213" s="1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4"/>
      <c r="BY213" s="136"/>
      <c r="BZ213" s="136"/>
      <c r="CA213" s="136"/>
      <c r="CB213" s="136"/>
      <c r="CC213" s="136"/>
      <c r="CD213" s="136"/>
      <c r="CE213" s="136"/>
      <c r="CF213" s="136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DA213" s="395">
        <f>DA211/60</f>
        <v>2.0833333333333335</v>
      </c>
    </row>
    <row r="214" spans="1:105" ht="20.25" customHeight="1" x14ac:dyDescent="0.35">
      <c r="A214" s="95"/>
      <c r="B214" s="200" t="s">
        <v>1638</v>
      </c>
      <c r="C214" s="200" t="s">
        <v>321</v>
      </c>
      <c r="D214" s="245"/>
      <c r="E214" s="95" t="s">
        <v>1150</v>
      </c>
      <c r="F214" s="95" t="s">
        <v>1637</v>
      </c>
      <c r="G214" s="95" t="s">
        <v>42</v>
      </c>
      <c r="H214" s="237"/>
      <c r="I214" s="4"/>
      <c r="J214" s="4"/>
      <c r="K214" s="4"/>
      <c r="L214" s="4"/>
      <c r="M214" s="4"/>
      <c r="N214" s="108"/>
      <c r="O214" s="4"/>
      <c r="P214" s="4"/>
      <c r="Q214" s="4"/>
      <c r="R214" s="4"/>
      <c r="S214" s="4"/>
      <c r="T214" s="4"/>
      <c r="U214" s="4"/>
      <c r="V214" s="238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1"/>
      <c r="AL214" s="1"/>
      <c r="AM214" s="1"/>
      <c r="AN214" s="1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4"/>
      <c r="BY214" s="136"/>
      <c r="BZ214" s="136"/>
      <c r="CA214" s="136"/>
      <c r="CB214" s="136"/>
      <c r="CC214" s="136"/>
      <c r="CD214" s="136"/>
      <c r="CE214" s="136"/>
      <c r="CF214" s="136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DA214" s="395">
        <v>100</v>
      </c>
    </row>
    <row r="215" spans="1:105" ht="20.25" customHeight="1" x14ac:dyDescent="0.35">
      <c r="A215" s="95">
        <v>4000005669</v>
      </c>
      <c r="B215" s="200" t="s">
        <v>1639</v>
      </c>
      <c r="C215" s="200" t="s">
        <v>321</v>
      </c>
      <c r="D215" s="95"/>
      <c r="E215" s="95" t="s">
        <v>1150</v>
      </c>
      <c r="F215" s="95" t="s">
        <v>686</v>
      </c>
      <c r="G215" s="95" t="s">
        <v>42</v>
      </c>
      <c r="H215" s="237">
        <v>2.8</v>
      </c>
      <c r="I215" s="4"/>
      <c r="J215" s="4"/>
      <c r="K215" s="4">
        <v>2.8</v>
      </c>
      <c r="L215" s="4"/>
      <c r="M215" s="4"/>
      <c r="N215" s="240">
        <v>3.1</v>
      </c>
      <c r="O215" s="4">
        <v>3.1</v>
      </c>
      <c r="P215" s="240">
        <v>3.1</v>
      </c>
      <c r="Q215" s="4"/>
      <c r="R215" s="4">
        <v>3.1</v>
      </c>
      <c r="S215" s="4"/>
      <c r="T215" s="4"/>
      <c r="U215" s="4"/>
      <c r="V215" s="238"/>
      <c r="W215" s="4"/>
      <c r="X215" s="4"/>
      <c r="Y215" s="4"/>
      <c r="Z215" s="4"/>
      <c r="AA215" s="4"/>
      <c r="AB215" s="4"/>
      <c r="AC215" s="136">
        <v>3.1</v>
      </c>
      <c r="AD215" s="4"/>
      <c r="AE215" s="4"/>
      <c r="AF215" s="4">
        <v>3.1</v>
      </c>
      <c r="AG215" s="4"/>
      <c r="AH215" s="4"/>
      <c r="AI215" s="4"/>
      <c r="AJ215" s="4">
        <v>3.1</v>
      </c>
      <c r="AK215" s="1"/>
      <c r="AL215" s="1"/>
      <c r="AM215" s="1"/>
      <c r="AN215" s="1"/>
      <c r="AO215" s="1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4"/>
      <c r="BY215" s="136"/>
      <c r="BZ215" s="136">
        <v>3.1</v>
      </c>
      <c r="CA215" s="136"/>
      <c r="CB215" s="136"/>
      <c r="CC215" s="136"/>
      <c r="CD215" s="136"/>
      <c r="CE215" s="136"/>
      <c r="CF215" s="136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DA215" s="395">
        <f>DA214/40</f>
        <v>2.5</v>
      </c>
    </row>
    <row r="216" spans="1:105" ht="20.25" customHeight="1" x14ac:dyDescent="0.35">
      <c r="A216" s="95"/>
      <c r="B216" s="200" t="s">
        <v>1640</v>
      </c>
      <c r="C216" s="200" t="s">
        <v>296</v>
      </c>
      <c r="D216" s="239" t="s">
        <v>1101</v>
      </c>
      <c r="E216" s="95" t="s">
        <v>52</v>
      </c>
      <c r="F216" s="95" t="s">
        <v>1641</v>
      </c>
      <c r="G216" s="95" t="s">
        <v>35</v>
      </c>
      <c r="H216" s="237"/>
      <c r="I216" s="4"/>
      <c r="J216" s="4"/>
      <c r="K216" s="4"/>
      <c r="L216" s="4"/>
      <c r="M216" s="4"/>
      <c r="N216" s="108"/>
      <c r="O216" s="4"/>
      <c r="P216" s="4"/>
      <c r="Q216" s="4"/>
      <c r="R216" s="4"/>
      <c r="S216" s="4"/>
      <c r="T216" s="4"/>
      <c r="U216" s="4"/>
      <c r="V216" s="238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1"/>
      <c r="AL216" s="1"/>
      <c r="AM216" s="1"/>
      <c r="AN216" s="1"/>
      <c r="AO216" s="1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4"/>
      <c r="BY216" s="136"/>
      <c r="BZ216" s="136"/>
      <c r="CA216" s="136"/>
      <c r="CB216" s="136"/>
      <c r="CC216" s="136"/>
      <c r="CD216" s="136"/>
      <c r="CE216" s="136"/>
      <c r="CF216" s="136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DA216" s="379">
        <v>140</v>
      </c>
    </row>
    <row r="217" spans="1:105" ht="20.25" customHeight="1" x14ac:dyDescent="0.35">
      <c r="A217" s="95" t="s">
        <v>65</v>
      </c>
      <c r="B217" s="200" t="s">
        <v>1642</v>
      </c>
      <c r="C217" s="200" t="s">
        <v>296</v>
      </c>
      <c r="D217" s="239" t="s">
        <v>1101</v>
      </c>
      <c r="E217" s="95" t="s">
        <v>52</v>
      </c>
      <c r="F217" s="95" t="s">
        <v>66</v>
      </c>
      <c r="G217" s="95" t="s">
        <v>51</v>
      </c>
      <c r="H217" s="247">
        <f>120/10*1.2</f>
        <v>14.399999999999999</v>
      </c>
      <c r="I217" s="240">
        <v>18</v>
      </c>
      <c r="J217" s="4"/>
      <c r="K217" s="4"/>
      <c r="L217" s="4">
        <v>19</v>
      </c>
      <c r="M217" s="4"/>
      <c r="N217" s="108"/>
      <c r="O217" s="4">
        <v>19</v>
      </c>
      <c r="P217" s="240">
        <v>19</v>
      </c>
      <c r="Q217" s="146">
        <v>19</v>
      </c>
      <c r="R217" s="146">
        <v>19</v>
      </c>
      <c r="S217" s="4">
        <v>20</v>
      </c>
      <c r="T217" s="4"/>
      <c r="U217" s="4"/>
      <c r="V217" s="146">
        <v>20</v>
      </c>
      <c r="W217" s="4"/>
      <c r="X217" s="4"/>
      <c r="Y217" s="4"/>
      <c r="Z217" s="4"/>
      <c r="AA217" s="4"/>
      <c r="AB217" s="4"/>
      <c r="AC217" s="146"/>
      <c r="AD217" s="4"/>
      <c r="AE217" s="4"/>
      <c r="AF217" s="4"/>
      <c r="AG217" s="4"/>
      <c r="AH217" s="146">
        <v>20</v>
      </c>
      <c r="AI217" s="4"/>
      <c r="AJ217" s="4"/>
      <c r="AK217" s="1"/>
      <c r="AL217" s="1"/>
      <c r="AM217" s="1"/>
      <c r="AN217" s="1"/>
      <c r="AO217" s="1"/>
      <c r="AP217" s="4">
        <v>13</v>
      </c>
      <c r="AQ217" s="4">
        <v>13</v>
      </c>
      <c r="AR217" s="4">
        <v>13</v>
      </c>
      <c r="AS217" s="4"/>
      <c r="AT217" s="4">
        <v>13</v>
      </c>
      <c r="AU217" s="4">
        <v>13</v>
      </c>
      <c r="AV217" s="4">
        <v>13</v>
      </c>
      <c r="AW217" s="4">
        <v>13</v>
      </c>
      <c r="AX217" s="4">
        <v>13</v>
      </c>
      <c r="AY217" s="4">
        <v>13</v>
      </c>
      <c r="AZ217" s="4">
        <v>13</v>
      </c>
      <c r="BA217" s="4">
        <v>13</v>
      </c>
      <c r="BB217" s="4"/>
      <c r="BC217" s="4">
        <v>13</v>
      </c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4"/>
      <c r="BY217" s="136"/>
      <c r="BZ217" s="136"/>
      <c r="CA217" s="136"/>
      <c r="CB217" s="136"/>
      <c r="CC217" s="136"/>
      <c r="CD217" s="136"/>
      <c r="CE217" s="136"/>
      <c r="CF217" s="136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DA217" s="379">
        <f>DA216/10</f>
        <v>14</v>
      </c>
    </row>
    <row r="218" spans="1:105" ht="20.25" customHeight="1" x14ac:dyDescent="0.35">
      <c r="A218" s="95"/>
      <c r="B218" s="200" t="s">
        <v>2017</v>
      </c>
      <c r="C218" s="200" t="s">
        <v>2018</v>
      </c>
      <c r="D218" s="239" t="s">
        <v>1101</v>
      </c>
      <c r="E218" s="95" t="s">
        <v>52</v>
      </c>
      <c r="F218" s="95" t="s">
        <v>66</v>
      </c>
      <c r="G218" s="95" t="s">
        <v>51</v>
      </c>
      <c r="H218" s="247"/>
      <c r="I218" s="240"/>
      <c r="J218" s="4"/>
      <c r="K218" s="4"/>
      <c r="L218" s="4"/>
      <c r="M218" s="4"/>
      <c r="N218" s="108"/>
      <c r="O218" s="4"/>
      <c r="P218" s="240"/>
      <c r="Q218" s="146"/>
      <c r="R218" s="146"/>
      <c r="S218" s="4"/>
      <c r="T218" s="4"/>
      <c r="U218" s="4"/>
      <c r="V218" s="146"/>
      <c r="W218" s="4"/>
      <c r="X218" s="4"/>
      <c r="Y218" s="4"/>
      <c r="Z218" s="4"/>
      <c r="AA218" s="4"/>
      <c r="AB218" s="4"/>
      <c r="AC218" s="146">
        <v>18</v>
      </c>
      <c r="AD218" s="4"/>
      <c r="AE218" s="4"/>
      <c r="AF218" s="4"/>
      <c r="AG218" s="4"/>
      <c r="AH218" s="146"/>
      <c r="AI218" s="4"/>
      <c r="AJ218" s="4"/>
      <c r="AK218" s="1"/>
      <c r="AL218" s="1"/>
      <c r="AM218" s="1"/>
      <c r="AN218" s="1"/>
      <c r="AO218" s="1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4"/>
      <c r="BY218" s="136"/>
      <c r="BZ218" s="136"/>
      <c r="CA218" s="136"/>
      <c r="CB218" s="136"/>
      <c r="CC218" s="136"/>
      <c r="CD218" s="136"/>
      <c r="CE218" s="136"/>
      <c r="CF218" s="136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DA218" s="379">
        <v>13.5</v>
      </c>
    </row>
    <row r="219" spans="1:105" ht="20.25" customHeight="1" x14ac:dyDescent="0.35">
      <c r="A219" s="95" t="s">
        <v>728</v>
      </c>
      <c r="B219" s="200" t="s">
        <v>1643</v>
      </c>
      <c r="C219" s="200" t="s">
        <v>623</v>
      </c>
      <c r="D219" s="239" t="s">
        <v>1229</v>
      </c>
      <c r="E219" s="95" t="s">
        <v>36</v>
      </c>
      <c r="F219" s="95" t="s">
        <v>1362</v>
      </c>
      <c r="G219" s="95" t="s">
        <v>40</v>
      </c>
      <c r="H219" s="237">
        <v>16</v>
      </c>
      <c r="I219" s="240">
        <v>16</v>
      </c>
      <c r="J219" s="4">
        <v>16</v>
      </c>
      <c r="K219" s="4"/>
      <c r="L219" s="4"/>
      <c r="M219" s="4"/>
      <c r="N219" s="108"/>
      <c r="O219" s="4"/>
      <c r="P219" s="4"/>
      <c r="Q219" s="4"/>
      <c r="R219" s="4"/>
      <c r="S219" s="4"/>
      <c r="T219" s="4"/>
      <c r="U219" s="4"/>
      <c r="V219" s="238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1"/>
      <c r="AL219" s="1"/>
      <c r="AM219" s="1"/>
      <c r="AN219" s="1"/>
      <c r="AO219" s="1"/>
      <c r="AP219" s="4">
        <v>16</v>
      </c>
      <c r="AQ219" s="4">
        <v>16</v>
      </c>
      <c r="AR219" s="4">
        <v>16</v>
      </c>
      <c r="AS219" s="4"/>
      <c r="AT219" s="4">
        <v>16</v>
      </c>
      <c r="AU219" s="4">
        <v>16</v>
      </c>
      <c r="AV219" s="4">
        <v>16</v>
      </c>
      <c r="AW219" s="4">
        <v>16</v>
      </c>
      <c r="AX219" s="4">
        <v>16</v>
      </c>
      <c r="AY219" s="4">
        <v>16</v>
      </c>
      <c r="AZ219" s="4">
        <v>16</v>
      </c>
      <c r="BA219" s="4">
        <v>16</v>
      </c>
      <c r="BB219" s="4"/>
      <c r="BC219" s="4">
        <v>16</v>
      </c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4"/>
      <c r="BY219" s="136"/>
      <c r="BZ219" s="136"/>
      <c r="CA219" s="136"/>
      <c r="CB219" s="136"/>
      <c r="CC219" s="136"/>
      <c r="CD219" s="136"/>
      <c r="CE219" s="136"/>
      <c r="CF219" s="136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DA219" s="379">
        <v>12</v>
      </c>
    </row>
    <row r="220" spans="1:105" ht="20.25" customHeight="1" x14ac:dyDescent="0.35">
      <c r="A220" s="6"/>
      <c r="B220" s="200" t="s">
        <v>1644</v>
      </c>
      <c r="C220" s="200" t="s">
        <v>337</v>
      </c>
      <c r="D220" s="6"/>
      <c r="E220" s="95"/>
      <c r="F220" s="95" t="s">
        <v>737</v>
      </c>
      <c r="G220" s="6" t="s">
        <v>35</v>
      </c>
      <c r="H220" s="237">
        <v>80</v>
      </c>
      <c r="I220" s="4"/>
      <c r="J220" s="4"/>
      <c r="K220" s="4"/>
      <c r="L220" s="4">
        <v>90</v>
      </c>
      <c r="M220" s="4">
        <v>90</v>
      </c>
      <c r="N220" s="108"/>
      <c r="O220" s="4"/>
      <c r="P220" s="4"/>
      <c r="Q220" s="4"/>
      <c r="R220" s="4">
        <v>90</v>
      </c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1"/>
      <c r="AL220" s="1"/>
      <c r="AM220" s="1"/>
      <c r="AN220" s="1"/>
      <c r="AO220" s="1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4"/>
      <c r="BY220" s="136"/>
      <c r="BZ220" s="136"/>
      <c r="CA220" s="136"/>
      <c r="CB220" s="136"/>
      <c r="CC220" s="136"/>
      <c r="CD220" s="136"/>
      <c r="CE220" s="136"/>
      <c r="CF220" s="136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DA220" s="379">
        <f>2.9*25</f>
        <v>72.5</v>
      </c>
    </row>
    <row r="221" spans="1:105" ht="20.25" customHeight="1" x14ac:dyDescent="0.35">
      <c r="A221" s="95"/>
      <c r="B221" s="200" t="s">
        <v>1645</v>
      </c>
      <c r="C221" s="200" t="s">
        <v>337</v>
      </c>
      <c r="D221" s="239" t="s">
        <v>1229</v>
      </c>
      <c r="E221" s="95" t="s">
        <v>36</v>
      </c>
      <c r="F221" s="95" t="s">
        <v>531</v>
      </c>
      <c r="G221" s="95" t="s">
        <v>42</v>
      </c>
      <c r="H221" s="237">
        <v>40</v>
      </c>
      <c r="I221" s="240">
        <v>44</v>
      </c>
      <c r="J221" s="4"/>
      <c r="K221" s="4"/>
      <c r="L221" s="4">
        <v>45</v>
      </c>
      <c r="M221" s="4">
        <v>45</v>
      </c>
      <c r="N221" s="108"/>
      <c r="O221" s="4"/>
      <c r="P221" s="240">
        <v>45</v>
      </c>
      <c r="Q221" s="4"/>
      <c r="R221" s="4">
        <v>45</v>
      </c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1"/>
      <c r="AL221" s="1"/>
      <c r="AM221" s="1"/>
      <c r="AN221" s="1"/>
      <c r="AO221" s="1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4"/>
      <c r="BY221" s="136"/>
      <c r="BZ221" s="136"/>
      <c r="CA221" s="136"/>
      <c r="CB221" s="136"/>
      <c r="CC221" s="136"/>
      <c r="CD221" s="136"/>
      <c r="CE221" s="136"/>
      <c r="CF221" s="136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DA221" s="379">
        <f>DA220/2</f>
        <v>36.25</v>
      </c>
    </row>
    <row r="222" spans="1:105" ht="20.25" customHeight="1" x14ac:dyDescent="0.35">
      <c r="A222" s="95"/>
      <c r="B222" s="200" t="s">
        <v>2262</v>
      </c>
      <c r="C222" s="200" t="s">
        <v>337</v>
      </c>
      <c r="D222" s="239" t="s">
        <v>1229</v>
      </c>
      <c r="E222" s="95"/>
      <c r="F222" s="95" t="s">
        <v>34</v>
      </c>
      <c r="G222" s="95" t="s">
        <v>42</v>
      </c>
      <c r="H222" s="237">
        <v>3.2</v>
      </c>
      <c r="I222" s="240"/>
      <c r="J222" s="4"/>
      <c r="K222" s="4"/>
      <c r="L222" s="4"/>
      <c r="M222" s="4"/>
      <c r="N222" s="108"/>
      <c r="O222" s="4"/>
      <c r="P222" s="240"/>
      <c r="Q222" s="4"/>
      <c r="R222" s="4">
        <v>3.6</v>
      </c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1"/>
      <c r="AL222" s="1"/>
      <c r="AM222" s="1"/>
      <c r="AN222" s="1"/>
      <c r="AO222" s="1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4"/>
      <c r="BY222" s="136"/>
      <c r="BZ222" s="136"/>
      <c r="CA222" s="136"/>
      <c r="CB222" s="136"/>
      <c r="CC222" s="136"/>
      <c r="CD222" s="136"/>
      <c r="CE222" s="136"/>
      <c r="CF222" s="136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DA222" s="379">
        <v>2.9</v>
      </c>
    </row>
    <row r="223" spans="1:105" ht="20.25" customHeight="1" x14ac:dyDescent="0.35">
      <c r="A223" s="95"/>
      <c r="B223" s="200" t="s">
        <v>1646</v>
      </c>
      <c r="C223" s="200" t="s">
        <v>1242</v>
      </c>
      <c r="D223" s="239" t="s">
        <v>1229</v>
      </c>
      <c r="E223" s="95" t="s">
        <v>36</v>
      </c>
      <c r="F223" s="95" t="s">
        <v>34</v>
      </c>
      <c r="G223" s="95" t="s">
        <v>42</v>
      </c>
      <c r="H223" s="237">
        <f>AVERAGE(I223:BC223)</f>
        <v>6.6</v>
      </c>
      <c r="I223" s="240">
        <v>6</v>
      </c>
      <c r="J223" s="4">
        <v>6.5</v>
      </c>
      <c r="K223" s="4"/>
      <c r="L223" s="4"/>
      <c r="M223" s="4"/>
      <c r="N223" s="108"/>
      <c r="O223" s="4"/>
      <c r="P223" s="240">
        <v>7</v>
      </c>
      <c r="Q223" s="4"/>
      <c r="R223" s="4"/>
      <c r="S223" s="4"/>
      <c r="T223" s="4"/>
      <c r="U223" s="4"/>
      <c r="V223" s="4">
        <v>7</v>
      </c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1"/>
      <c r="AL223" s="1"/>
      <c r="AM223" s="1"/>
      <c r="AN223" s="1"/>
      <c r="AO223" s="1"/>
      <c r="AP223" s="4"/>
      <c r="AQ223" s="4"/>
      <c r="AR223" s="4"/>
      <c r="AS223" s="4"/>
      <c r="AT223" s="4">
        <v>6.5</v>
      </c>
      <c r="AU223" s="4"/>
      <c r="AV223" s="4"/>
      <c r="AW223" s="4"/>
      <c r="AX223" s="4"/>
      <c r="AY223" s="4"/>
      <c r="AZ223" s="4"/>
      <c r="BA223" s="4"/>
      <c r="BB223" s="4"/>
      <c r="BC223" s="4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4"/>
      <c r="BY223" s="136"/>
      <c r="BZ223" s="136"/>
      <c r="CA223" s="136"/>
      <c r="CB223" s="136"/>
      <c r="CC223" s="136"/>
      <c r="CD223" s="136"/>
      <c r="CE223" s="136"/>
      <c r="CF223" s="136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DA223" s="379">
        <v>3.8</v>
      </c>
    </row>
    <row r="224" spans="1:105" ht="20.25" customHeight="1" x14ac:dyDescent="0.35">
      <c r="A224" s="95"/>
      <c r="B224" s="200" t="s">
        <v>2170</v>
      </c>
      <c r="C224" s="200" t="s">
        <v>1242</v>
      </c>
      <c r="D224" s="239" t="s">
        <v>1229</v>
      </c>
      <c r="E224" s="95" t="s">
        <v>36</v>
      </c>
      <c r="F224" s="95" t="s">
        <v>1079</v>
      </c>
      <c r="G224" s="95"/>
      <c r="H224" s="237"/>
      <c r="I224" s="240"/>
      <c r="J224" s="4"/>
      <c r="K224" s="4"/>
      <c r="L224" s="4"/>
      <c r="M224" s="4"/>
      <c r="N224" s="108"/>
      <c r="O224" s="4"/>
      <c r="P224" s="240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1"/>
      <c r="AL224" s="1"/>
      <c r="AM224" s="1"/>
      <c r="AN224" s="1"/>
      <c r="AO224" s="1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4"/>
      <c r="BY224" s="136"/>
      <c r="BZ224" s="136"/>
      <c r="CA224" s="136"/>
      <c r="CB224" s="136"/>
      <c r="CC224" s="136"/>
      <c r="CD224" s="136"/>
      <c r="CE224" s="136"/>
      <c r="CF224" s="136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DA224" s="379">
        <f>DA223/2</f>
        <v>1.9</v>
      </c>
    </row>
    <row r="225" spans="1:105" ht="20.25" customHeight="1" x14ac:dyDescent="0.35">
      <c r="A225" s="6"/>
      <c r="B225" s="200" t="s">
        <v>1647</v>
      </c>
      <c r="C225" s="200" t="s">
        <v>685</v>
      </c>
      <c r="D225" s="95" t="s">
        <v>1896</v>
      </c>
      <c r="E225" s="95" t="s">
        <v>182</v>
      </c>
      <c r="F225" s="95" t="s">
        <v>134</v>
      </c>
      <c r="G225" s="95" t="s">
        <v>130</v>
      </c>
      <c r="H225" s="237">
        <v>4</v>
      </c>
      <c r="I225" s="4">
        <v>0</v>
      </c>
      <c r="J225" s="4">
        <v>4</v>
      </c>
      <c r="K225" s="4"/>
      <c r="L225" s="4"/>
      <c r="M225" s="4"/>
      <c r="N225" s="108"/>
      <c r="O225" s="4">
        <v>4</v>
      </c>
      <c r="P225" s="240">
        <v>4</v>
      </c>
      <c r="Q225" s="4">
        <v>0</v>
      </c>
      <c r="R225" s="4"/>
      <c r="S225" s="4"/>
      <c r="T225" s="4"/>
      <c r="U225" s="4"/>
      <c r="V225" s="238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1"/>
      <c r="AL225" s="1"/>
      <c r="AM225" s="1"/>
      <c r="AN225" s="1"/>
      <c r="AO225" s="1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>
        <v>4.5</v>
      </c>
      <c r="BV225" s="1"/>
      <c r="BW225" s="1"/>
      <c r="BX225" s="4"/>
      <c r="BY225" s="136"/>
      <c r="BZ225" s="136">
        <v>4.5</v>
      </c>
      <c r="CA225" s="136"/>
      <c r="CB225" s="136"/>
      <c r="CC225" s="136"/>
      <c r="CD225" s="136"/>
      <c r="CE225" s="136"/>
      <c r="CF225" s="136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DA225" s="379">
        <f>72/24</f>
        <v>3</v>
      </c>
    </row>
    <row r="226" spans="1:105" ht="20.25" customHeight="1" x14ac:dyDescent="0.35">
      <c r="A226" s="95" t="s">
        <v>1248</v>
      </c>
      <c r="B226" s="200" t="s">
        <v>1648</v>
      </c>
      <c r="C226" s="200" t="s">
        <v>278</v>
      </c>
      <c r="D226" s="239" t="s">
        <v>1177</v>
      </c>
      <c r="E226" s="95" t="s">
        <v>1249</v>
      </c>
      <c r="F226" s="95" t="s">
        <v>529</v>
      </c>
      <c r="G226" s="95"/>
      <c r="H226" s="237">
        <v>7</v>
      </c>
      <c r="I226" s="240">
        <v>9</v>
      </c>
      <c r="J226" s="4"/>
      <c r="K226" s="4"/>
      <c r="L226" s="4"/>
      <c r="M226" s="4"/>
      <c r="N226" s="108"/>
      <c r="O226" s="4"/>
      <c r="P226" s="4"/>
      <c r="Q226" s="4">
        <v>9</v>
      </c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>
        <v>10</v>
      </c>
      <c r="AF226" s="4"/>
      <c r="AG226" s="4"/>
      <c r="AH226" s="4"/>
      <c r="AI226" s="4"/>
      <c r="AJ226" s="4"/>
      <c r="AK226" s="1"/>
      <c r="AL226" s="1"/>
      <c r="AM226" s="1"/>
      <c r="AN226" s="1"/>
      <c r="AO226" s="1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>
        <v>9</v>
      </c>
      <c r="BR226" s="1">
        <v>9</v>
      </c>
      <c r="BS226" s="1">
        <f>9.9/110*100</f>
        <v>9</v>
      </c>
      <c r="BT226" s="1"/>
      <c r="BU226" s="1">
        <v>9.5</v>
      </c>
      <c r="BV226" s="1"/>
      <c r="BW226" s="1"/>
      <c r="BX226" s="4"/>
      <c r="BY226" s="136"/>
      <c r="BZ226" s="136"/>
      <c r="CA226" s="136"/>
      <c r="CB226" s="136"/>
      <c r="CC226" s="136"/>
      <c r="CD226" s="136"/>
      <c r="CE226" s="136"/>
      <c r="CF226" s="136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DA226" s="379">
        <v>7.2</v>
      </c>
    </row>
    <row r="227" spans="1:105" ht="20.25" customHeight="1" x14ac:dyDescent="0.35">
      <c r="A227" s="95"/>
      <c r="B227" s="200" t="s">
        <v>2015</v>
      </c>
      <c r="C227" s="200" t="s">
        <v>278</v>
      </c>
      <c r="D227" s="239" t="s">
        <v>1177</v>
      </c>
      <c r="E227" s="95" t="s">
        <v>2016</v>
      </c>
      <c r="F227" s="95" t="s">
        <v>529</v>
      </c>
      <c r="G227" s="95"/>
      <c r="H227" s="237"/>
      <c r="I227" s="240"/>
      <c r="J227" s="4"/>
      <c r="K227" s="4"/>
      <c r="L227" s="4"/>
      <c r="M227" s="4"/>
      <c r="N227" s="108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1"/>
      <c r="AL227" s="1"/>
      <c r="AM227" s="1"/>
      <c r="AN227" s="1"/>
      <c r="AO227" s="1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>
        <v>9.5</v>
      </c>
      <c r="BV227" s="1"/>
      <c r="BW227" s="1"/>
      <c r="BX227" s="4"/>
      <c r="BY227" s="136"/>
      <c r="BZ227" s="136"/>
      <c r="CA227" s="136"/>
      <c r="CB227" s="136"/>
      <c r="CC227" s="136"/>
      <c r="CD227" s="136"/>
      <c r="CE227" s="136"/>
      <c r="CF227" s="136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DA227" s="379">
        <v>7.2</v>
      </c>
    </row>
    <row r="228" spans="1:105" ht="20.25" customHeight="1" x14ac:dyDescent="0.35">
      <c r="A228" s="95"/>
      <c r="B228" s="200" t="s">
        <v>1649</v>
      </c>
      <c r="C228" s="200" t="s">
        <v>1170</v>
      </c>
      <c r="D228" s="239" t="s">
        <v>1177</v>
      </c>
      <c r="E228" s="95"/>
      <c r="F228" s="95" t="s">
        <v>529</v>
      </c>
      <c r="G228" s="95"/>
      <c r="H228" s="237"/>
      <c r="I228" s="240">
        <v>9.5</v>
      </c>
      <c r="J228" s="4"/>
      <c r="K228" s="4"/>
      <c r="L228" s="4"/>
      <c r="M228" s="4"/>
      <c r="N228" s="108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1"/>
      <c r="AL228" s="1"/>
      <c r="AM228" s="1"/>
      <c r="AN228" s="1"/>
      <c r="AO228" s="1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>
        <v>10</v>
      </c>
      <c r="BR228" s="1"/>
      <c r="BS228" s="1"/>
      <c r="BT228" s="1"/>
      <c r="BU228" s="1"/>
      <c r="BV228" s="1"/>
      <c r="BW228" s="1"/>
      <c r="BX228" s="4"/>
      <c r="BY228" s="136"/>
      <c r="BZ228" s="136"/>
      <c r="CA228" s="136"/>
      <c r="CB228" s="136"/>
      <c r="CC228" s="136"/>
      <c r="CD228" s="136"/>
      <c r="CE228" s="136"/>
      <c r="CF228" s="136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DA228" s="379">
        <v>7.2</v>
      </c>
    </row>
    <row r="229" spans="1:105" ht="20.25" customHeight="1" x14ac:dyDescent="0.35">
      <c r="A229" s="95" t="s">
        <v>121</v>
      </c>
      <c r="B229" s="200" t="s">
        <v>1650</v>
      </c>
      <c r="C229" s="200" t="s">
        <v>332</v>
      </c>
      <c r="D229" s="239" t="s">
        <v>1232</v>
      </c>
      <c r="E229" s="95" t="s">
        <v>36</v>
      </c>
      <c r="F229" s="95" t="s">
        <v>108</v>
      </c>
      <c r="G229" s="95" t="s">
        <v>33</v>
      </c>
      <c r="H229" s="237">
        <v>0.5</v>
      </c>
      <c r="I229" s="240">
        <v>0.8</v>
      </c>
      <c r="J229" s="4"/>
      <c r="K229" s="4"/>
      <c r="L229" s="4"/>
      <c r="M229" s="4"/>
      <c r="N229" s="108"/>
      <c r="O229" s="4"/>
      <c r="P229" s="240">
        <v>0.6</v>
      </c>
      <c r="Q229" s="4"/>
      <c r="R229" s="4"/>
      <c r="S229" s="4">
        <v>0.9</v>
      </c>
      <c r="T229" s="4"/>
      <c r="U229" s="4"/>
      <c r="V229" s="238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1"/>
      <c r="AL229" s="1"/>
      <c r="AM229" s="1"/>
      <c r="AN229" s="1"/>
      <c r="AO229" s="1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>
        <v>0.6</v>
      </c>
      <c r="BP229" s="1"/>
      <c r="BQ229" s="1"/>
      <c r="BR229" s="1"/>
      <c r="BS229" s="1"/>
      <c r="BT229" s="1"/>
      <c r="BU229" s="1"/>
      <c r="BV229" s="1"/>
      <c r="BW229" s="1"/>
      <c r="BX229" s="4"/>
      <c r="BY229" s="136"/>
      <c r="BZ229" s="136">
        <v>0.8</v>
      </c>
      <c r="CA229" s="136"/>
      <c r="CB229" s="136"/>
      <c r="CC229" s="136"/>
      <c r="CD229" s="136"/>
      <c r="CE229" s="136"/>
      <c r="CF229" s="136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DA229" s="379">
        <f>15.55/48</f>
        <v>0.32395833333333335</v>
      </c>
    </row>
    <row r="230" spans="1:105" ht="20.25" customHeight="1" x14ac:dyDescent="0.35">
      <c r="A230" s="95" t="s">
        <v>126</v>
      </c>
      <c r="B230" s="200" t="s">
        <v>1651</v>
      </c>
      <c r="C230" s="200" t="s">
        <v>334</v>
      </c>
      <c r="D230" s="239" t="s">
        <v>1232</v>
      </c>
      <c r="E230" s="95" t="s">
        <v>36</v>
      </c>
      <c r="F230" s="95" t="s">
        <v>529</v>
      </c>
      <c r="G230" s="95" t="s">
        <v>42</v>
      </c>
      <c r="H230" s="248">
        <f>4/5*1.3</f>
        <v>1.04</v>
      </c>
      <c r="I230" s="240">
        <v>1</v>
      </c>
      <c r="J230" s="4">
        <v>1.5</v>
      </c>
      <c r="K230" s="4"/>
      <c r="L230" s="4"/>
      <c r="M230" s="4"/>
      <c r="N230" s="108"/>
      <c r="O230" s="4"/>
      <c r="P230" s="4"/>
      <c r="Q230" s="4"/>
      <c r="R230" s="4">
        <v>1.2</v>
      </c>
      <c r="S230" s="4">
        <v>1.2</v>
      </c>
      <c r="T230" s="4"/>
      <c r="U230" s="4"/>
      <c r="V230" s="211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1"/>
      <c r="AL230" s="1"/>
      <c r="AM230" s="1"/>
      <c r="AN230" s="1"/>
      <c r="AO230" s="1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>
        <v>1.5</v>
      </c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4"/>
      <c r="BY230" s="136"/>
      <c r="BZ230" s="136"/>
      <c r="CA230" s="136"/>
      <c r="CB230" s="136">
        <v>1.1000000000000001</v>
      </c>
      <c r="CC230" s="136"/>
      <c r="CD230" s="136"/>
      <c r="CE230" s="136"/>
      <c r="CF230" s="136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DA230" s="379">
        <f>4.3/5</f>
        <v>0.86</v>
      </c>
    </row>
    <row r="231" spans="1:105" ht="20.25" customHeight="1" x14ac:dyDescent="0.35">
      <c r="A231" s="95"/>
      <c r="B231" s="200" t="s">
        <v>1652</v>
      </c>
      <c r="C231" s="200" t="s">
        <v>1653</v>
      </c>
      <c r="D231" s="95" t="s">
        <v>846</v>
      </c>
      <c r="E231" s="95" t="s">
        <v>36</v>
      </c>
      <c r="F231" s="200"/>
      <c r="G231" s="95" t="s">
        <v>35</v>
      </c>
      <c r="H231" s="248"/>
      <c r="I231" s="240"/>
      <c r="J231" s="4"/>
      <c r="K231" s="4"/>
      <c r="L231" s="4"/>
      <c r="M231" s="4"/>
      <c r="N231" s="108"/>
      <c r="O231" s="4"/>
      <c r="P231" s="4"/>
      <c r="Q231" s="4"/>
      <c r="R231" s="4"/>
      <c r="S231" s="4"/>
      <c r="T231" s="4"/>
      <c r="U231" s="4"/>
      <c r="V231" s="211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1"/>
      <c r="AL231" s="1"/>
      <c r="AM231" s="1"/>
      <c r="AN231" s="1"/>
      <c r="AO231" s="1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4"/>
      <c r="BY231" s="136"/>
      <c r="BZ231" s="136"/>
      <c r="CA231" s="136"/>
      <c r="CB231" s="136"/>
      <c r="CC231" s="136"/>
      <c r="CD231" s="136"/>
      <c r="CE231" s="136"/>
      <c r="CF231" s="136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DA231" s="379">
        <v>33.5</v>
      </c>
    </row>
    <row r="232" spans="1:105" ht="20.25" customHeight="1" x14ac:dyDescent="0.35">
      <c r="A232" s="95"/>
      <c r="B232" s="200" t="s">
        <v>1654</v>
      </c>
      <c r="C232" s="200" t="s">
        <v>532</v>
      </c>
      <c r="D232" s="95" t="s">
        <v>846</v>
      </c>
      <c r="E232" s="95" t="s">
        <v>36</v>
      </c>
      <c r="F232" s="62"/>
      <c r="G232" s="95"/>
      <c r="H232" s="248"/>
      <c r="I232" s="240"/>
      <c r="J232" s="4"/>
      <c r="K232" s="4"/>
      <c r="L232" s="4"/>
      <c r="M232" s="4"/>
      <c r="N232" s="108"/>
      <c r="O232" s="4"/>
      <c r="P232" s="4"/>
      <c r="Q232" s="4"/>
      <c r="R232" s="4"/>
      <c r="S232" s="4"/>
      <c r="T232" s="4"/>
      <c r="U232" s="4"/>
      <c r="V232" s="211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1"/>
      <c r="AL232" s="1"/>
      <c r="AM232" s="1"/>
      <c r="AN232" s="1"/>
      <c r="AO232" s="1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4"/>
      <c r="BY232" s="136"/>
      <c r="BZ232" s="136"/>
      <c r="CA232" s="136"/>
      <c r="CB232" s="136"/>
      <c r="CC232" s="136"/>
      <c r="CD232" s="136"/>
      <c r="CE232" s="136"/>
      <c r="CF232" s="136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DA232" s="379">
        <v>33.5</v>
      </c>
    </row>
    <row r="233" spans="1:105" ht="20.25" customHeight="1" x14ac:dyDescent="0.35">
      <c r="A233" s="6"/>
      <c r="B233" s="200" t="s">
        <v>1655</v>
      </c>
      <c r="C233" s="200" t="s">
        <v>335</v>
      </c>
      <c r="D233" s="239" t="s">
        <v>1177</v>
      </c>
      <c r="E233" s="95" t="s">
        <v>36</v>
      </c>
      <c r="F233" s="95" t="s">
        <v>1080</v>
      </c>
      <c r="G233" s="95" t="s">
        <v>42</v>
      </c>
      <c r="H233" s="248">
        <v>6.25</v>
      </c>
      <c r="I233" s="4"/>
      <c r="J233" s="4"/>
      <c r="K233" s="4"/>
      <c r="L233" s="4"/>
      <c r="M233" s="4"/>
      <c r="N233" s="108"/>
      <c r="O233" s="4"/>
      <c r="P233" s="4"/>
      <c r="Q233" s="4"/>
      <c r="R233" s="4"/>
      <c r="S233" s="4"/>
      <c r="T233" s="4"/>
      <c r="U233" s="4"/>
      <c r="V233" s="238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1"/>
      <c r="AL233" s="1"/>
      <c r="AM233" s="1"/>
      <c r="AN233" s="1"/>
      <c r="AO233" s="1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36">
        <v>8</v>
      </c>
      <c r="BV233" s="1"/>
      <c r="BW233" s="1"/>
      <c r="BX233" s="4"/>
      <c r="BY233" s="136">
        <v>8</v>
      </c>
      <c r="BZ233" s="136">
        <v>8</v>
      </c>
      <c r="CA233" s="136"/>
      <c r="CB233" s="136"/>
      <c r="CC233" s="136"/>
      <c r="CD233" s="136"/>
      <c r="CE233" s="136"/>
      <c r="CF233" s="136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DA233" s="379">
        <v>6.25</v>
      </c>
    </row>
    <row r="234" spans="1:105" ht="20.25" customHeight="1" x14ac:dyDescent="0.35">
      <c r="A234" s="95" t="s">
        <v>766</v>
      </c>
      <c r="B234" s="200" t="s">
        <v>1656</v>
      </c>
      <c r="C234" s="200" t="s">
        <v>523</v>
      </c>
      <c r="D234" s="239" t="s">
        <v>1101</v>
      </c>
      <c r="E234" s="95" t="s">
        <v>36</v>
      </c>
      <c r="F234" s="95" t="s">
        <v>34</v>
      </c>
      <c r="G234" s="95" t="s">
        <v>42</v>
      </c>
      <c r="H234" s="237">
        <v>22</v>
      </c>
      <c r="I234" s="240">
        <v>22</v>
      </c>
      <c r="J234" s="4">
        <v>18.5</v>
      </c>
      <c r="K234" s="4"/>
      <c r="L234" s="4"/>
      <c r="M234" s="4"/>
      <c r="N234" s="108"/>
      <c r="O234" s="4"/>
      <c r="P234" s="4"/>
      <c r="Q234" s="4"/>
      <c r="R234" s="4"/>
      <c r="S234" s="4"/>
      <c r="T234" s="4"/>
      <c r="U234" s="4"/>
      <c r="V234" s="238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1"/>
      <c r="AL234" s="1"/>
      <c r="AM234" s="1"/>
      <c r="AN234" s="1"/>
      <c r="AO234" s="1">
        <v>18.5</v>
      </c>
      <c r="AP234" s="4"/>
      <c r="AQ234" s="4"/>
      <c r="AR234" s="4"/>
      <c r="AS234" s="4"/>
      <c r="AT234" s="4">
        <v>18.5</v>
      </c>
      <c r="AU234" s="4"/>
      <c r="AV234" s="4"/>
      <c r="AW234" s="4"/>
      <c r="AX234" s="4"/>
      <c r="AY234" s="4"/>
      <c r="AZ234" s="4"/>
      <c r="BA234" s="4"/>
      <c r="BB234" s="4"/>
      <c r="BC234" s="4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>
        <v>22</v>
      </c>
      <c r="BV234" s="1"/>
      <c r="BW234" s="1"/>
      <c r="BX234" s="4"/>
      <c r="BY234" s="136">
        <v>0</v>
      </c>
      <c r="BZ234" s="136">
        <v>0</v>
      </c>
      <c r="CA234" s="136"/>
      <c r="CB234" s="136"/>
      <c r="CC234" s="136"/>
      <c r="CD234" s="136"/>
      <c r="CE234" s="136"/>
      <c r="CF234" s="136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DA234" s="379">
        <f>218/15</f>
        <v>14.533333333333333</v>
      </c>
    </row>
    <row r="235" spans="1:105" ht="20.25" customHeight="1" x14ac:dyDescent="0.35">
      <c r="A235" s="6"/>
      <c r="B235" s="200" t="s">
        <v>1657</v>
      </c>
      <c r="C235" s="200" t="s">
        <v>339</v>
      </c>
      <c r="D235" s="95"/>
      <c r="E235" s="95" t="s">
        <v>36</v>
      </c>
      <c r="F235" s="95" t="s">
        <v>56</v>
      </c>
      <c r="G235" s="95" t="s">
        <v>40</v>
      </c>
      <c r="H235" s="237">
        <v>9</v>
      </c>
      <c r="I235" s="4"/>
      <c r="J235" s="4"/>
      <c r="K235" s="4"/>
      <c r="L235" s="4"/>
      <c r="M235" s="4"/>
      <c r="N235" s="108"/>
      <c r="O235" s="4">
        <v>9</v>
      </c>
      <c r="P235" s="240">
        <v>9</v>
      </c>
      <c r="Q235" s="4">
        <v>9</v>
      </c>
      <c r="R235" s="4">
        <v>9</v>
      </c>
      <c r="S235" s="4">
        <v>9</v>
      </c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1"/>
      <c r="AL235" s="1"/>
      <c r="AM235" s="1"/>
      <c r="AN235" s="1"/>
      <c r="AO235" s="1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4"/>
      <c r="BY235" s="136"/>
      <c r="BZ235" s="136">
        <v>9</v>
      </c>
      <c r="CA235" s="136"/>
      <c r="CB235" s="136"/>
      <c r="CC235" s="136"/>
      <c r="CD235" s="136"/>
      <c r="CE235" s="136"/>
      <c r="CF235" s="136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DA235" s="379"/>
    </row>
    <row r="236" spans="1:105" ht="20.25" customHeight="1" x14ac:dyDescent="0.35">
      <c r="A236" s="6"/>
      <c r="B236" s="200" t="s">
        <v>1658</v>
      </c>
      <c r="C236" s="200" t="s">
        <v>340</v>
      </c>
      <c r="D236" s="95"/>
      <c r="E236" s="95" t="s">
        <v>36</v>
      </c>
      <c r="F236" s="95" t="s">
        <v>56</v>
      </c>
      <c r="G236" s="6" t="s">
        <v>40</v>
      </c>
      <c r="H236" s="237">
        <v>8</v>
      </c>
      <c r="I236" s="4"/>
      <c r="J236" s="4"/>
      <c r="K236" s="4"/>
      <c r="L236" s="4"/>
      <c r="M236" s="4"/>
      <c r="N236" s="108"/>
      <c r="O236" s="4">
        <v>8</v>
      </c>
      <c r="P236" s="4"/>
      <c r="Q236" s="4">
        <v>8</v>
      </c>
      <c r="R236" s="4">
        <v>8</v>
      </c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1"/>
      <c r="AL236" s="1"/>
      <c r="AM236" s="1"/>
      <c r="AN236" s="1"/>
      <c r="AO236" s="1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4"/>
      <c r="BY236" s="136"/>
      <c r="BZ236" s="136"/>
      <c r="CA236" s="136"/>
      <c r="CB236" s="136"/>
      <c r="CC236" s="136"/>
      <c r="CD236" s="136"/>
      <c r="CE236" s="136"/>
      <c r="CF236" s="136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DA236" s="379"/>
    </row>
    <row r="237" spans="1:105" ht="20.25" customHeight="1" x14ac:dyDescent="0.45">
      <c r="A237" s="6"/>
      <c r="B237" s="200" t="s">
        <v>1659</v>
      </c>
      <c r="C237" s="200" t="s">
        <v>1660</v>
      </c>
      <c r="D237" s="255"/>
      <c r="E237" s="252"/>
      <c r="F237" s="62" t="s">
        <v>56</v>
      </c>
      <c r="G237" s="62" t="s">
        <v>40</v>
      </c>
      <c r="H237" s="353">
        <v>10.5</v>
      </c>
      <c r="I237" s="4"/>
      <c r="J237" s="4"/>
      <c r="K237" s="4"/>
      <c r="L237" s="4"/>
      <c r="M237" s="4"/>
      <c r="N237" s="108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1"/>
      <c r="AL237" s="1"/>
      <c r="AM237" s="1"/>
      <c r="AN237" s="1"/>
      <c r="AO237" s="1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4"/>
      <c r="BY237" s="136"/>
      <c r="BZ237" s="136"/>
      <c r="CA237" s="136"/>
      <c r="CB237" s="136"/>
      <c r="CC237" s="136"/>
      <c r="CD237" s="136"/>
      <c r="CE237" s="136"/>
      <c r="CF237" s="136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DA237" s="379"/>
    </row>
    <row r="238" spans="1:105" ht="20.25" customHeight="1" x14ac:dyDescent="0.45">
      <c r="A238" s="6"/>
      <c r="B238" s="200" t="s">
        <v>1661</v>
      </c>
      <c r="C238" s="200" t="s">
        <v>1662</v>
      </c>
      <c r="D238" s="255"/>
      <c r="E238" s="252"/>
      <c r="F238" s="62" t="s">
        <v>56</v>
      </c>
      <c r="G238" s="62" t="s">
        <v>40</v>
      </c>
      <c r="H238" s="237"/>
      <c r="I238" s="4"/>
      <c r="J238" s="4"/>
      <c r="K238" s="4"/>
      <c r="L238" s="4"/>
      <c r="M238" s="4"/>
      <c r="N238" s="108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1"/>
      <c r="AL238" s="1"/>
      <c r="AM238" s="1"/>
      <c r="AN238" s="1"/>
      <c r="AO238" s="1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4"/>
      <c r="BY238" s="136"/>
      <c r="BZ238" s="136"/>
      <c r="CA238" s="136"/>
      <c r="CB238" s="136"/>
      <c r="CC238" s="136"/>
      <c r="CD238" s="136"/>
      <c r="CE238" s="136"/>
      <c r="CF238" s="136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DA238" s="379"/>
    </row>
    <row r="239" spans="1:105" ht="20.25" customHeight="1" x14ac:dyDescent="0.45">
      <c r="A239" s="6"/>
      <c r="B239" s="200" t="s">
        <v>1663</v>
      </c>
      <c r="C239" s="200" t="s">
        <v>1664</v>
      </c>
      <c r="D239" s="255"/>
      <c r="E239" s="252"/>
      <c r="F239" s="62" t="s">
        <v>56</v>
      </c>
      <c r="G239" s="62" t="s">
        <v>40</v>
      </c>
      <c r="H239" s="237"/>
      <c r="I239" s="4"/>
      <c r="J239" s="4"/>
      <c r="K239" s="4"/>
      <c r="L239" s="4"/>
      <c r="M239" s="4"/>
      <c r="N239" s="108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1"/>
      <c r="AL239" s="1"/>
      <c r="AM239" s="1"/>
      <c r="AN239" s="1"/>
      <c r="AO239" s="1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4"/>
      <c r="BY239" s="136"/>
      <c r="BZ239" s="136"/>
      <c r="CA239" s="136"/>
      <c r="CB239" s="136"/>
      <c r="CC239" s="136"/>
      <c r="CD239" s="136"/>
      <c r="CE239" s="136"/>
      <c r="CF239" s="136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DA239" s="379"/>
    </row>
    <row r="240" spans="1:105" ht="20.25" customHeight="1" x14ac:dyDescent="0.45">
      <c r="A240" s="6"/>
      <c r="B240" s="200" t="s">
        <v>1665</v>
      </c>
      <c r="C240" s="200" t="s">
        <v>1666</v>
      </c>
      <c r="D240" s="255"/>
      <c r="E240" s="252"/>
      <c r="F240" s="62" t="s">
        <v>56</v>
      </c>
      <c r="G240" s="62" t="s">
        <v>40</v>
      </c>
      <c r="H240" s="237"/>
      <c r="I240" s="4"/>
      <c r="J240" s="4"/>
      <c r="K240" s="4"/>
      <c r="L240" s="4"/>
      <c r="M240" s="4"/>
      <c r="N240" s="108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1"/>
      <c r="AL240" s="1"/>
      <c r="AM240" s="1"/>
      <c r="AN240" s="1"/>
      <c r="AO240" s="1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4"/>
      <c r="BY240" s="136"/>
      <c r="BZ240" s="136"/>
      <c r="CA240" s="136"/>
      <c r="CB240" s="136"/>
      <c r="CC240" s="136"/>
      <c r="CD240" s="136"/>
      <c r="CE240" s="136"/>
      <c r="CF240" s="136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DA240" s="379"/>
    </row>
    <row r="241" spans="1:105" ht="20.25" customHeight="1" x14ac:dyDescent="0.45">
      <c r="A241" s="6"/>
      <c r="B241" s="200" t="s">
        <v>1667</v>
      </c>
      <c r="C241" s="200" t="s">
        <v>1668</v>
      </c>
      <c r="D241" s="255"/>
      <c r="E241" s="252"/>
      <c r="F241" s="62" t="s">
        <v>56</v>
      </c>
      <c r="G241" s="62" t="s">
        <v>40</v>
      </c>
      <c r="H241" s="237"/>
      <c r="I241" s="4"/>
      <c r="J241" s="4"/>
      <c r="K241" s="4"/>
      <c r="L241" s="4"/>
      <c r="M241" s="4"/>
      <c r="N241" s="108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1"/>
      <c r="AL241" s="1"/>
      <c r="AM241" s="1"/>
      <c r="AN241" s="1"/>
      <c r="AO241" s="1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4"/>
      <c r="BY241" s="136"/>
      <c r="BZ241" s="136"/>
      <c r="CA241" s="136"/>
      <c r="CB241" s="136"/>
      <c r="CC241" s="136"/>
      <c r="CD241" s="136"/>
      <c r="CE241" s="136"/>
      <c r="CF241" s="136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DA241" s="379"/>
    </row>
    <row r="242" spans="1:105" ht="20.25" customHeight="1" x14ac:dyDescent="0.45">
      <c r="A242" s="6"/>
      <c r="B242" s="200" t="s">
        <v>1669</v>
      </c>
      <c r="C242" s="200" t="s">
        <v>1670</v>
      </c>
      <c r="D242" s="255"/>
      <c r="E242" s="252"/>
      <c r="F242" s="62" t="s">
        <v>56</v>
      </c>
      <c r="G242" s="62" t="s">
        <v>40</v>
      </c>
      <c r="H242" s="237"/>
      <c r="I242" s="4"/>
      <c r="J242" s="4"/>
      <c r="K242" s="4"/>
      <c r="L242" s="4"/>
      <c r="M242" s="4"/>
      <c r="N242" s="108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1"/>
      <c r="AL242" s="1"/>
      <c r="AM242" s="1"/>
      <c r="AN242" s="1"/>
      <c r="AO242" s="1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4"/>
      <c r="BY242" s="136"/>
      <c r="BZ242" s="136"/>
      <c r="CA242" s="136"/>
      <c r="CB242" s="136"/>
      <c r="CC242" s="136"/>
      <c r="CD242" s="136"/>
      <c r="CE242" s="136"/>
      <c r="CF242" s="136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DA242" s="379"/>
    </row>
    <row r="243" spans="1:105" ht="20.25" customHeight="1" x14ac:dyDescent="0.45">
      <c r="A243" s="6"/>
      <c r="B243" s="200" t="s">
        <v>1671</v>
      </c>
      <c r="C243" s="200" t="s">
        <v>1672</v>
      </c>
      <c r="D243" s="255"/>
      <c r="E243" s="252"/>
      <c r="F243" s="62" t="s">
        <v>56</v>
      </c>
      <c r="G243" s="62" t="s">
        <v>40</v>
      </c>
      <c r="H243" s="237"/>
      <c r="I243" s="4"/>
      <c r="J243" s="4"/>
      <c r="K243" s="4"/>
      <c r="L243" s="4"/>
      <c r="M243" s="4"/>
      <c r="N243" s="108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1"/>
      <c r="AL243" s="1"/>
      <c r="AM243" s="1"/>
      <c r="AN243" s="1"/>
      <c r="AO243" s="1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4"/>
      <c r="BY243" s="136"/>
      <c r="BZ243" s="136"/>
      <c r="CA243" s="136"/>
      <c r="CB243" s="136"/>
      <c r="CC243" s="136"/>
      <c r="CD243" s="136"/>
      <c r="CE243" s="136"/>
      <c r="CF243" s="136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DA243" s="379"/>
    </row>
    <row r="244" spans="1:105" ht="20.25" customHeight="1" x14ac:dyDescent="0.45">
      <c r="A244" s="6"/>
      <c r="B244" s="200" t="s">
        <v>1673</v>
      </c>
      <c r="C244" s="200" t="s">
        <v>1674</v>
      </c>
      <c r="D244" s="255"/>
      <c r="E244" s="252"/>
      <c r="F244" s="62" t="s">
        <v>56</v>
      </c>
      <c r="G244" s="62" t="s">
        <v>40</v>
      </c>
      <c r="H244" s="237"/>
      <c r="I244" s="4"/>
      <c r="J244" s="4"/>
      <c r="K244" s="4"/>
      <c r="L244" s="4"/>
      <c r="M244" s="4"/>
      <c r="N244" s="108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1"/>
      <c r="AL244" s="1"/>
      <c r="AM244" s="1"/>
      <c r="AN244" s="1"/>
      <c r="AO244" s="1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4"/>
      <c r="BY244" s="136"/>
      <c r="BZ244" s="136"/>
      <c r="CA244" s="136"/>
      <c r="CB244" s="136"/>
      <c r="CC244" s="136"/>
      <c r="CD244" s="136"/>
      <c r="CE244" s="136"/>
      <c r="CF244" s="136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DA244" s="379"/>
    </row>
    <row r="245" spans="1:105" ht="20.25" customHeight="1" x14ac:dyDescent="0.45">
      <c r="A245" s="6"/>
      <c r="B245" s="200" t="s">
        <v>1675</v>
      </c>
      <c r="C245" s="200" t="s">
        <v>1676</v>
      </c>
      <c r="D245" s="255"/>
      <c r="E245" s="252"/>
      <c r="F245" s="62" t="s">
        <v>56</v>
      </c>
      <c r="G245" s="62" t="s">
        <v>40</v>
      </c>
      <c r="H245" s="353">
        <f>14</f>
        <v>14</v>
      </c>
      <c r="I245" s="4"/>
      <c r="J245" s="4"/>
      <c r="K245" s="4"/>
      <c r="L245" s="4"/>
      <c r="M245" s="4"/>
      <c r="N245" s="108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1"/>
      <c r="AL245" s="1"/>
      <c r="AM245" s="1"/>
      <c r="AN245" s="1"/>
      <c r="AO245" s="1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4"/>
      <c r="BY245" s="136"/>
      <c r="BZ245" s="136"/>
      <c r="CA245" s="136"/>
      <c r="CB245" s="136"/>
      <c r="CC245" s="136"/>
      <c r="CD245" s="136"/>
      <c r="CE245" s="136"/>
      <c r="CF245" s="136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DA245" s="379"/>
    </row>
    <row r="246" spans="1:105" ht="20.25" customHeight="1" x14ac:dyDescent="0.45">
      <c r="A246" s="6"/>
      <c r="B246" s="200" t="s">
        <v>1677</v>
      </c>
      <c r="C246" s="200" t="s">
        <v>1678</v>
      </c>
      <c r="D246" s="255"/>
      <c r="E246" s="252"/>
      <c r="F246" s="62" t="s">
        <v>56</v>
      </c>
      <c r="G246" s="62" t="s">
        <v>40</v>
      </c>
      <c r="H246" s="237"/>
      <c r="I246" s="4"/>
      <c r="J246" s="4"/>
      <c r="K246" s="4"/>
      <c r="L246" s="4"/>
      <c r="M246" s="4"/>
      <c r="N246" s="108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1"/>
      <c r="AL246" s="1"/>
      <c r="AM246" s="1"/>
      <c r="AN246" s="1"/>
      <c r="AO246" s="1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4"/>
      <c r="BY246" s="136"/>
      <c r="BZ246" s="136"/>
      <c r="CA246" s="136"/>
      <c r="CB246" s="136"/>
      <c r="CC246" s="136"/>
      <c r="CD246" s="136"/>
      <c r="CE246" s="136"/>
      <c r="CF246" s="136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DA246" s="379"/>
    </row>
    <row r="247" spans="1:105" ht="20.25" customHeight="1" x14ac:dyDescent="0.45">
      <c r="A247" s="6"/>
      <c r="B247" s="200" t="s">
        <v>1679</v>
      </c>
      <c r="C247" s="200" t="s">
        <v>1680</v>
      </c>
      <c r="D247" s="255"/>
      <c r="E247" s="252"/>
      <c r="F247" s="62" t="s">
        <v>56</v>
      </c>
      <c r="G247" s="62" t="s">
        <v>40</v>
      </c>
      <c r="H247" s="353">
        <v>6.5</v>
      </c>
      <c r="I247" s="4"/>
      <c r="J247" s="4"/>
      <c r="K247" s="4"/>
      <c r="L247" s="4"/>
      <c r="M247" s="4"/>
      <c r="N247" s="108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1"/>
      <c r="AL247" s="1"/>
      <c r="AM247" s="1"/>
      <c r="AN247" s="1"/>
      <c r="AO247" s="1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4"/>
      <c r="BY247" s="136"/>
      <c r="BZ247" s="136"/>
      <c r="CA247" s="136"/>
      <c r="CB247" s="136"/>
      <c r="CC247" s="136"/>
      <c r="CD247" s="136"/>
      <c r="CE247" s="136"/>
      <c r="CF247" s="136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DA247" s="379"/>
    </row>
    <row r="248" spans="1:105" ht="20.25" customHeight="1" x14ac:dyDescent="0.45">
      <c r="A248" s="6"/>
      <c r="B248" s="200" t="s">
        <v>1681</v>
      </c>
      <c r="C248" s="200" t="s">
        <v>1682</v>
      </c>
      <c r="D248" s="255"/>
      <c r="E248" s="252"/>
      <c r="F248" s="62" t="s">
        <v>56</v>
      </c>
      <c r="G248" s="62" t="s">
        <v>40</v>
      </c>
      <c r="H248" s="237"/>
      <c r="I248" s="4"/>
      <c r="J248" s="4"/>
      <c r="K248" s="4"/>
      <c r="L248" s="4"/>
      <c r="M248" s="4"/>
      <c r="N248" s="108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1"/>
      <c r="AL248" s="1"/>
      <c r="AM248" s="1"/>
      <c r="AN248" s="1"/>
      <c r="AO248" s="1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4"/>
      <c r="BY248" s="136"/>
      <c r="BZ248" s="136"/>
      <c r="CA248" s="136"/>
      <c r="CB248" s="136"/>
      <c r="CC248" s="136"/>
      <c r="CD248" s="136"/>
      <c r="CE248" s="136"/>
      <c r="CF248" s="136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DA248" s="379"/>
    </row>
    <row r="249" spans="1:105" ht="20.25" customHeight="1" x14ac:dyDescent="0.45">
      <c r="A249" s="6"/>
      <c r="B249" s="200" t="s">
        <v>1883</v>
      </c>
      <c r="C249" s="200" t="s">
        <v>2140</v>
      </c>
      <c r="D249" s="407" t="s">
        <v>846</v>
      </c>
      <c r="E249" s="255"/>
      <c r="F249" s="62" t="s">
        <v>946</v>
      </c>
      <c r="G249" s="62" t="s">
        <v>186</v>
      </c>
      <c r="H249" s="237"/>
      <c r="I249" s="4"/>
      <c r="J249" s="4"/>
      <c r="K249" s="4"/>
      <c r="L249" s="4"/>
      <c r="M249" s="4"/>
      <c r="N249" s="108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1"/>
      <c r="AL249" s="1"/>
      <c r="AM249" s="1"/>
      <c r="AN249" s="1"/>
      <c r="AO249" s="1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4"/>
      <c r="BY249" s="136"/>
      <c r="BZ249" s="136">
        <v>25</v>
      </c>
      <c r="CA249" s="136"/>
      <c r="CB249" s="136"/>
      <c r="CC249" s="136"/>
      <c r="CD249" s="136"/>
      <c r="CE249" s="136"/>
      <c r="CF249" s="136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DA249" s="379">
        <v>37.5</v>
      </c>
    </row>
    <row r="250" spans="1:105" ht="20.25" customHeight="1" x14ac:dyDescent="0.35">
      <c r="A250" s="6"/>
      <c r="B250" s="200" t="s">
        <v>2030</v>
      </c>
      <c r="C250" s="200" t="s">
        <v>2031</v>
      </c>
      <c r="D250" s="407" t="s">
        <v>1229</v>
      </c>
      <c r="E250" s="95" t="s">
        <v>36</v>
      </c>
      <c r="F250" s="62" t="s">
        <v>2032</v>
      </c>
      <c r="G250" s="62" t="s">
        <v>51</v>
      </c>
      <c r="H250" s="237">
        <f>89*1.07/1000*100</f>
        <v>9.5230000000000015</v>
      </c>
      <c r="I250" s="4"/>
      <c r="J250" s="4"/>
      <c r="K250" s="4"/>
      <c r="L250" s="4"/>
      <c r="M250" s="4"/>
      <c r="N250" s="108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>
        <v>15</v>
      </c>
      <c r="AB250" s="4"/>
      <c r="AC250" s="4"/>
      <c r="AD250" s="4"/>
      <c r="AE250" s="4"/>
      <c r="AF250" s="4"/>
      <c r="AG250" s="4"/>
      <c r="AH250" s="4"/>
      <c r="AI250" s="4"/>
      <c r="AJ250" s="4"/>
      <c r="AK250" s="1"/>
      <c r="AL250" s="1"/>
      <c r="AM250" s="1"/>
      <c r="AN250" s="1"/>
      <c r="AO250" s="1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4"/>
      <c r="BY250" s="136"/>
      <c r="BZ250" s="136"/>
      <c r="CA250" s="136"/>
      <c r="CB250" s="136"/>
      <c r="CC250" s="136"/>
      <c r="CD250" s="136"/>
      <c r="CE250" s="136"/>
      <c r="CF250" s="136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DA250" s="379">
        <v>8.9</v>
      </c>
    </row>
    <row r="251" spans="1:105" ht="20.25" customHeight="1" x14ac:dyDescent="0.45">
      <c r="A251" s="6"/>
      <c r="B251" s="200" t="s">
        <v>2040</v>
      </c>
      <c r="C251" s="200" t="s">
        <v>2039</v>
      </c>
      <c r="D251" s="255"/>
      <c r="E251" s="95" t="s">
        <v>36</v>
      </c>
      <c r="F251" s="62" t="s">
        <v>946</v>
      </c>
      <c r="G251" s="62" t="s">
        <v>51</v>
      </c>
      <c r="H251" s="248">
        <v>5.5</v>
      </c>
      <c r="I251" s="4"/>
      <c r="J251" s="4"/>
      <c r="K251" s="4"/>
      <c r="L251" s="4"/>
      <c r="M251" s="4"/>
      <c r="N251" s="108"/>
      <c r="O251" s="4"/>
      <c r="P251" s="4">
        <v>2.5</v>
      </c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1"/>
      <c r="AL251" s="1"/>
      <c r="AM251" s="1"/>
      <c r="AN251" s="1"/>
      <c r="AO251" s="1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4"/>
      <c r="BY251" s="136"/>
      <c r="BZ251" s="136"/>
      <c r="CA251" s="136"/>
      <c r="CB251" s="136"/>
      <c r="CC251" s="136"/>
      <c r="CD251" s="136"/>
      <c r="CE251" s="136"/>
      <c r="CF251" s="136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DA251" s="379"/>
    </row>
    <row r="252" spans="1:105" ht="20.25" customHeight="1" x14ac:dyDescent="0.35">
      <c r="A252" s="6" t="s">
        <v>2068</v>
      </c>
      <c r="B252" s="200" t="s">
        <v>2044</v>
      </c>
      <c r="C252" s="200" t="s">
        <v>2045</v>
      </c>
      <c r="D252" s="407" t="s">
        <v>1229</v>
      </c>
      <c r="E252" s="407" t="s">
        <v>1229</v>
      </c>
      <c r="F252" s="62" t="s">
        <v>75</v>
      </c>
      <c r="G252" s="62" t="s">
        <v>51</v>
      </c>
      <c r="H252" s="248">
        <v>13.5</v>
      </c>
      <c r="I252" s="4">
        <v>20</v>
      </c>
      <c r="J252" s="4"/>
      <c r="K252" s="4"/>
      <c r="L252" s="4"/>
      <c r="M252" s="4"/>
      <c r="N252" s="108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1"/>
      <c r="AL252" s="1"/>
      <c r="AM252" s="1"/>
      <c r="AN252" s="1"/>
      <c r="AO252" s="1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4"/>
      <c r="BY252" s="136"/>
      <c r="BZ252" s="136"/>
      <c r="CA252" s="136"/>
      <c r="CB252" s="136"/>
      <c r="CC252" s="136"/>
      <c r="CD252" s="136"/>
      <c r="CE252" s="136">
        <v>20</v>
      </c>
      <c r="CF252" s="136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DA252" s="379">
        <v>13.5</v>
      </c>
    </row>
    <row r="253" spans="1:105" ht="20.25" customHeight="1" x14ac:dyDescent="0.35">
      <c r="A253" s="6"/>
      <c r="B253" s="200" t="s">
        <v>2134</v>
      </c>
      <c r="C253" s="200" t="s">
        <v>2133</v>
      </c>
      <c r="D253" s="407" t="s">
        <v>1229</v>
      </c>
      <c r="E253" s="407" t="s">
        <v>1229</v>
      </c>
      <c r="F253" s="62" t="s">
        <v>929</v>
      </c>
      <c r="G253" s="62" t="s">
        <v>51</v>
      </c>
      <c r="H253" s="248">
        <v>13.5</v>
      </c>
      <c r="I253" s="4"/>
      <c r="J253" s="4">
        <v>99.5</v>
      </c>
      <c r="K253" s="4"/>
      <c r="L253" s="4"/>
      <c r="M253" s="4"/>
      <c r="N253" s="108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1"/>
      <c r="AL253" s="1"/>
      <c r="AM253" s="1"/>
      <c r="AN253" s="1"/>
      <c r="AO253" s="1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4"/>
      <c r="BY253" s="136"/>
      <c r="BZ253" s="136"/>
      <c r="CA253" s="136"/>
      <c r="CB253" s="136"/>
      <c r="CC253" s="136"/>
      <c r="CD253" s="136"/>
      <c r="CE253" s="136"/>
      <c r="CF253" s="136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DA253" s="379">
        <v>87.5</v>
      </c>
    </row>
    <row r="254" spans="1:105" ht="20.25" customHeight="1" x14ac:dyDescent="0.45">
      <c r="A254" s="6"/>
      <c r="B254" s="200" t="s">
        <v>2221</v>
      </c>
      <c r="C254" s="200" t="s">
        <v>2222</v>
      </c>
      <c r="D254" s="255"/>
      <c r="E254" s="407" t="s">
        <v>1101</v>
      </c>
      <c r="F254" s="62" t="s">
        <v>2223</v>
      </c>
      <c r="G254" s="62" t="s">
        <v>130</v>
      </c>
      <c r="H254" s="248"/>
      <c r="I254" s="4"/>
      <c r="J254" s="4"/>
      <c r="K254" s="4"/>
      <c r="L254" s="4"/>
      <c r="M254" s="4"/>
      <c r="N254" s="108"/>
      <c r="O254" s="4"/>
      <c r="P254" s="4">
        <v>2</v>
      </c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1"/>
      <c r="AL254" s="1"/>
      <c r="AM254" s="1"/>
      <c r="AN254" s="1"/>
      <c r="AO254" s="1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4"/>
      <c r="BY254" s="136"/>
      <c r="BZ254" s="136"/>
      <c r="CA254" s="136"/>
      <c r="CB254" s="136"/>
      <c r="CC254" s="136"/>
      <c r="CD254" s="136"/>
      <c r="CE254" s="136"/>
      <c r="CF254" s="136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DA254" s="379"/>
    </row>
    <row r="255" spans="1:105" ht="20.25" customHeight="1" x14ac:dyDescent="0.35">
      <c r="A255" s="95"/>
      <c r="B255" s="200" t="s">
        <v>1683</v>
      </c>
      <c r="C255" s="200" t="s">
        <v>286</v>
      </c>
      <c r="D255" s="95" t="s">
        <v>1232</v>
      </c>
      <c r="E255" s="95" t="s">
        <v>592</v>
      </c>
      <c r="F255" s="95" t="s">
        <v>704</v>
      </c>
      <c r="G255" s="95" t="s">
        <v>35</v>
      </c>
      <c r="H255" s="248">
        <v>23</v>
      </c>
      <c r="I255" s="4">
        <v>32</v>
      </c>
      <c r="J255" s="4">
        <v>29</v>
      </c>
      <c r="K255" s="4"/>
      <c r="L255" s="4"/>
      <c r="M255" s="4">
        <v>27</v>
      </c>
      <c r="N255" s="108"/>
      <c r="O255" s="4"/>
      <c r="P255" s="4"/>
      <c r="Q255" s="4"/>
      <c r="R255" s="4"/>
      <c r="S255" s="4"/>
      <c r="T255" s="4"/>
      <c r="U255" s="4"/>
      <c r="V255" s="238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1"/>
      <c r="AL255" s="1"/>
      <c r="AM255" s="1"/>
      <c r="AN255" s="1"/>
      <c r="AO255" s="418">
        <v>29</v>
      </c>
      <c r="AP255" s="418">
        <v>29</v>
      </c>
      <c r="AQ255" s="418">
        <v>29</v>
      </c>
      <c r="AR255" s="418">
        <v>29</v>
      </c>
      <c r="AS255" s="4"/>
      <c r="AT255" s="418">
        <v>29</v>
      </c>
      <c r="AU255" s="418">
        <v>29</v>
      </c>
      <c r="AV255" s="418">
        <v>29</v>
      </c>
      <c r="AW255" s="418">
        <v>29</v>
      </c>
      <c r="AX255" s="418">
        <v>29</v>
      </c>
      <c r="AY255" s="418">
        <v>29</v>
      </c>
      <c r="AZ255" s="418">
        <v>29</v>
      </c>
      <c r="BA255" s="418">
        <v>29</v>
      </c>
      <c r="BB255" s="4"/>
      <c r="BC255" s="418">
        <v>29</v>
      </c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418">
        <v>29</v>
      </c>
      <c r="BY255" s="136"/>
      <c r="BZ255" s="136"/>
      <c r="CA255" s="136"/>
      <c r="CB255" s="136"/>
      <c r="CC255" s="136"/>
      <c r="CD255" s="136"/>
      <c r="CE255" s="136"/>
      <c r="CF255" s="136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DA255" s="379">
        <v>25</v>
      </c>
    </row>
    <row r="256" spans="1:105" ht="20.25" customHeight="1" x14ac:dyDescent="0.35">
      <c r="A256" s="95" t="s">
        <v>99</v>
      </c>
      <c r="B256" s="200" t="s">
        <v>1684</v>
      </c>
      <c r="C256" s="200" t="s">
        <v>286</v>
      </c>
      <c r="D256" s="239" t="s">
        <v>1232</v>
      </c>
      <c r="E256" s="95" t="s">
        <v>592</v>
      </c>
      <c r="F256" s="95" t="s">
        <v>1218</v>
      </c>
      <c r="G256" s="95" t="s">
        <v>35</v>
      </c>
      <c r="H256" s="141">
        <f>23*1.3</f>
        <v>29.900000000000002</v>
      </c>
      <c r="I256" s="240">
        <v>16</v>
      </c>
      <c r="J256" s="4"/>
      <c r="K256" s="4"/>
      <c r="L256" s="4"/>
      <c r="M256" s="4"/>
      <c r="N256" s="108"/>
      <c r="O256" s="4"/>
      <c r="P256" s="4"/>
      <c r="Q256" s="4"/>
      <c r="R256" s="4"/>
      <c r="S256" s="4"/>
      <c r="T256" s="4"/>
      <c r="U256" s="4"/>
      <c r="V256" s="238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1"/>
      <c r="AL256" s="1"/>
      <c r="AM256" s="1"/>
      <c r="AN256" s="1"/>
      <c r="AO256" s="1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4"/>
      <c r="BY256" s="136"/>
      <c r="BZ256" s="136"/>
      <c r="CA256" s="136"/>
      <c r="CB256" s="136"/>
      <c r="CC256" s="136"/>
      <c r="CD256" s="136"/>
      <c r="CE256" s="136"/>
      <c r="CF256" s="136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DA256" s="379">
        <f>DA255/2</f>
        <v>12.5</v>
      </c>
    </row>
    <row r="257" spans="1:105" ht="20.25" customHeight="1" x14ac:dyDescent="0.35">
      <c r="A257" s="6"/>
      <c r="B257" s="200" t="s">
        <v>1685</v>
      </c>
      <c r="C257" s="200" t="s">
        <v>286</v>
      </c>
      <c r="D257" s="200"/>
      <c r="E257" s="95" t="s">
        <v>1387</v>
      </c>
      <c r="F257" s="95" t="s">
        <v>2231</v>
      </c>
      <c r="G257" s="95" t="s">
        <v>35</v>
      </c>
      <c r="H257" s="237">
        <v>77</v>
      </c>
      <c r="I257" s="4"/>
      <c r="J257" s="4"/>
      <c r="K257" s="4"/>
      <c r="L257" s="4"/>
      <c r="M257" s="4"/>
      <c r="N257" s="240">
        <v>85</v>
      </c>
      <c r="O257" s="4">
        <v>85</v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1"/>
      <c r="AL257" s="1"/>
      <c r="AM257" s="1"/>
      <c r="AN257" s="1"/>
      <c r="AO257" s="1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4"/>
      <c r="BY257" s="136"/>
      <c r="BZ257" s="136"/>
      <c r="CA257" s="136"/>
      <c r="CB257" s="136"/>
      <c r="CC257" s="136"/>
      <c r="CD257" s="136"/>
      <c r="CE257" s="136"/>
      <c r="CF257" s="136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DA257" s="379">
        <v>70</v>
      </c>
    </row>
    <row r="258" spans="1:105" ht="20.25" customHeight="1" x14ac:dyDescent="0.35">
      <c r="A258" s="95"/>
      <c r="B258" s="200" t="s">
        <v>1686</v>
      </c>
      <c r="C258" s="200" t="s">
        <v>286</v>
      </c>
      <c r="D258" s="239" t="s">
        <v>36</v>
      </c>
      <c r="E258" s="95" t="s">
        <v>1387</v>
      </c>
      <c r="F258" s="95" t="s">
        <v>100</v>
      </c>
      <c r="G258" s="95" t="s">
        <v>45</v>
      </c>
      <c r="H258" s="237">
        <f>77/6</f>
        <v>12.833333333333334</v>
      </c>
      <c r="I258" s="240">
        <v>0</v>
      </c>
      <c r="J258" s="192"/>
      <c r="K258" s="4"/>
      <c r="L258" s="4"/>
      <c r="M258" s="67">
        <v>0</v>
      </c>
      <c r="N258" s="240">
        <v>14.2</v>
      </c>
      <c r="O258" s="67">
        <v>0</v>
      </c>
      <c r="P258" s="67">
        <v>0</v>
      </c>
      <c r="Q258" s="67">
        <v>0</v>
      </c>
      <c r="R258" s="4"/>
      <c r="S258" s="4">
        <v>17</v>
      </c>
      <c r="T258" s="4"/>
      <c r="U258" s="4"/>
      <c r="V258" s="4">
        <v>0</v>
      </c>
      <c r="W258" s="4"/>
      <c r="X258" s="146"/>
      <c r="Y258" s="4"/>
      <c r="Z258" s="4">
        <v>15</v>
      </c>
      <c r="AA258" s="4"/>
      <c r="AB258" s="4"/>
      <c r="AC258" s="4"/>
      <c r="AD258" s="4"/>
      <c r="AE258" s="4">
        <v>17</v>
      </c>
      <c r="AF258" s="4"/>
      <c r="AG258" s="4"/>
      <c r="AH258" s="4"/>
      <c r="AI258" s="4"/>
      <c r="AJ258" s="4"/>
      <c r="AK258" s="1"/>
      <c r="AL258" s="1"/>
      <c r="AM258" s="1"/>
      <c r="AN258" s="1"/>
      <c r="AO258" s="1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67"/>
      <c r="BY258" s="136"/>
      <c r="BZ258" s="136"/>
      <c r="CA258" s="136"/>
      <c r="CB258" s="136"/>
      <c r="CC258" s="136"/>
      <c r="CD258" s="136"/>
      <c r="CE258" s="136"/>
      <c r="CF258" s="136"/>
      <c r="CG258" s="7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DA258" s="379">
        <f>DA257/6</f>
        <v>11.666666666666666</v>
      </c>
    </row>
    <row r="259" spans="1:105" ht="20.25" customHeight="1" x14ac:dyDescent="0.35">
      <c r="A259" s="95"/>
      <c r="B259" s="200" t="s">
        <v>1688</v>
      </c>
      <c r="C259" s="200" t="s">
        <v>286</v>
      </c>
      <c r="D259" s="239" t="s">
        <v>1232</v>
      </c>
      <c r="E259" s="95" t="s">
        <v>44</v>
      </c>
      <c r="F259" s="95" t="s">
        <v>868</v>
      </c>
      <c r="G259" s="95" t="s">
        <v>35</v>
      </c>
      <c r="H259" s="237"/>
      <c r="I259" s="240"/>
      <c r="J259" s="192"/>
      <c r="K259" s="4"/>
      <c r="L259" s="4"/>
      <c r="M259" s="67"/>
      <c r="N259" s="108"/>
      <c r="O259" s="67"/>
      <c r="P259" s="67"/>
      <c r="Q259" s="67"/>
      <c r="R259" s="4"/>
      <c r="S259" s="4"/>
      <c r="T259" s="4"/>
      <c r="U259" s="4"/>
      <c r="V259" s="4"/>
      <c r="W259" s="4"/>
      <c r="X259" s="146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1"/>
      <c r="AL259" s="1"/>
      <c r="AM259" s="1"/>
      <c r="AN259" s="1"/>
      <c r="AO259" s="1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67"/>
      <c r="BY259" s="136"/>
      <c r="BZ259" s="136"/>
      <c r="CA259" s="136"/>
      <c r="CB259" s="136"/>
      <c r="CC259" s="136"/>
      <c r="CD259" s="136"/>
      <c r="CE259" s="136"/>
      <c r="CF259" s="136"/>
      <c r="CG259" s="7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DA259" s="379">
        <v>86</v>
      </c>
    </row>
    <row r="260" spans="1:105" ht="20.25" customHeight="1" x14ac:dyDescent="0.35">
      <c r="A260" s="95"/>
      <c r="B260" s="200" t="s">
        <v>1689</v>
      </c>
      <c r="C260" s="200" t="s">
        <v>286</v>
      </c>
      <c r="D260" s="239" t="s">
        <v>1232</v>
      </c>
      <c r="E260" s="95" t="s">
        <v>44</v>
      </c>
      <c r="F260" s="95" t="s">
        <v>100</v>
      </c>
      <c r="G260" s="95" t="s">
        <v>45</v>
      </c>
      <c r="H260" s="237">
        <f>AVERAGE(I260:BC260)</f>
        <v>18.384615384615383</v>
      </c>
      <c r="I260" s="240">
        <v>18</v>
      </c>
      <c r="J260" s="4"/>
      <c r="K260" s="4"/>
      <c r="L260" s="67">
        <v>19</v>
      </c>
      <c r="M260" s="4">
        <v>19</v>
      </c>
      <c r="N260" s="240">
        <v>18</v>
      </c>
      <c r="O260" s="4"/>
      <c r="P260" s="240">
        <v>18</v>
      </c>
      <c r="Q260" s="4">
        <v>19</v>
      </c>
      <c r="R260" s="67">
        <v>18</v>
      </c>
      <c r="S260" s="4"/>
      <c r="T260" s="4"/>
      <c r="U260" s="4"/>
      <c r="V260" s="4">
        <v>18</v>
      </c>
      <c r="W260" s="4"/>
      <c r="X260" s="67"/>
      <c r="Y260" s="4"/>
      <c r="Z260" s="4">
        <v>18</v>
      </c>
      <c r="AA260" s="4"/>
      <c r="AB260" s="67">
        <v>18</v>
      </c>
      <c r="AC260" s="67">
        <v>18</v>
      </c>
      <c r="AD260" s="4"/>
      <c r="AE260" s="67">
        <v>19</v>
      </c>
      <c r="AF260" s="4"/>
      <c r="AG260" s="4"/>
      <c r="AH260" s="4"/>
      <c r="AI260" s="4"/>
      <c r="AJ260" s="4">
        <v>19</v>
      </c>
      <c r="AK260" s="1"/>
      <c r="AL260" s="1"/>
      <c r="AM260" s="1"/>
      <c r="AN260" s="1"/>
      <c r="AO260" s="1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1"/>
      <c r="BE260" s="1"/>
      <c r="BF260" s="1"/>
      <c r="BG260" s="1"/>
      <c r="BH260" s="1"/>
      <c r="BI260" s="1"/>
      <c r="BJ260" s="1"/>
      <c r="BK260" s="1"/>
      <c r="BL260" s="1">
        <v>19</v>
      </c>
      <c r="BM260" s="1"/>
      <c r="BN260" s="1"/>
      <c r="BO260" s="1"/>
      <c r="BP260" s="1"/>
      <c r="BQ260" s="1"/>
      <c r="BR260" s="1"/>
      <c r="BS260" s="1"/>
      <c r="BT260" s="1"/>
      <c r="BU260" s="1">
        <v>19</v>
      </c>
      <c r="BV260" s="1"/>
      <c r="BW260" s="1"/>
      <c r="BX260" s="4"/>
      <c r="BY260" s="136">
        <v>18</v>
      </c>
      <c r="BZ260" s="136">
        <v>19</v>
      </c>
      <c r="CA260" s="136"/>
      <c r="CB260" s="136"/>
      <c r="CC260" s="136"/>
      <c r="CD260" s="136"/>
      <c r="CE260" s="136"/>
      <c r="CF260" s="136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DA260" s="379">
        <f>DA259/6</f>
        <v>14.333333333333334</v>
      </c>
    </row>
    <row r="261" spans="1:105" ht="20.25" customHeight="1" x14ac:dyDescent="0.35">
      <c r="A261" s="95"/>
      <c r="B261" s="200" t="s">
        <v>1690</v>
      </c>
      <c r="C261" s="200" t="s">
        <v>739</v>
      </c>
      <c r="D261" s="239" t="s">
        <v>1232</v>
      </c>
      <c r="E261" s="95" t="s">
        <v>44</v>
      </c>
      <c r="F261" s="95" t="s">
        <v>868</v>
      </c>
      <c r="G261" s="95" t="s">
        <v>35</v>
      </c>
      <c r="H261" s="237"/>
      <c r="I261" s="240"/>
      <c r="J261" s="4"/>
      <c r="K261" s="4"/>
      <c r="L261" s="67"/>
      <c r="M261" s="4"/>
      <c r="N261" s="4"/>
      <c r="O261" s="4"/>
      <c r="P261" s="4"/>
      <c r="Q261" s="4"/>
      <c r="R261" s="67"/>
      <c r="S261" s="4"/>
      <c r="T261" s="4"/>
      <c r="U261" s="4"/>
      <c r="V261" s="4"/>
      <c r="W261" s="4"/>
      <c r="X261" s="67"/>
      <c r="Y261" s="4"/>
      <c r="Z261" s="4"/>
      <c r="AA261" s="4"/>
      <c r="AB261" s="67"/>
      <c r="AC261" s="67"/>
      <c r="AD261" s="4"/>
      <c r="AE261" s="67"/>
      <c r="AF261" s="4"/>
      <c r="AG261" s="4"/>
      <c r="AH261" s="4"/>
      <c r="AI261" s="4"/>
      <c r="AJ261" s="4"/>
      <c r="AK261" s="1"/>
      <c r="AL261" s="1"/>
      <c r="AM261" s="1"/>
      <c r="AN261" s="1"/>
      <c r="AO261" s="1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4"/>
      <c r="BY261" s="136"/>
      <c r="BZ261" s="136"/>
      <c r="CA261" s="136"/>
      <c r="CB261" s="136"/>
      <c r="CC261" s="136"/>
      <c r="CD261" s="136"/>
      <c r="CE261" s="136"/>
      <c r="CF261" s="136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DA261" s="379">
        <v>41.5</v>
      </c>
    </row>
    <row r="262" spans="1:105" ht="20.25" customHeight="1" x14ac:dyDescent="0.35">
      <c r="A262" s="95" t="s">
        <v>125</v>
      </c>
      <c r="B262" s="200" t="s">
        <v>1691</v>
      </c>
      <c r="C262" s="200" t="s">
        <v>739</v>
      </c>
      <c r="D262" s="239" t="s">
        <v>1232</v>
      </c>
      <c r="E262" s="95" t="s">
        <v>44</v>
      </c>
      <c r="F262" s="95" t="s">
        <v>100</v>
      </c>
      <c r="G262" s="95" t="s">
        <v>45</v>
      </c>
      <c r="H262" s="237">
        <v>7.5</v>
      </c>
      <c r="I262" s="240">
        <v>9.5</v>
      </c>
      <c r="J262" s="1">
        <v>9.5</v>
      </c>
      <c r="K262" s="4"/>
      <c r="L262" s="4">
        <v>9</v>
      </c>
      <c r="M262" s="4"/>
      <c r="N262" s="240">
        <v>9</v>
      </c>
      <c r="O262" s="4"/>
      <c r="P262" s="240">
        <v>9</v>
      </c>
      <c r="Q262" s="4">
        <v>9</v>
      </c>
      <c r="R262" s="4">
        <v>9</v>
      </c>
      <c r="S262" s="4">
        <v>9.5</v>
      </c>
      <c r="T262" s="4"/>
      <c r="U262" s="4"/>
      <c r="V262" s="238"/>
      <c r="W262" s="4"/>
      <c r="X262" s="4"/>
      <c r="Y262" s="4"/>
      <c r="Z262" s="111">
        <v>9.5</v>
      </c>
      <c r="AA262" s="111">
        <v>9.5</v>
      </c>
      <c r="AB262" s="4">
        <v>9.5</v>
      </c>
      <c r="AC262" s="4">
        <v>9.5</v>
      </c>
      <c r="AD262" s="4"/>
      <c r="AE262" s="4">
        <v>10</v>
      </c>
      <c r="AF262" s="4"/>
      <c r="AG262" s="4"/>
      <c r="AH262" s="4"/>
      <c r="AI262" s="4"/>
      <c r="AJ262" s="4">
        <v>9.5</v>
      </c>
      <c r="AK262" s="1"/>
      <c r="AL262" s="1"/>
      <c r="AM262" s="1"/>
      <c r="AN262" s="1"/>
      <c r="AO262" s="1">
        <v>9.5</v>
      </c>
      <c r="AP262" s="1">
        <v>9.5</v>
      </c>
      <c r="AQ262" s="1">
        <v>9.5</v>
      </c>
      <c r="AR262" s="1">
        <v>9.5</v>
      </c>
      <c r="AS262" s="4"/>
      <c r="AT262" s="1">
        <v>9.5</v>
      </c>
      <c r="AU262" s="1">
        <v>9.5</v>
      </c>
      <c r="AV262" s="1">
        <v>9.5</v>
      </c>
      <c r="AW262" s="1">
        <v>9.5</v>
      </c>
      <c r="AX262" s="1">
        <v>9.5</v>
      </c>
      <c r="AY262" s="1">
        <v>9.5</v>
      </c>
      <c r="AZ262" s="1">
        <v>9.5</v>
      </c>
      <c r="BA262" s="1">
        <v>9.5</v>
      </c>
      <c r="BB262" s="1">
        <v>9.5</v>
      </c>
      <c r="BC262" s="1">
        <v>9.5</v>
      </c>
      <c r="BD262" s="1"/>
      <c r="BE262" s="1"/>
      <c r="BF262" s="1"/>
      <c r="BG262" s="1"/>
      <c r="BH262" s="1"/>
      <c r="BI262" s="1"/>
      <c r="BJ262" s="1">
        <v>9.5</v>
      </c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4"/>
      <c r="BY262" s="136"/>
      <c r="BZ262" s="136">
        <v>9.5</v>
      </c>
      <c r="CA262" s="136"/>
      <c r="CB262" s="136"/>
      <c r="CC262" s="136"/>
      <c r="CD262" s="136"/>
      <c r="CE262" s="136"/>
      <c r="CF262" s="136"/>
      <c r="CG262" s="7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DA262" s="379">
        <f>DA261/6</f>
        <v>6.916666666666667</v>
      </c>
    </row>
    <row r="263" spans="1:105" ht="20.25" customHeight="1" x14ac:dyDescent="0.35">
      <c r="A263" s="95"/>
      <c r="B263" s="200" t="s">
        <v>1692</v>
      </c>
      <c r="C263" s="200" t="s">
        <v>451</v>
      </c>
      <c r="D263" s="239" t="s">
        <v>1232</v>
      </c>
      <c r="E263" s="95" t="s">
        <v>44</v>
      </c>
      <c r="F263" s="95" t="s">
        <v>868</v>
      </c>
      <c r="G263" s="95" t="s">
        <v>35</v>
      </c>
      <c r="H263" s="237"/>
      <c r="I263" s="240"/>
      <c r="J263" s="192"/>
      <c r="K263" s="4"/>
      <c r="L263" s="4"/>
      <c r="M263" s="4"/>
      <c r="N263" s="108"/>
      <c r="O263" s="4"/>
      <c r="P263" s="4"/>
      <c r="Q263" s="4"/>
      <c r="R263" s="4"/>
      <c r="S263" s="4"/>
      <c r="T263" s="4"/>
      <c r="U263" s="4"/>
      <c r="V263" s="238"/>
      <c r="W263" s="4"/>
      <c r="X263" s="4"/>
      <c r="Y263" s="4"/>
      <c r="Z263" s="111"/>
      <c r="AA263" s="111"/>
      <c r="AB263" s="4"/>
      <c r="AC263" s="4"/>
      <c r="AD263" s="4"/>
      <c r="AE263" s="4"/>
      <c r="AF263" s="4"/>
      <c r="AG263" s="4"/>
      <c r="AH263" s="4"/>
      <c r="AI263" s="4"/>
      <c r="AJ263" s="4"/>
      <c r="AK263" s="1"/>
      <c r="AL263" s="1"/>
      <c r="AM263" s="1"/>
      <c r="AN263" s="1"/>
      <c r="AO263" s="1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4"/>
      <c r="BY263" s="136"/>
      <c r="BZ263" s="136"/>
      <c r="CA263" s="136"/>
      <c r="CB263" s="136"/>
      <c r="CC263" s="136"/>
      <c r="CD263" s="136"/>
      <c r="CE263" s="136"/>
      <c r="CF263" s="136"/>
      <c r="CG263" s="7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DA263" s="379">
        <v>46</v>
      </c>
    </row>
    <row r="264" spans="1:105" ht="20.25" customHeight="1" x14ac:dyDescent="0.35">
      <c r="A264" s="95"/>
      <c r="B264" s="200" t="s">
        <v>1693</v>
      </c>
      <c r="C264" s="200" t="s">
        <v>451</v>
      </c>
      <c r="D264" s="239" t="s">
        <v>1232</v>
      </c>
      <c r="E264" s="95" t="s">
        <v>44</v>
      </c>
      <c r="F264" s="95" t="s">
        <v>100</v>
      </c>
      <c r="G264" s="95" t="s">
        <v>45</v>
      </c>
      <c r="H264" s="237"/>
      <c r="I264" s="240">
        <v>9.8000000000000007</v>
      </c>
      <c r="J264" s="4"/>
      <c r="K264" s="4"/>
      <c r="L264" s="4"/>
      <c r="M264" s="4"/>
      <c r="N264" s="108"/>
      <c r="O264" s="4"/>
      <c r="P264" s="4"/>
      <c r="Q264" s="4"/>
      <c r="R264" s="4"/>
      <c r="S264" s="4"/>
      <c r="T264" s="4">
        <v>10.5</v>
      </c>
      <c r="U264" s="4"/>
      <c r="V264" s="238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1"/>
      <c r="AL264" s="1"/>
      <c r="AM264" s="1"/>
      <c r="AN264" s="1"/>
      <c r="AO264" s="1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4"/>
      <c r="BY264" s="136"/>
      <c r="BZ264" s="136"/>
      <c r="CA264" s="136"/>
      <c r="CB264" s="136"/>
      <c r="CC264" s="136"/>
      <c r="CD264" s="136"/>
      <c r="CE264" s="136"/>
      <c r="CF264" s="136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DA264" s="379">
        <f>DA263/6</f>
        <v>7.666666666666667</v>
      </c>
    </row>
    <row r="265" spans="1:105" ht="20.25" customHeight="1" x14ac:dyDescent="0.35">
      <c r="A265" s="95"/>
      <c r="B265" s="200" t="s">
        <v>1694</v>
      </c>
      <c r="C265" s="200" t="s">
        <v>738</v>
      </c>
      <c r="D265" s="239" t="s">
        <v>1232</v>
      </c>
      <c r="E265" s="95" t="s">
        <v>44</v>
      </c>
      <c r="F265" s="95" t="s">
        <v>868</v>
      </c>
      <c r="G265" s="95" t="s">
        <v>35</v>
      </c>
      <c r="H265" s="237"/>
      <c r="I265" s="240"/>
      <c r="J265" s="4"/>
      <c r="K265" s="4"/>
      <c r="L265" s="4"/>
      <c r="M265" s="4"/>
      <c r="N265" s="108"/>
      <c r="O265" s="4"/>
      <c r="P265" s="4"/>
      <c r="Q265" s="4"/>
      <c r="R265" s="4"/>
      <c r="S265" s="4"/>
      <c r="T265" s="4"/>
      <c r="U265" s="4"/>
      <c r="V265" s="238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1"/>
      <c r="AL265" s="1"/>
      <c r="AM265" s="1"/>
      <c r="AN265" s="1"/>
      <c r="AO265" s="1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4"/>
      <c r="BY265" s="136"/>
      <c r="BZ265" s="136"/>
      <c r="CA265" s="136"/>
      <c r="CB265" s="136"/>
      <c r="CC265" s="136"/>
      <c r="CD265" s="136"/>
      <c r="CE265" s="136"/>
      <c r="CF265" s="136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DA265" s="379">
        <v>42</v>
      </c>
    </row>
    <row r="266" spans="1:105" ht="20.25" customHeight="1" x14ac:dyDescent="0.35">
      <c r="A266" s="95" t="s">
        <v>2081</v>
      </c>
      <c r="B266" s="200" t="s">
        <v>1695</v>
      </c>
      <c r="C266" s="200" t="s">
        <v>738</v>
      </c>
      <c r="D266" s="239" t="s">
        <v>1232</v>
      </c>
      <c r="E266" s="95" t="s">
        <v>44</v>
      </c>
      <c r="F266" s="95" t="s">
        <v>100</v>
      </c>
      <c r="G266" s="95" t="s">
        <v>45</v>
      </c>
      <c r="H266" s="237">
        <v>10</v>
      </c>
      <c r="I266" s="240">
        <v>9</v>
      </c>
      <c r="J266" s="4">
        <v>10</v>
      </c>
      <c r="K266" s="4"/>
      <c r="L266" s="4">
        <v>10</v>
      </c>
      <c r="M266" s="4"/>
      <c r="N266" s="108"/>
      <c r="O266" s="4"/>
      <c r="P266" s="240">
        <v>10</v>
      </c>
      <c r="Q266" s="4">
        <v>10</v>
      </c>
      <c r="R266" s="4">
        <v>10</v>
      </c>
      <c r="S266" s="4"/>
      <c r="T266" s="4"/>
      <c r="U266" s="4"/>
      <c r="V266" s="238"/>
      <c r="W266" s="4"/>
      <c r="X266" s="4"/>
      <c r="Y266" s="4"/>
      <c r="Z266" s="4">
        <v>10</v>
      </c>
      <c r="AA266" s="4"/>
      <c r="AB266" s="4">
        <v>10</v>
      </c>
      <c r="AC266" s="4">
        <v>10</v>
      </c>
      <c r="AD266" s="4"/>
      <c r="AE266" s="4"/>
      <c r="AF266" s="4"/>
      <c r="AG266" s="4"/>
      <c r="AH266" s="4"/>
      <c r="AI266" s="4"/>
      <c r="AJ266" s="4"/>
      <c r="AK266" s="1"/>
      <c r="AL266" s="1"/>
      <c r="AM266" s="1"/>
      <c r="AN266" s="1"/>
      <c r="AO266" s="1"/>
      <c r="AP266" s="4">
        <v>10</v>
      </c>
      <c r="AQ266" s="4">
        <v>10</v>
      </c>
      <c r="AR266" s="4">
        <v>10</v>
      </c>
      <c r="AS266" s="4"/>
      <c r="AT266" s="4">
        <v>10</v>
      </c>
      <c r="AU266" s="4">
        <v>10</v>
      </c>
      <c r="AV266" s="4">
        <v>10</v>
      </c>
      <c r="AW266" s="4">
        <v>10</v>
      </c>
      <c r="AX266" s="4">
        <v>10</v>
      </c>
      <c r="AY266" s="4">
        <v>10</v>
      </c>
      <c r="AZ266" s="4">
        <v>10</v>
      </c>
      <c r="BA266" s="4">
        <v>10</v>
      </c>
      <c r="BB266" s="4">
        <v>10</v>
      </c>
      <c r="BC266" s="4">
        <v>10</v>
      </c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>
        <f>11/110*100</f>
        <v>10</v>
      </c>
      <c r="BT266" s="1"/>
      <c r="BU266" s="1"/>
      <c r="BV266" s="1"/>
      <c r="BW266" s="1"/>
      <c r="BX266" s="4"/>
      <c r="BY266" s="136"/>
      <c r="BZ266" s="136">
        <v>10</v>
      </c>
      <c r="CA266" s="136"/>
      <c r="CB266" s="136"/>
      <c r="CC266" s="136"/>
      <c r="CD266" s="136"/>
      <c r="CE266" s="136"/>
      <c r="CF266" s="136">
        <v>10</v>
      </c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DA266" s="379">
        <f>DA265/6</f>
        <v>7</v>
      </c>
    </row>
    <row r="267" spans="1:105" ht="20.25" customHeight="1" x14ac:dyDescent="0.35">
      <c r="A267" s="95" t="s">
        <v>84</v>
      </c>
      <c r="B267" s="200" t="s">
        <v>1696</v>
      </c>
      <c r="C267" s="200" t="s">
        <v>287</v>
      </c>
      <c r="D267" s="239" t="s">
        <v>1229</v>
      </c>
      <c r="E267" s="95" t="s">
        <v>906</v>
      </c>
      <c r="F267" s="95" t="s">
        <v>704</v>
      </c>
      <c r="G267" s="95" t="s">
        <v>35</v>
      </c>
      <c r="H267" s="237">
        <v>22</v>
      </c>
      <c r="I267" s="240">
        <v>23</v>
      </c>
      <c r="J267" s="419">
        <v>24</v>
      </c>
      <c r="K267" s="4"/>
      <c r="L267" s="192">
        <v>24</v>
      </c>
      <c r="M267" s="192"/>
      <c r="N267" s="240">
        <v>23</v>
      </c>
      <c r="O267" s="4"/>
      <c r="P267" s="240">
        <v>23</v>
      </c>
      <c r="Q267" s="192">
        <v>24</v>
      </c>
      <c r="R267" s="192">
        <v>23</v>
      </c>
      <c r="S267" s="4">
        <v>24</v>
      </c>
      <c r="T267" s="192"/>
      <c r="U267" s="4"/>
      <c r="V267" s="243">
        <v>24</v>
      </c>
      <c r="W267" s="4"/>
      <c r="X267" s="192"/>
      <c r="Y267" s="4"/>
      <c r="Z267" s="192">
        <v>24</v>
      </c>
      <c r="AA267" s="4">
        <v>25</v>
      </c>
      <c r="AB267" s="192">
        <v>23</v>
      </c>
      <c r="AC267" s="4"/>
      <c r="AD267" s="4"/>
      <c r="AE267" s="4">
        <v>23</v>
      </c>
      <c r="AF267" s="192">
        <v>23</v>
      </c>
      <c r="AG267" s="4"/>
      <c r="AH267" s="4"/>
      <c r="AI267" s="4"/>
      <c r="AJ267" s="192"/>
      <c r="AK267" s="1"/>
      <c r="AL267" s="1"/>
      <c r="AM267" s="14">
        <v>23</v>
      </c>
      <c r="AN267" s="1"/>
      <c r="AO267" s="417">
        <v>24</v>
      </c>
      <c r="AP267" s="417">
        <v>24</v>
      </c>
      <c r="AQ267" s="417">
        <v>24</v>
      </c>
      <c r="AR267" s="417">
        <v>24</v>
      </c>
      <c r="AS267" s="192"/>
      <c r="AT267" s="417">
        <v>24</v>
      </c>
      <c r="AU267" s="417">
        <v>24</v>
      </c>
      <c r="AV267" s="417">
        <v>24</v>
      </c>
      <c r="AW267" s="417">
        <v>24</v>
      </c>
      <c r="AX267" s="417">
        <v>24</v>
      </c>
      <c r="AY267" s="417">
        <v>24</v>
      </c>
      <c r="AZ267" s="417">
        <v>24</v>
      </c>
      <c r="BA267" s="417">
        <v>24</v>
      </c>
      <c r="BB267" s="192"/>
      <c r="BC267" s="417">
        <v>24</v>
      </c>
      <c r="BD267" s="1"/>
      <c r="BE267" s="1"/>
      <c r="BF267" s="1">
        <v>24</v>
      </c>
      <c r="BG267" s="1"/>
      <c r="BH267" s="1">
        <v>24</v>
      </c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>
        <v>23</v>
      </c>
      <c r="BV267" s="1"/>
      <c r="BW267" s="1"/>
      <c r="BX267" s="420">
        <f>J267</f>
        <v>24</v>
      </c>
      <c r="BY267" s="136">
        <v>23</v>
      </c>
      <c r="BZ267" s="136">
        <v>23</v>
      </c>
      <c r="CA267" s="136"/>
      <c r="CB267" s="136"/>
      <c r="CC267" s="136"/>
      <c r="CD267" s="136"/>
      <c r="CE267" s="136"/>
      <c r="CF267" s="136"/>
      <c r="CG267" s="7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DA267" s="379">
        <f>1950/108</f>
        <v>18.055555555555557</v>
      </c>
    </row>
    <row r="268" spans="1:105" ht="20.25" customHeight="1" x14ac:dyDescent="0.35">
      <c r="A268" s="95"/>
      <c r="B268" s="200" t="s">
        <v>1697</v>
      </c>
      <c r="C268" s="200" t="s">
        <v>287</v>
      </c>
      <c r="D268" s="239" t="s">
        <v>1232</v>
      </c>
      <c r="E268" s="95" t="s">
        <v>592</v>
      </c>
      <c r="F268" s="95" t="s">
        <v>704</v>
      </c>
      <c r="G268" s="95" t="s">
        <v>35</v>
      </c>
      <c r="H268" s="237"/>
      <c r="I268" s="240">
        <v>26</v>
      </c>
      <c r="J268" s="4"/>
      <c r="K268" s="4"/>
      <c r="L268" s="4"/>
      <c r="M268" s="4"/>
      <c r="N268" s="108"/>
      <c r="O268" s="4"/>
      <c r="P268" s="4"/>
      <c r="Q268" s="4"/>
      <c r="R268" s="4"/>
      <c r="S268" s="4"/>
      <c r="T268" s="4"/>
      <c r="U268" s="4"/>
      <c r="V268" s="238"/>
      <c r="W268" s="4"/>
      <c r="X268" s="4"/>
      <c r="Y268" s="4"/>
      <c r="Z268" s="4"/>
      <c r="AA268" s="4"/>
      <c r="AB268" s="4"/>
      <c r="AC268" s="4">
        <v>25</v>
      </c>
      <c r="AD268" s="4"/>
      <c r="AE268" s="4"/>
      <c r="AF268" s="4"/>
      <c r="AG268" s="4"/>
      <c r="AH268" s="4"/>
      <c r="AI268" s="4"/>
      <c r="AJ268" s="4"/>
      <c r="AK268" s="1"/>
      <c r="AL268" s="1"/>
      <c r="AM268" s="1"/>
      <c r="AN268" s="1"/>
      <c r="AO268" s="1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4"/>
      <c r="BY268" s="136"/>
      <c r="BZ268" s="136"/>
      <c r="CA268" s="136"/>
      <c r="CB268" s="136"/>
      <c r="CC268" s="136"/>
      <c r="CD268" s="136"/>
      <c r="CE268" s="136"/>
      <c r="CF268" s="136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DA268" s="379">
        <v>18.13</v>
      </c>
    </row>
    <row r="269" spans="1:105" ht="20.25" customHeight="1" x14ac:dyDescent="0.35">
      <c r="A269" s="95"/>
      <c r="B269" s="200" t="s">
        <v>1698</v>
      </c>
      <c r="C269" s="200" t="s">
        <v>288</v>
      </c>
      <c r="D269" s="239" t="s">
        <v>1229</v>
      </c>
      <c r="E269" s="95" t="s">
        <v>844</v>
      </c>
      <c r="F269" s="95" t="s">
        <v>711</v>
      </c>
      <c r="G269" s="95" t="s">
        <v>35</v>
      </c>
      <c r="H269" s="248">
        <v>31</v>
      </c>
      <c r="I269" s="240"/>
      <c r="J269" s="4"/>
      <c r="K269" s="4"/>
      <c r="L269" s="4"/>
      <c r="M269" s="4"/>
      <c r="N269" s="108"/>
      <c r="O269" s="4"/>
      <c r="P269" s="192"/>
      <c r="Q269" s="192"/>
      <c r="R269" s="192">
        <v>40</v>
      </c>
      <c r="S269" s="192"/>
      <c r="T269" s="4"/>
      <c r="U269" s="4"/>
      <c r="V269" s="243"/>
      <c r="W269" s="4"/>
      <c r="X269" s="4"/>
      <c r="Y269" s="4"/>
      <c r="Z269" s="4"/>
      <c r="AA269" s="4"/>
      <c r="AB269" s="4"/>
      <c r="AC269" s="192"/>
      <c r="AD269" s="4"/>
      <c r="AE269" s="4"/>
      <c r="AF269" s="4"/>
      <c r="AG269" s="4"/>
      <c r="AH269" s="4"/>
      <c r="AI269" s="4"/>
      <c r="AJ269" s="4"/>
      <c r="AK269" s="1"/>
      <c r="AL269" s="1"/>
      <c r="AM269" s="1"/>
      <c r="AN269" s="1"/>
      <c r="AO269" s="1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4"/>
      <c r="BY269" s="136"/>
      <c r="BZ269" s="136"/>
      <c r="CA269" s="136"/>
      <c r="CB269" s="136"/>
      <c r="CC269" s="136"/>
      <c r="CD269" s="136"/>
      <c r="CE269" s="136"/>
      <c r="CF269" s="136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DA269" s="379">
        <v>34.5</v>
      </c>
    </row>
    <row r="270" spans="1:105" ht="20.25" customHeight="1" x14ac:dyDescent="0.35">
      <c r="A270" s="95" t="s">
        <v>95</v>
      </c>
      <c r="B270" s="200" t="s">
        <v>1699</v>
      </c>
      <c r="C270" s="200" t="s">
        <v>288</v>
      </c>
      <c r="D270" s="239" t="s">
        <v>1229</v>
      </c>
      <c r="E270" s="95" t="s">
        <v>844</v>
      </c>
      <c r="F270" s="95" t="s">
        <v>705</v>
      </c>
      <c r="G270" s="95" t="s">
        <v>35</v>
      </c>
      <c r="H270" s="248">
        <f>32/2</f>
        <v>16</v>
      </c>
      <c r="I270" s="240">
        <v>21</v>
      </c>
      <c r="J270" s="4"/>
      <c r="K270" s="4"/>
      <c r="L270" s="4">
        <v>0</v>
      </c>
      <c r="M270" s="4"/>
      <c r="N270" s="108"/>
      <c r="O270" s="4"/>
      <c r="P270" s="192"/>
      <c r="Q270" s="192"/>
      <c r="R270" s="192"/>
      <c r="S270" s="192"/>
      <c r="T270" s="4"/>
      <c r="U270" s="4"/>
      <c r="V270" s="243"/>
      <c r="W270" s="4"/>
      <c r="X270" s="4"/>
      <c r="Y270" s="4"/>
      <c r="Z270" s="4"/>
      <c r="AA270" s="4"/>
      <c r="AB270" s="4"/>
      <c r="AC270" s="192"/>
      <c r="AD270" s="4"/>
      <c r="AE270" s="4"/>
      <c r="AF270" s="4"/>
      <c r="AG270" s="4"/>
      <c r="AH270" s="4"/>
      <c r="AI270" s="4"/>
      <c r="AJ270" s="4"/>
      <c r="AK270" s="1"/>
      <c r="AL270" s="1"/>
      <c r="AM270" s="1"/>
      <c r="AN270" s="1"/>
      <c r="AO270" s="1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4"/>
      <c r="BY270" s="136"/>
      <c r="BZ270" s="136"/>
      <c r="CA270" s="136"/>
      <c r="CB270" s="136"/>
      <c r="CC270" s="136"/>
      <c r="CD270" s="136"/>
      <c r="CE270" s="136"/>
      <c r="CF270" s="136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DA270" s="379">
        <f>DA269/2</f>
        <v>17.25</v>
      </c>
    </row>
    <row r="271" spans="1:105" ht="20.25" customHeight="1" x14ac:dyDescent="0.35">
      <c r="A271" s="95"/>
      <c r="B271" s="200" t="s">
        <v>1700</v>
      </c>
      <c r="C271" s="200" t="s">
        <v>288</v>
      </c>
      <c r="D271" s="239" t="s">
        <v>1229</v>
      </c>
      <c r="E271" s="95" t="s">
        <v>844</v>
      </c>
      <c r="F271" s="95" t="s">
        <v>1701</v>
      </c>
      <c r="G271" s="95" t="s">
        <v>1687</v>
      </c>
      <c r="H271" s="248">
        <f>H270/12</f>
        <v>1.3333333333333333</v>
      </c>
      <c r="I271" s="240"/>
      <c r="J271" s="4"/>
      <c r="K271" s="4"/>
      <c r="L271" s="4"/>
      <c r="M271" s="4"/>
      <c r="N271" s="108"/>
      <c r="O271" s="4"/>
      <c r="P271" s="192"/>
      <c r="Q271" s="192"/>
      <c r="R271" s="192"/>
      <c r="S271" s="192"/>
      <c r="T271" s="4"/>
      <c r="U271" s="4"/>
      <c r="V271" s="243"/>
      <c r="W271" s="4"/>
      <c r="X271" s="4"/>
      <c r="Y271" s="4"/>
      <c r="Z271" s="4"/>
      <c r="AA271" s="4"/>
      <c r="AB271" s="4"/>
      <c r="AC271" s="192"/>
      <c r="AD271" s="4"/>
      <c r="AE271" s="4"/>
      <c r="AF271" s="4"/>
      <c r="AG271" s="4"/>
      <c r="AH271" s="4"/>
      <c r="AI271" s="4"/>
      <c r="AJ271" s="4"/>
      <c r="AK271" s="1"/>
      <c r="AL271" s="1"/>
      <c r="AM271" s="1"/>
      <c r="AN271" s="1"/>
      <c r="AO271" s="1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4"/>
      <c r="BY271" s="136"/>
      <c r="BZ271" s="136"/>
      <c r="CA271" s="136"/>
      <c r="CB271" s="136"/>
      <c r="CC271" s="136"/>
      <c r="CD271" s="136"/>
      <c r="CE271" s="136"/>
      <c r="CF271" s="136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DA271" s="379">
        <f>DA269/24</f>
        <v>1.4375</v>
      </c>
    </row>
    <row r="272" spans="1:105" ht="20.25" customHeight="1" x14ac:dyDescent="0.35">
      <c r="A272" s="95"/>
      <c r="B272" s="200" t="s">
        <v>1702</v>
      </c>
      <c r="C272" s="200" t="s">
        <v>288</v>
      </c>
      <c r="D272" s="239" t="s">
        <v>1232</v>
      </c>
      <c r="E272" s="95" t="s">
        <v>592</v>
      </c>
      <c r="F272" s="95" t="s">
        <v>710</v>
      </c>
      <c r="G272" s="95" t="s">
        <v>35</v>
      </c>
      <c r="H272" s="248">
        <v>20</v>
      </c>
      <c r="I272" s="240">
        <v>24</v>
      </c>
      <c r="J272" s="4"/>
      <c r="K272" s="4"/>
      <c r="L272" s="4"/>
      <c r="M272" s="4"/>
      <c r="N272" s="108"/>
      <c r="O272" s="4"/>
      <c r="P272" s="240">
        <v>24</v>
      </c>
      <c r="Q272" s="4">
        <v>24</v>
      </c>
      <c r="R272" s="4">
        <v>24</v>
      </c>
      <c r="S272" s="4">
        <v>26</v>
      </c>
      <c r="T272" s="4"/>
      <c r="U272" s="4"/>
      <c r="V272" s="238">
        <v>26</v>
      </c>
      <c r="W272" s="4"/>
      <c r="X272" s="4"/>
      <c r="Y272" s="4"/>
      <c r="Z272" s="4"/>
      <c r="AA272" s="4">
        <v>26</v>
      </c>
      <c r="AB272" s="4"/>
      <c r="AC272" s="4">
        <v>25</v>
      </c>
      <c r="AD272" s="4"/>
      <c r="AE272" s="4"/>
      <c r="AF272" s="4"/>
      <c r="AG272" s="4"/>
      <c r="AH272" s="4"/>
      <c r="AI272" s="4"/>
      <c r="AJ272" s="4"/>
      <c r="AK272" s="1"/>
      <c r="AL272" s="1"/>
      <c r="AM272" s="1">
        <v>25</v>
      </c>
      <c r="AN272" s="1"/>
      <c r="AO272" s="1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4"/>
      <c r="BY272" s="136"/>
      <c r="BZ272" s="136">
        <v>24</v>
      </c>
      <c r="CA272" s="136"/>
      <c r="CB272" s="136"/>
      <c r="CC272" s="136"/>
      <c r="CD272" s="136"/>
      <c r="CE272" s="136"/>
      <c r="CF272" s="136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DA272" s="379">
        <v>20</v>
      </c>
    </row>
    <row r="273" spans="1:105" ht="20.25" customHeight="1" x14ac:dyDescent="0.35">
      <c r="A273" s="95"/>
      <c r="B273" s="200" t="s">
        <v>1703</v>
      </c>
      <c r="C273" s="200" t="s">
        <v>288</v>
      </c>
      <c r="D273" s="239" t="s">
        <v>1229</v>
      </c>
      <c r="E273" s="95" t="s">
        <v>48</v>
      </c>
      <c r="F273" s="95" t="s">
        <v>2265</v>
      </c>
      <c r="G273" s="95" t="s">
        <v>35</v>
      </c>
      <c r="H273" s="237">
        <v>0</v>
      </c>
      <c r="I273" s="240"/>
      <c r="J273" s="4">
        <v>18</v>
      </c>
      <c r="K273" s="4"/>
      <c r="L273" s="4"/>
      <c r="M273" s="4"/>
      <c r="N273" s="108"/>
      <c r="O273" s="4"/>
      <c r="P273" s="4">
        <v>0</v>
      </c>
      <c r="Q273" s="4"/>
      <c r="R273" s="4"/>
      <c r="S273" s="4"/>
      <c r="T273" s="4"/>
      <c r="U273" s="4"/>
      <c r="V273" s="238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1"/>
      <c r="AL273" s="1"/>
      <c r="AM273" s="1"/>
      <c r="AN273" s="1"/>
      <c r="AO273" s="1"/>
      <c r="AP273" s="4"/>
      <c r="AQ273" s="4"/>
      <c r="AR273" s="4"/>
      <c r="AS273" s="4"/>
      <c r="AT273" s="4"/>
      <c r="AU273" s="4"/>
      <c r="AV273" s="4">
        <v>18</v>
      </c>
      <c r="AW273" s="4"/>
      <c r="AX273" s="4"/>
      <c r="AY273" s="4"/>
      <c r="AZ273" s="4"/>
      <c r="BA273" s="4"/>
      <c r="BB273" s="4"/>
      <c r="BC273" s="4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4">
        <v>18</v>
      </c>
      <c r="BY273" s="136"/>
      <c r="BZ273" s="136"/>
      <c r="CA273" s="136"/>
      <c r="CB273" s="136"/>
      <c r="CC273" s="136"/>
      <c r="CD273" s="136"/>
      <c r="CE273" s="136"/>
      <c r="CF273" s="136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DA273" s="379">
        <v>16.5</v>
      </c>
    </row>
    <row r="274" spans="1:105" ht="20.25" customHeight="1" x14ac:dyDescent="0.35">
      <c r="A274" s="95"/>
      <c r="B274" s="200" t="s">
        <v>1704</v>
      </c>
      <c r="C274" s="200" t="s">
        <v>289</v>
      </c>
      <c r="D274" s="239" t="s">
        <v>1232</v>
      </c>
      <c r="E274" s="95" t="s">
        <v>844</v>
      </c>
      <c r="F274" s="95" t="s">
        <v>706</v>
      </c>
      <c r="G274" s="95" t="s">
        <v>35</v>
      </c>
      <c r="H274" s="248">
        <v>23</v>
      </c>
      <c r="I274" s="240">
        <v>32</v>
      </c>
      <c r="J274" s="4"/>
      <c r="K274" s="4"/>
      <c r="L274" s="4"/>
      <c r="M274" s="4"/>
      <c r="N274" s="240"/>
      <c r="O274" s="4"/>
      <c r="P274" s="4"/>
      <c r="Q274" s="4"/>
      <c r="R274" s="4"/>
      <c r="S274" s="4"/>
      <c r="T274" s="4"/>
      <c r="U274" s="4"/>
      <c r="V274" s="238"/>
      <c r="W274" s="4"/>
      <c r="X274" s="4"/>
      <c r="Y274" s="4"/>
      <c r="Z274" s="4"/>
      <c r="AA274" s="4"/>
      <c r="AB274" s="4"/>
      <c r="AC274" s="192"/>
      <c r="AD274" s="4"/>
      <c r="AE274" s="4"/>
      <c r="AF274" s="4"/>
      <c r="AG274" s="4"/>
      <c r="AH274" s="4"/>
      <c r="AI274" s="4"/>
      <c r="AJ274" s="192"/>
      <c r="AK274" s="1"/>
      <c r="AL274" s="1"/>
      <c r="AM274" s="1"/>
      <c r="AN274" s="1"/>
      <c r="AO274" s="1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4">
        <f>J274</f>
        <v>0</v>
      </c>
      <c r="BY274" s="136">
        <v>28</v>
      </c>
      <c r="BZ274" s="136"/>
      <c r="CA274" s="136"/>
      <c r="CB274" s="136"/>
      <c r="CC274" s="136"/>
      <c r="CD274" s="136"/>
      <c r="CE274" s="136"/>
      <c r="CF274" s="136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DA274" s="379">
        <v>23</v>
      </c>
    </row>
    <row r="275" spans="1:105" ht="20.25" customHeight="1" x14ac:dyDescent="0.35">
      <c r="A275" s="95" t="s">
        <v>81</v>
      </c>
      <c r="B275" s="200" t="s">
        <v>1705</v>
      </c>
      <c r="C275" s="200" t="s">
        <v>289</v>
      </c>
      <c r="D275" s="200"/>
      <c r="E275" s="95" t="s">
        <v>48</v>
      </c>
      <c r="F275" s="95" t="s">
        <v>706</v>
      </c>
      <c r="G275" s="95" t="s">
        <v>35</v>
      </c>
      <c r="H275" s="248">
        <v>27</v>
      </c>
      <c r="I275" s="4">
        <v>35</v>
      </c>
      <c r="J275" s="4"/>
      <c r="K275" s="4"/>
      <c r="L275" s="4">
        <v>33</v>
      </c>
      <c r="M275" s="4">
        <v>33</v>
      </c>
      <c r="N275" s="108">
        <v>33</v>
      </c>
      <c r="O275" s="4"/>
      <c r="P275" s="240">
        <v>32</v>
      </c>
      <c r="Q275" s="4">
        <v>32</v>
      </c>
      <c r="R275" s="4">
        <v>32</v>
      </c>
      <c r="S275" s="192">
        <v>34</v>
      </c>
      <c r="T275" s="146"/>
      <c r="U275" s="4"/>
      <c r="V275" s="238">
        <v>35</v>
      </c>
      <c r="W275" s="4"/>
      <c r="X275" s="4"/>
      <c r="Y275" s="4"/>
      <c r="Z275" s="4"/>
      <c r="AA275" s="4"/>
      <c r="AB275" s="4">
        <v>33</v>
      </c>
      <c r="AC275" s="4">
        <v>35</v>
      </c>
      <c r="AD275" s="4"/>
      <c r="AE275" s="4"/>
      <c r="AF275" s="4"/>
      <c r="AG275" s="4"/>
      <c r="AH275" s="4"/>
      <c r="AI275" s="4"/>
      <c r="AJ275" s="4"/>
      <c r="AK275" s="1">
        <v>32</v>
      </c>
      <c r="AL275" s="1"/>
      <c r="AM275" s="1"/>
      <c r="AN275" s="1"/>
      <c r="AO275" s="1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>
        <v>32</v>
      </c>
      <c r="BV275" s="1"/>
      <c r="BW275" s="1"/>
      <c r="BX275" s="4"/>
      <c r="BY275" s="136"/>
      <c r="BZ275" s="136">
        <v>36</v>
      </c>
      <c r="CA275" s="136"/>
      <c r="CB275" s="136"/>
      <c r="CC275" s="136"/>
      <c r="CD275" s="136"/>
      <c r="CE275" s="136"/>
      <c r="CF275" s="136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DA275" s="379">
        <v>27</v>
      </c>
    </row>
    <row r="276" spans="1:105" ht="20.25" customHeight="1" x14ac:dyDescent="0.35">
      <c r="A276" s="95" t="s">
        <v>2192</v>
      </c>
      <c r="B276" s="200" t="s">
        <v>1706</v>
      </c>
      <c r="C276" s="200" t="s">
        <v>290</v>
      </c>
      <c r="D276" s="239" t="s">
        <v>1232</v>
      </c>
      <c r="E276" s="95" t="s">
        <v>48</v>
      </c>
      <c r="F276" s="95" t="s">
        <v>707</v>
      </c>
      <c r="G276" s="95" t="s">
        <v>35</v>
      </c>
      <c r="H276" s="248">
        <v>15</v>
      </c>
      <c r="I276" s="240">
        <v>21</v>
      </c>
      <c r="J276" s="250">
        <v>20.5</v>
      </c>
      <c r="K276" s="4"/>
      <c r="L276" s="4">
        <v>21</v>
      </c>
      <c r="M276" s="4"/>
      <c r="N276" s="240">
        <v>21</v>
      </c>
      <c r="O276" s="4"/>
      <c r="P276" s="240">
        <v>21</v>
      </c>
      <c r="Q276" s="4">
        <v>22</v>
      </c>
      <c r="R276" s="4">
        <v>21</v>
      </c>
      <c r="S276" s="4">
        <v>22</v>
      </c>
      <c r="T276" s="4"/>
      <c r="U276" s="4">
        <v>22</v>
      </c>
      <c r="V276" s="238">
        <v>22</v>
      </c>
      <c r="W276" s="4"/>
      <c r="X276" s="4"/>
      <c r="Y276" s="4"/>
      <c r="Z276" s="4"/>
      <c r="AA276" s="4"/>
      <c r="AB276" s="4">
        <v>22</v>
      </c>
      <c r="AC276" s="4">
        <v>21</v>
      </c>
      <c r="AD276" s="4"/>
      <c r="AE276" s="4"/>
      <c r="AF276" s="4"/>
      <c r="AG276" s="4"/>
      <c r="AH276" s="4"/>
      <c r="AI276" s="4"/>
      <c r="AJ276" s="4">
        <v>20</v>
      </c>
      <c r="AK276" s="1"/>
      <c r="AL276" s="1"/>
      <c r="AM276" s="1"/>
      <c r="AN276" s="1"/>
      <c r="AO276" s="1"/>
      <c r="AP276" s="250">
        <v>20.5</v>
      </c>
      <c r="AQ276" s="250">
        <v>20.5</v>
      </c>
      <c r="AR276" s="250">
        <v>20.5</v>
      </c>
      <c r="AS276" s="4"/>
      <c r="AT276" s="250">
        <v>20.5</v>
      </c>
      <c r="AU276" s="250">
        <v>20.5</v>
      </c>
      <c r="AV276" s="250">
        <v>20.5</v>
      </c>
      <c r="AW276" s="250">
        <v>20.5</v>
      </c>
      <c r="AX276" s="250">
        <v>20.5</v>
      </c>
      <c r="AY276" s="250">
        <v>20.5</v>
      </c>
      <c r="AZ276" s="250">
        <v>20.5</v>
      </c>
      <c r="BA276" s="250">
        <v>20.5</v>
      </c>
      <c r="BB276" s="4"/>
      <c r="BC276" s="250">
        <v>20.5</v>
      </c>
      <c r="BD276" s="1"/>
      <c r="BE276" s="1"/>
      <c r="BF276" s="1"/>
      <c r="BG276" s="1"/>
      <c r="BH276" s="1">
        <v>23</v>
      </c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>
        <v>22</v>
      </c>
      <c r="BV276" s="1"/>
      <c r="BW276" s="1"/>
      <c r="BX276" s="250">
        <f>J276</f>
        <v>20.5</v>
      </c>
      <c r="BY276" s="136">
        <v>22</v>
      </c>
      <c r="BZ276" s="136">
        <v>21</v>
      </c>
      <c r="CA276" s="136"/>
      <c r="CB276" s="136"/>
      <c r="CC276" s="136"/>
      <c r="CD276" s="136"/>
      <c r="CE276" s="136"/>
      <c r="CF276" s="136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DA276" s="379">
        <v>16</v>
      </c>
    </row>
    <row r="277" spans="1:105" ht="20.25" customHeight="1" x14ac:dyDescent="0.35">
      <c r="A277" s="95"/>
      <c r="B277" s="200" t="s">
        <v>1707</v>
      </c>
      <c r="C277" s="200" t="s">
        <v>290</v>
      </c>
      <c r="D277" s="239" t="s">
        <v>1232</v>
      </c>
      <c r="E277" s="95" t="s">
        <v>48</v>
      </c>
      <c r="F277" s="95" t="s">
        <v>1708</v>
      </c>
      <c r="G277" s="95" t="s">
        <v>1687</v>
      </c>
      <c r="H277" s="248">
        <f>H276/24</f>
        <v>0.625</v>
      </c>
      <c r="I277" s="240"/>
      <c r="J277" s="4"/>
      <c r="K277" s="4"/>
      <c r="L277" s="4"/>
      <c r="M277" s="4"/>
      <c r="N277" s="108"/>
      <c r="O277" s="4"/>
      <c r="P277" s="4"/>
      <c r="Q277" s="4"/>
      <c r="R277" s="4"/>
      <c r="S277" s="4"/>
      <c r="T277" s="4"/>
      <c r="U277" s="4"/>
      <c r="V277" s="238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1"/>
      <c r="AL277" s="1"/>
      <c r="AM277" s="1"/>
      <c r="AN277" s="1"/>
      <c r="AO277" s="1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4"/>
      <c r="BY277" s="136"/>
      <c r="BZ277" s="136"/>
      <c r="CA277" s="136"/>
      <c r="CB277" s="136"/>
      <c r="CC277" s="136"/>
      <c r="CD277" s="136"/>
      <c r="CE277" s="136"/>
      <c r="CF277" s="136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DA277" s="379">
        <f>DA276/24</f>
        <v>0.66666666666666663</v>
      </c>
    </row>
    <row r="278" spans="1:105" ht="20.25" customHeight="1" x14ac:dyDescent="0.35">
      <c r="A278" s="95"/>
      <c r="B278" s="200" t="s">
        <v>1709</v>
      </c>
      <c r="C278" s="200" t="s">
        <v>292</v>
      </c>
      <c r="D278" s="239" t="s">
        <v>1232</v>
      </c>
      <c r="E278" s="95" t="s">
        <v>48</v>
      </c>
      <c r="F278" s="95" t="s">
        <v>708</v>
      </c>
      <c r="G278" s="95" t="s">
        <v>35</v>
      </c>
      <c r="H278" s="248">
        <v>15</v>
      </c>
      <c r="I278" s="240">
        <v>21</v>
      </c>
      <c r="J278" s="250">
        <v>20.5</v>
      </c>
      <c r="K278" s="4"/>
      <c r="L278" s="4"/>
      <c r="M278" s="4"/>
      <c r="N278" s="240">
        <v>21</v>
      </c>
      <c r="O278" s="4"/>
      <c r="P278" s="240"/>
      <c r="Q278" s="4">
        <v>22</v>
      </c>
      <c r="R278" s="4">
        <v>21</v>
      </c>
      <c r="S278" s="4">
        <v>22</v>
      </c>
      <c r="T278" s="4"/>
      <c r="U278" s="4"/>
      <c r="V278" s="238">
        <v>22</v>
      </c>
      <c r="W278" s="4"/>
      <c r="X278" s="4"/>
      <c r="Y278" s="4"/>
      <c r="Z278" s="4"/>
      <c r="AA278" s="4"/>
      <c r="AB278" s="4"/>
      <c r="AC278" s="4">
        <v>21</v>
      </c>
      <c r="AD278" s="4"/>
      <c r="AE278" s="4"/>
      <c r="AF278" s="4"/>
      <c r="AG278" s="4"/>
      <c r="AH278" s="4"/>
      <c r="AI278" s="4"/>
      <c r="AJ278" s="4"/>
      <c r="AK278" s="1"/>
      <c r="AL278" s="1"/>
      <c r="AM278" s="1">
        <v>21</v>
      </c>
      <c r="AN278" s="1"/>
      <c r="AO278" s="1"/>
      <c r="AP278" s="250">
        <v>20.5</v>
      </c>
      <c r="AQ278" s="250">
        <v>20.5</v>
      </c>
      <c r="AR278" s="250">
        <v>20.5</v>
      </c>
      <c r="AS278" s="4"/>
      <c r="AT278" s="250">
        <v>20.5</v>
      </c>
      <c r="AU278" s="250">
        <v>20.5</v>
      </c>
      <c r="AV278" s="250">
        <v>20.5</v>
      </c>
      <c r="AW278" s="250">
        <v>20.5</v>
      </c>
      <c r="AX278" s="250">
        <v>20.5</v>
      </c>
      <c r="AY278" s="250">
        <v>20.5</v>
      </c>
      <c r="AZ278" s="250">
        <v>20.5</v>
      </c>
      <c r="BA278" s="250">
        <v>20.5</v>
      </c>
      <c r="BB278" s="4"/>
      <c r="BC278" s="250">
        <v>20.5</v>
      </c>
      <c r="BD278" s="1"/>
      <c r="BE278" s="1"/>
      <c r="BF278" s="1"/>
      <c r="BG278" s="1"/>
      <c r="BH278" s="1">
        <v>23</v>
      </c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>
        <v>22</v>
      </c>
      <c r="BV278" s="1"/>
      <c r="BW278" s="1"/>
      <c r="BX278" s="4"/>
      <c r="BY278" s="136"/>
      <c r="BZ278" s="136">
        <v>21</v>
      </c>
      <c r="CA278" s="136"/>
      <c r="CB278" s="136"/>
      <c r="CC278" s="136"/>
      <c r="CD278" s="136"/>
      <c r="CE278" s="136"/>
      <c r="CF278" s="136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DA278" s="379">
        <v>16</v>
      </c>
    </row>
    <row r="279" spans="1:105" ht="20.25" customHeight="1" x14ac:dyDescent="0.35">
      <c r="A279" s="95"/>
      <c r="B279" s="200" t="s">
        <v>1710</v>
      </c>
      <c r="C279" s="200" t="s">
        <v>292</v>
      </c>
      <c r="D279" s="239" t="s">
        <v>1232</v>
      </c>
      <c r="E279" s="95" t="s">
        <v>48</v>
      </c>
      <c r="F279" s="95" t="s">
        <v>1708</v>
      </c>
      <c r="G279" s="95" t="s">
        <v>1687</v>
      </c>
      <c r="H279" s="248">
        <f>H278/24</f>
        <v>0.625</v>
      </c>
      <c r="I279" s="240"/>
      <c r="J279" s="4"/>
      <c r="K279" s="4"/>
      <c r="L279" s="4"/>
      <c r="M279" s="4"/>
      <c r="N279" s="108"/>
      <c r="O279" s="4"/>
      <c r="P279" s="4"/>
      <c r="Q279" s="4"/>
      <c r="R279" s="4"/>
      <c r="S279" s="4"/>
      <c r="T279" s="4"/>
      <c r="U279" s="4"/>
      <c r="V279" s="238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1"/>
      <c r="AL279" s="1"/>
      <c r="AM279" s="1"/>
      <c r="AN279" s="1"/>
      <c r="AO279" s="1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4"/>
      <c r="BY279" s="136"/>
      <c r="BZ279" s="136"/>
      <c r="CA279" s="136"/>
      <c r="CB279" s="136"/>
      <c r="CC279" s="136"/>
      <c r="CD279" s="136"/>
      <c r="CE279" s="136"/>
      <c r="CF279" s="136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DA279" s="379">
        <f>DA278/24</f>
        <v>0.66666666666666663</v>
      </c>
    </row>
    <row r="280" spans="1:105" ht="20.25" customHeight="1" x14ac:dyDescent="0.35">
      <c r="A280" s="95"/>
      <c r="B280" s="200" t="s">
        <v>1711</v>
      </c>
      <c r="C280" s="200" t="s">
        <v>336</v>
      </c>
      <c r="D280" s="239" t="s">
        <v>1177</v>
      </c>
      <c r="E280" s="95" t="s">
        <v>1233</v>
      </c>
      <c r="F280" s="95" t="s">
        <v>1713</v>
      </c>
      <c r="G280" s="95" t="s">
        <v>35</v>
      </c>
      <c r="H280" s="248">
        <v>45</v>
      </c>
      <c r="I280" s="240"/>
      <c r="J280" s="4"/>
      <c r="K280" s="4"/>
      <c r="L280" s="4"/>
      <c r="M280" s="4"/>
      <c r="N280" s="108"/>
      <c r="O280" s="4"/>
      <c r="P280" s="4"/>
      <c r="Q280" s="4"/>
      <c r="R280" s="4"/>
      <c r="S280" s="4"/>
      <c r="T280" s="4"/>
      <c r="U280" s="4"/>
      <c r="V280" s="238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1"/>
      <c r="AL280" s="1"/>
      <c r="AM280" s="1"/>
      <c r="AN280" s="1"/>
      <c r="AO280" s="1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4"/>
      <c r="BY280" s="136"/>
      <c r="BZ280" s="136"/>
      <c r="CA280" s="136"/>
      <c r="CB280" s="136"/>
      <c r="CC280" s="136"/>
      <c r="CD280" s="136"/>
      <c r="CE280" s="136"/>
      <c r="CF280" s="136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DA280" s="379">
        <v>45</v>
      </c>
    </row>
    <row r="281" spans="1:105" ht="20.25" customHeight="1" x14ac:dyDescent="0.35">
      <c r="A281" s="95"/>
      <c r="B281" s="200" t="s">
        <v>1712</v>
      </c>
      <c r="C281" s="200" t="s">
        <v>336</v>
      </c>
      <c r="D281" s="239" t="s">
        <v>1177</v>
      </c>
      <c r="E281" s="95" t="s">
        <v>1233</v>
      </c>
      <c r="F281" s="95" t="s">
        <v>545</v>
      </c>
      <c r="G281" s="95" t="s">
        <v>1687</v>
      </c>
      <c r="H281" s="248">
        <f>H280/6</f>
        <v>7.5</v>
      </c>
      <c r="I281" s="240">
        <v>9.8000000000000007</v>
      </c>
      <c r="J281" s="4"/>
      <c r="K281" s="4"/>
      <c r="L281" s="4"/>
      <c r="M281" s="4"/>
      <c r="N281" s="108"/>
      <c r="O281" s="4"/>
      <c r="P281" s="4"/>
      <c r="Q281" s="4"/>
      <c r="R281" s="4"/>
      <c r="S281" s="4"/>
      <c r="T281" s="4"/>
      <c r="U281" s="4">
        <v>11</v>
      </c>
      <c r="V281" s="4"/>
      <c r="W281" s="4"/>
      <c r="X281" s="4"/>
      <c r="Y281" s="4">
        <v>8.67</v>
      </c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>
        <v>11</v>
      </c>
      <c r="AK281" s="1"/>
      <c r="AL281" s="1"/>
      <c r="AM281" s="1"/>
      <c r="AN281" s="1"/>
      <c r="AO281" s="1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>
        <v>10</v>
      </c>
      <c r="BR281" s="1"/>
      <c r="BS281" s="1"/>
      <c r="BT281" s="1"/>
      <c r="BU281" s="1"/>
      <c r="BV281" s="1"/>
      <c r="BW281" s="1"/>
      <c r="BX281" s="4"/>
      <c r="BY281" s="136">
        <v>11</v>
      </c>
      <c r="BZ281" s="136">
        <v>11</v>
      </c>
      <c r="CA281" s="136"/>
      <c r="CB281" s="136"/>
      <c r="CC281" s="136">
        <v>10</v>
      </c>
      <c r="CD281" s="136"/>
      <c r="CE281" s="136"/>
      <c r="CF281" s="136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DA281" s="379">
        <f>DA280/6</f>
        <v>7.5</v>
      </c>
    </row>
    <row r="282" spans="1:105" ht="20.25" customHeight="1" x14ac:dyDescent="0.35">
      <c r="A282" s="95"/>
      <c r="B282" s="200" t="s">
        <v>1890</v>
      </c>
      <c r="C282" s="200" t="s">
        <v>1415</v>
      </c>
      <c r="D282" s="200"/>
      <c r="E282" s="95" t="s">
        <v>1416</v>
      </c>
      <c r="F282" s="95" t="s">
        <v>1417</v>
      </c>
      <c r="G282" s="95" t="s">
        <v>35</v>
      </c>
      <c r="H282" s="227">
        <v>36</v>
      </c>
      <c r="I282" s="4"/>
      <c r="J282" s="4"/>
      <c r="K282" s="4"/>
      <c r="L282" s="4"/>
      <c r="M282" s="4"/>
      <c r="N282" s="108"/>
      <c r="O282" s="4"/>
      <c r="P282" s="4"/>
      <c r="Q282" s="4"/>
      <c r="R282" s="4"/>
      <c r="S282" s="4"/>
      <c r="T282" s="4"/>
      <c r="U282" s="4"/>
      <c r="V282" s="238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1"/>
      <c r="AL282" s="1"/>
      <c r="AM282" s="1"/>
      <c r="AN282" s="1"/>
      <c r="AO282" s="1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4"/>
      <c r="BY282" s="136"/>
      <c r="BZ282" s="136"/>
      <c r="CA282" s="136"/>
      <c r="CB282" s="136"/>
      <c r="CC282" s="136"/>
      <c r="CD282" s="136"/>
      <c r="CE282" s="136"/>
      <c r="CF282" s="136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DA282" s="379">
        <v>45</v>
      </c>
    </row>
    <row r="283" spans="1:105" ht="20.25" customHeight="1" x14ac:dyDescent="0.35">
      <c r="A283" s="95"/>
      <c r="B283" s="200" t="s">
        <v>1880</v>
      </c>
      <c r="C283" s="200" t="s">
        <v>1415</v>
      </c>
      <c r="D283" s="200"/>
      <c r="E283" s="95" t="s">
        <v>1416</v>
      </c>
      <c r="F283" s="95" t="s">
        <v>75</v>
      </c>
      <c r="G283" s="95" t="s">
        <v>1714</v>
      </c>
      <c r="H283" s="227"/>
      <c r="I283" s="4"/>
      <c r="J283" s="4"/>
      <c r="K283" s="4"/>
      <c r="L283" s="4"/>
      <c r="M283" s="4"/>
      <c r="N283" s="108"/>
      <c r="O283" s="4"/>
      <c r="P283" s="4"/>
      <c r="Q283" s="4"/>
      <c r="R283" s="4"/>
      <c r="S283" s="4"/>
      <c r="T283" s="4"/>
      <c r="U283" s="4"/>
      <c r="V283" s="238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1"/>
      <c r="AL283" s="1"/>
      <c r="AM283" s="1"/>
      <c r="AN283" s="1"/>
      <c r="AO283" s="1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4"/>
      <c r="BY283" s="136"/>
      <c r="BZ283" s="136">
        <v>4.5</v>
      </c>
      <c r="CA283" s="136"/>
      <c r="CB283" s="136"/>
      <c r="CC283" s="136"/>
      <c r="CD283" s="136"/>
      <c r="CE283" s="136"/>
      <c r="CF283" s="136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DA283" s="379">
        <f>DA282/12</f>
        <v>3.75</v>
      </c>
    </row>
    <row r="284" spans="1:105" ht="20.25" customHeight="1" x14ac:dyDescent="0.35">
      <c r="A284" s="95"/>
      <c r="B284" s="200" t="s">
        <v>1715</v>
      </c>
      <c r="C284" s="200" t="s">
        <v>1411</v>
      </c>
      <c r="D284" s="239" t="s">
        <v>1232</v>
      </c>
      <c r="E284" s="95" t="s">
        <v>1412</v>
      </c>
      <c r="F284" s="95" t="s">
        <v>1225</v>
      </c>
      <c r="G284" s="95" t="s">
        <v>35</v>
      </c>
      <c r="H284" s="248">
        <v>50</v>
      </c>
      <c r="I284" s="240">
        <v>56</v>
      </c>
      <c r="J284" s="4">
        <v>52.8</v>
      </c>
      <c r="K284" s="4"/>
      <c r="L284" s="4"/>
      <c r="M284" s="4"/>
      <c r="N284" s="108"/>
      <c r="O284" s="4">
        <v>54</v>
      </c>
      <c r="P284" s="4"/>
      <c r="Q284" s="4"/>
      <c r="R284" s="4">
        <v>54</v>
      </c>
      <c r="S284" s="4"/>
      <c r="T284" s="4"/>
      <c r="U284" s="4"/>
      <c r="V284" s="238"/>
      <c r="W284" s="4"/>
      <c r="X284" s="4"/>
      <c r="Y284" s="4"/>
      <c r="Z284" s="4"/>
      <c r="AA284" s="4"/>
      <c r="AB284" s="4"/>
      <c r="AC284" s="4">
        <v>54</v>
      </c>
      <c r="AD284" s="4"/>
      <c r="AE284" s="4"/>
      <c r="AF284" s="4"/>
      <c r="AG284" s="4"/>
      <c r="AH284" s="4"/>
      <c r="AI284" s="4"/>
      <c r="AJ284" s="4"/>
      <c r="AK284" s="249">
        <v>56</v>
      </c>
      <c r="AL284" s="1"/>
      <c r="AM284" s="1">
        <v>55</v>
      </c>
      <c r="AN284" s="1"/>
      <c r="AO284" s="1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>
        <v>52.8</v>
      </c>
      <c r="BA284" s="4"/>
      <c r="BB284" s="4"/>
      <c r="BC284" s="4"/>
      <c r="BD284" s="1"/>
      <c r="BE284" s="1"/>
      <c r="BF284" s="1"/>
      <c r="BG284" s="1"/>
      <c r="BH284" s="1">
        <v>58</v>
      </c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>
        <v>58</v>
      </c>
      <c r="BU284" s="1"/>
      <c r="BV284" s="1"/>
      <c r="BW284" s="1"/>
      <c r="BX284" s="4"/>
      <c r="BY284" s="136"/>
      <c r="BZ284" s="136">
        <v>58</v>
      </c>
      <c r="CA284" s="136"/>
      <c r="CB284" s="136"/>
      <c r="CC284" s="136"/>
      <c r="CD284" s="136"/>
      <c r="CE284" s="136"/>
      <c r="CF284" s="136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DA284" s="379">
        <v>50</v>
      </c>
    </row>
    <row r="285" spans="1:105" ht="20.25" customHeight="1" x14ac:dyDescent="0.35">
      <c r="A285" s="6"/>
      <c r="B285" s="200" t="s">
        <v>1716</v>
      </c>
      <c r="C285" s="200" t="s">
        <v>1411</v>
      </c>
      <c r="D285" s="239" t="s">
        <v>1232</v>
      </c>
      <c r="E285" s="95" t="s">
        <v>1412</v>
      </c>
      <c r="F285" s="95" t="s">
        <v>678</v>
      </c>
      <c r="G285" s="95" t="s">
        <v>679</v>
      </c>
      <c r="H285" s="248">
        <f>H284/48</f>
        <v>1.0416666666666667</v>
      </c>
      <c r="I285" s="4">
        <v>0</v>
      </c>
      <c r="J285" s="4"/>
      <c r="K285" s="4"/>
      <c r="L285" s="4"/>
      <c r="M285" s="4"/>
      <c r="N285" s="385">
        <v>1.3</v>
      </c>
      <c r="O285" s="4"/>
      <c r="P285" s="4"/>
      <c r="Q285" s="4"/>
      <c r="R285" s="4"/>
      <c r="S285" s="4"/>
      <c r="T285" s="4"/>
      <c r="U285" s="4">
        <v>1.2</v>
      </c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1"/>
      <c r="AL285" s="1"/>
      <c r="AM285" s="1"/>
      <c r="AN285" s="1"/>
      <c r="AO285" s="1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>
        <v>1.1499999999999999</v>
      </c>
      <c r="BU285" s="1"/>
      <c r="BV285" s="1"/>
      <c r="BW285" s="1"/>
      <c r="BX285" s="4"/>
      <c r="BY285" s="136"/>
      <c r="BZ285" s="136">
        <f>1.15</f>
        <v>1.1499999999999999</v>
      </c>
      <c r="CA285" s="136"/>
      <c r="CB285" s="136"/>
      <c r="CC285" s="136"/>
      <c r="CD285" s="136"/>
      <c r="CE285" s="136"/>
      <c r="CF285" s="136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DA285" s="379">
        <f>DA284/48</f>
        <v>1.0416666666666667</v>
      </c>
    </row>
    <row r="286" spans="1:105" ht="20.25" customHeight="1" x14ac:dyDescent="0.35">
      <c r="A286" s="95"/>
      <c r="B286" s="200" t="s">
        <v>1717</v>
      </c>
      <c r="C286" s="200" t="s">
        <v>1410</v>
      </c>
      <c r="D286" s="239" t="s">
        <v>1232</v>
      </c>
      <c r="E286" s="95" t="s">
        <v>673</v>
      </c>
      <c r="F286" s="95" t="s">
        <v>1224</v>
      </c>
      <c r="G286" s="95" t="s">
        <v>35</v>
      </c>
      <c r="H286" s="248">
        <v>46.5</v>
      </c>
      <c r="I286" s="240">
        <v>52</v>
      </c>
      <c r="J286" s="4"/>
      <c r="K286" s="4"/>
      <c r="L286" s="4"/>
      <c r="M286" s="4"/>
      <c r="N286" s="108"/>
      <c r="O286" s="4"/>
      <c r="P286" s="240">
        <v>54</v>
      </c>
      <c r="Q286" s="4"/>
      <c r="R286" s="4"/>
      <c r="S286" s="4"/>
      <c r="T286" s="4"/>
      <c r="U286" s="4"/>
      <c r="V286" s="238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249">
        <v>52</v>
      </c>
      <c r="AL286" s="1"/>
      <c r="AM286" s="1"/>
      <c r="AN286" s="1"/>
      <c r="AO286" s="1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4"/>
      <c r="BY286" s="136">
        <v>52</v>
      </c>
      <c r="BZ286" s="136"/>
      <c r="CA286" s="136"/>
      <c r="CB286" s="136">
        <v>52</v>
      </c>
      <c r="CC286" s="136"/>
      <c r="CD286" s="136"/>
      <c r="CE286" s="136"/>
      <c r="CF286" s="136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DA286" s="379">
        <v>48.5</v>
      </c>
    </row>
    <row r="287" spans="1:105" ht="20.25" customHeight="1" x14ac:dyDescent="0.35">
      <c r="A287" s="95"/>
      <c r="B287" s="200" t="s">
        <v>1718</v>
      </c>
      <c r="C287" s="200" t="s">
        <v>1410</v>
      </c>
      <c r="D287" s="239" t="s">
        <v>1232</v>
      </c>
      <c r="E287" s="95" t="s">
        <v>673</v>
      </c>
      <c r="F287" s="95" t="s">
        <v>1338</v>
      </c>
      <c r="G287" s="95" t="s">
        <v>35</v>
      </c>
      <c r="H287" s="248">
        <f>H286/48</f>
        <v>0.96875</v>
      </c>
      <c r="I287" s="240"/>
      <c r="J287" s="4"/>
      <c r="K287" s="4"/>
      <c r="L287" s="4"/>
      <c r="M287" s="4"/>
      <c r="N287" s="108"/>
      <c r="O287" s="4"/>
      <c r="P287" s="4"/>
      <c r="Q287" s="4"/>
      <c r="R287" s="4"/>
      <c r="S287" s="4"/>
      <c r="T287" s="4"/>
      <c r="U287" s="4"/>
      <c r="V287" s="238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249"/>
      <c r="AL287" s="1"/>
      <c r="AM287" s="1"/>
      <c r="AN287" s="1"/>
      <c r="AO287" s="1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4"/>
      <c r="BY287" s="136"/>
      <c r="BZ287" s="136"/>
      <c r="CA287" s="136"/>
      <c r="CB287" s="136"/>
      <c r="CC287" s="136"/>
      <c r="CD287" s="136"/>
      <c r="CE287" s="136"/>
      <c r="CF287" s="136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DA287" s="379">
        <f>DA286/48</f>
        <v>1.0104166666666667</v>
      </c>
    </row>
    <row r="288" spans="1:105" ht="20.25" customHeight="1" x14ac:dyDescent="0.35">
      <c r="A288" s="95"/>
      <c r="B288" s="200" t="s">
        <v>1720</v>
      </c>
      <c r="C288" s="200" t="s">
        <v>1719</v>
      </c>
      <c r="D288" s="239" t="s">
        <v>1232</v>
      </c>
      <c r="E288" s="95" t="s">
        <v>682</v>
      </c>
      <c r="F288" s="95" t="s">
        <v>1226</v>
      </c>
      <c r="G288" s="95" t="s">
        <v>35</v>
      </c>
      <c r="H288" s="248">
        <v>38.5</v>
      </c>
      <c r="I288" s="240">
        <v>43</v>
      </c>
      <c r="J288" s="4"/>
      <c r="K288" s="4"/>
      <c r="L288" s="4"/>
      <c r="M288" s="4"/>
      <c r="N288" s="108"/>
      <c r="O288" s="4"/>
      <c r="P288" s="240">
        <v>43</v>
      </c>
      <c r="Q288" s="4"/>
      <c r="R288" s="4">
        <v>43</v>
      </c>
      <c r="S288" s="4"/>
      <c r="T288" s="4"/>
      <c r="U288" s="4">
        <v>43</v>
      </c>
      <c r="V288" s="238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1"/>
      <c r="AL288" s="1"/>
      <c r="AM288" s="1"/>
      <c r="AN288" s="1"/>
      <c r="AO288" s="1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1"/>
      <c r="BE288" s="1"/>
      <c r="BF288" s="1"/>
      <c r="BG288" s="1"/>
      <c r="BH288" s="1">
        <v>45</v>
      </c>
      <c r="BI288" s="1">
        <v>45</v>
      </c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>
        <v>44</v>
      </c>
      <c r="BU288" s="1"/>
      <c r="BV288" s="1"/>
      <c r="BW288" s="1"/>
      <c r="BX288" s="4"/>
      <c r="BY288" s="136"/>
      <c r="BZ288" s="136">
        <v>44</v>
      </c>
      <c r="CA288" s="136"/>
      <c r="CB288" s="136">
        <v>44</v>
      </c>
      <c r="CC288" s="136"/>
      <c r="CD288" s="136"/>
      <c r="CE288" s="136"/>
      <c r="CF288" s="136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DA288" s="379">
        <v>38</v>
      </c>
    </row>
    <row r="289" spans="1:105" ht="20.25" customHeight="1" x14ac:dyDescent="0.35">
      <c r="A289" s="95"/>
      <c r="B289" s="200" t="s">
        <v>1721</v>
      </c>
      <c r="C289" s="200" t="s">
        <v>1719</v>
      </c>
      <c r="D289" s="239" t="s">
        <v>1232</v>
      </c>
      <c r="E289" s="95" t="s">
        <v>682</v>
      </c>
      <c r="F289" s="95" t="s">
        <v>1722</v>
      </c>
      <c r="G289" s="95" t="s">
        <v>1687</v>
      </c>
      <c r="H289" s="248">
        <f>H288/48</f>
        <v>0.80208333333333337</v>
      </c>
      <c r="I289" s="240"/>
      <c r="J289" s="4"/>
      <c r="K289" s="4"/>
      <c r="L289" s="4"/>
      <c r="M289" s="4"/>
      <c r="N289" s="108"/>
      <c r="O289" s="4"/>
      <c r="P289" s="4"/>
      <c r="Q289" s="4"/>
      <c r="R289" s="4"/>
      <c r="S289" s="4"/>
      <c r="T289" s="4"/>
      <c r="U289" s="136">
        <v>1</v>
      </c>
      <c r="V289" s="238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1"/>
      <c r="AL289" s="1"/>
      <c r="AM289" s="1"/>
      <c r="AN289" s="1"/>
      <c r="AO289" s="1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4"/>
      <c r="BY289" s="136"/>
      <c r="BZ289" s="136"/>
      <c r="CA289" s="136"/>
      <c r="CB289" s="136">
        <v>1</v>
      </c>
      <c r="CC289" s="136"/>
      <c r="CD289" s="136"/>
      <c r="CE289" s="136"/>
      <c r="CF289" s="136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DA289" s="379">
        <f>DA288/48</f>
        <v>0.79166666666666663</v>
      </c>
    </row>
    <row r="290" spans="1:105" ht="20.25" customHeight="1" x14ac:dyDescent="0.35">
      <c r="A290" s="95"/>
      <c r="B290" s="200" t="s">
        <v>1723</v>
      </c>
      <c r="C290" s="200" t="s">
        <v>672</v>
      </c>
      <c r="D290" s="239" t="s">
        <v>1101</v>
      </c>
      <c r="E290" s="95" t="s">
        <v>673</v>
      </c>
      <c r="F290" s="95" t="s">
        <v>1228</v>
      </c>
      <c r="G290" s="95" t="s">
        <v>35</v>
      </c>
      <c r="H290" s="237"/>
      <c r="I290" s="240">
        <v>25</v>
      </c>
      <c r="J290" s="4"/>
      <c r="K290" s="4"/>
      <c r="L290" s="4"/>
      <c r="M290" s="4"/>
      <c r="N290" s="108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1"/>
      <c r="AL290" s="1"/>
      <c r="AM290" s="1"/>
      <c r="AN290" s="1"/>
      <c r="AO290" s="1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4"/>
      <c r="BY290" s="136"/>
      <c r="BZ290" s="136"/>
      <c r="CA290" s="136"/>
      <c r="CB290" s="136"/>
      <c r="CC290" s="136"/>
      <c r="CD290" s="136"/>
      <c r="CE290" s="136"/>
      <c r="CF290" s="136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DA290" s="379">
        <v>0</v>
      </c>
    </row>
    <row r="291" spans="1:105" ht="20.25" customHeight="1" x14ac:dyDescent="0.35">
      <c r="A291" s="95"/>
      <c r="B291" s="200" t="s">
        <v>1724</v>
      </c>
      <c r="C291" s="200" t="s">
        <v>697</v>
      </c>
      <c r="D291" s="239" t="s">
        <v>1101</v>
      </c>
      <c r="E291" s="95" t="s">
        <v>698</v>
      </c>
      <c r="F291" s="95" t="s">
        <v>1228</v>
      </c>
      <c r="G291" s="95" t="s">
        <v>35</v>
      </c>
      <c r="H291" s="237">
        <v>22.8</v>
      </c>
      <c r="I291" s="240">
        <v>25</v>
      </c>
      <c r="J291" s="4"/>
      <c r="K291" s="4"/>
      <c r="L291" s="4"/>
      <c r="M291" s="4"/>
      <c r="N291" s="108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>
        <v>22.8</v>
      </c>
      <c r="AG291" s="4"/>
      <c r="AH291" s="4"/>
      <c r="AI291" s="4"/>
      <c r="AJ291" s="4"/>
      <c r="AK291" s="1"/>
      <c r="AL291" s="1"/>
      <c r="AM291" s="1"/>
      <c r="AN291" s="1"/>
      <c r="AO291" s="1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4"/>
      <c r="BY291" s="136"/>
      <c r="BZ291" s="136"/>
      <c r="CA291" s="136"/>
      <c r="CB291" s="136"/>
      <c r="CC291" s="136"/>
      <c r="CD291" s="136"/>
      <c r="CE291" s="136"/>
      <c r="CF291" s="136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DA291" s="379">
        <v>0</v>
      </c>
    </row>
    <row r="292" spans="1:105" ht="20.25" customHeight="1" x14ac:dyDescent="0.35">
      <c r="A292" s="6"/>
      <c r="B292" s="200" t="s">
        <v>1725</v>
      </c>
      <c r="C292" s="200" t="s">
        <v>676</v>
      </c>
      <c r="D292" s="200"/>
      <c r="E292" s="6" t="s">
        <v>883</v>
      </c>
      <c r="F292" s="6" t="s">
        <v>884</v>
      </c>
      <c r="G292" s="6" t="s">
        <v>35</v>
      </c>
      <c r="H292" s="237"/>
      <c r="I292" s="4"/>
      <c r="J292" s="4"/>
      <c r="K292" s="4"/>
      <c r="L292" s="4"/>
      <c r="M292" s="4"/>
      <c r="N292" s="108"/>
      <c r="O292" s="4"/>
      <c r="P292" s="4"/>
      <c r="Q292" s="4"/>
      <c r="R292" s="4">
        <v>66</v>
      </c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1"/>
      <c r="AL292" s="1"/>
      <c r="AM292" s="1"/>
      <c r="AN292" s="1"/>
      <c r="AO292" s="1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1"/>
      <c r="BE292" s="1"/>
      <c r="BF292" s="1"/>
      <c r="BG292" s="1"/>
      <c r="BH292" s="1"/>
      <c r="BI292" s="1">
        <v>66</v>
      </c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4"/>
      <c r="BY292" s="136"/>
      <c r="BZ292" s="136"/>
      <c r="CA292" s="136"/>
      <c r="CB292" s="136"/>
      <c r="CC292" s="136"/>
      <c r="CD292" s="136"/>
      <c r="CE292" s="136"/>
      <c r="CF292" s="136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DA292" s="379">
        <v>0</v>
      </c>
    </row>
    <row r="293" spans="1:105" ht="20.25" customHeight="1" x14ac:dyDescent="0.35">
      <c r="A293" s="95"/>
      <c r="B293" s="200" t="s">
        <v>1726</v>
      </c>
      <c r="C293" s="200" t="s">
        <v>459</v>
      </c>
      <c r="D293" s="239" t="s">
        <v>1229</v>
      </c>
      <c r="E293" s="95" t="s">
        <v>592</v>
      </c>
      <c r="F293" s="95" t="s">
        <v>709</v>
      </c>
      <c r="G293" s="95" t="s">
        <v>38</v>
      </c>
      <c r="H293" s="248">
        <v>21</v>
      </c>
      <c r="I293" s="240">
        <v>30</v>
      </c>
      <c r="J293" s="4">
        <v>32</v>
      </c>
      <c r="K293" s="4"/>
      <c r="L293" s="4">
        <v>32</v>
      </c>
      <c r="M293" s="4"/>
      <c r="N293" s="108"/>
      <c r="O293" s="4"/>
      <c r="P293" s="240">
        <v>30</v>
      </c>
      <c r="Q293" s="4">
        <v>32</v>
      </c>
      <c r="R293" s="4">
        <v>30</v>
      </c>
      <c r="S293" s="4">
        <v>32</v>
      </c>
      <c r="T293" s="4"/>
      <c r="U293" s="4"/>
      <c r="V293" s="238"/>
      <c r="W293" s="4"/>
      <c r="X293" s="4"/>
      <c r="Y293" s="4"/>
      <c r="Z293" s="4"/>
      <c r="AA293" s="4"/>
      <c r="AB293" s="4"/>
      <c r="AC293" s="4"/>
      <c r="AD293" s="4"/>
      <c r="AE293" s="4"/>
      <c r="AF293" s="4">
        <v>32</v>
      </c>
      <c r="AG293" s="4"/>
      <c r="AH293" s="4"/>
      <c r="AI293" s="4"/>
      <c r="AJ293" s="4"/>
      <c r="AK293" s="1">
        <v>32</v>
      </c>
      <c r="AL293" s="1"/>
      <c r="AM293" s="1">
        <v>32</v>
      </c>
      <c r="AN293" s="1"/>
      <c r="AO293" s="136">
        <v>32</v>
      </c>
      <c r="AP293" s="4">
        <v>32</v>
      </c>
      <c r="AQ293" s="4"/>
      <c r="AR293" s="4">
        <v>32</v>
      </c>
      <c r="AS293" s="4"/>
      <c r="AT293" s="4">
        <v>32</v>
      </c>
      <c r="AU293" s="4">
        <v>32</v>
      </c>
      <c r="AV293" s="4">
        <v>32</v>
      </c>
      <c r="AW293" s="4">
        <v>32</v>
      </c>
      <c r="AX293" s="4">
        <v>32</v>
      </c>
      <c r="AY293" s="4">
        <v>32</v>
      </c>
      <c r="AZ293" s="4">
        <v>32</v>
      </c>
      <c r="BA293" s="4">
        <v>32</v>
      </c>
      <c r="BB293" s="4"/>
      <c r="BC293" s="4">
        <v>32</v>
      </c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4">
        <f>J293</f>
        <v>32</v>
      </c>
      <c r="BY293" s="136"/>
      <c r="BZ293" s="136">
        <v>32</v>
      </c>
      <c r="CA293" s="136"/>
      <c r="CB293" s="136"/>
      <c r="CC293" s="136"/>
      <c r="CD293" s="136"/>
      <c r="CE293" s="136"/>
      <c r="CF293" s="136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DA293" s="379">
        <v>21</v>
      </c>
    </row>
    <row r="294" spans="1:105" ht="20.25" customHeight="1" x14ac:dyDescent="0.35">
      <c r="A294" s="95"/>
      <c r="B294" s="200" t="s">
        <v>1727</v>
      </c>
      <c r="C294" s="200" t="s">
        <v>294</v>
      </c>
      <c r="D294" s="239" t="s">
        <v>1229</v>
      </c>
      <c r="E294" s="95" t="s">
        <v>467</v>
      </c>
      <c r="F294" s="95" t="s">
        <v>710</v>
      </c>
      <c r="G294" s="95" t="s">
        <v>35</v>
      </c>
      <c r="H294" s="248">
        <v>21</v>
      </c>
      <c r="I294" s="240">
        <v>24</v>
      </c>
      <c r="J294" s="4">
        <v>24</v>
      </c>
      <c r="K294" s="4"/>
      <c r="L294" s="4"/>
      <c r="M294" s="4"/>
      <c r="N294" s="108"/>
      <c r="O294" s="4"/>
      <c r="P294" s="240">
        <v>24</v>
      </c>
      <c r="Q294" s="4">
        <v>24</v>
      </c>
      <c r="R294" s="4">
        <v>24</v>
      </c>
      <c r="S294" s="4"/>
      <c r="T294" s="4"/>
      <c r="U294" s="4"/>
      <c r="V294" s="238"/>
      <c r="W294" s="4"/>
      <c r="X294" s="4"/>
      <c r="Y294" s="4"/>
      <c r="Z294" s="4"/>
      <c r="AA294" s="4"/>
      <c r="AB294" s="4"/>
      <c r="AC294" s="4">
        <v>24</v>
      </c>
      <c r="AD294" s="4"/>
      <c r="AE294" s="4"/>
      <c r="AF294" s="4"/>
      <c r="AG294" s="4"/>
      <c r="AH294" s="4"/>
      <c r="AI294" s="4"/>
      <c r="AJ294" s="4"/>
      <c r="AK294" s="1"/>
      <c r="AL294" s="1"/>
      <c r="AM294" s="1"/>
      <c r="AN294" s="1"/>
      <c r="AO294" s="1"/>
      <c r="AP294" s="4">
        <v>24</v>
      </c>
      <c r="AQ294" s="4">
        <v>24</v>
      </c>
      <c r="AR294" s="4">
        <v>24</v>
      </c>
      <c r="AS294" s="4"/>
      <c r="AT294" s="4">
        <v>24</v>
      </c>
      <c r="AU294" s="4">
        <v>24</v>
      </c>
      <c r="AV294" s="4">
        <v>24</v>
      </c>
      <c r="AW294" s="4">
        <v>24</v>
      </c>
      <c r="AX294" s="4">
        <v>24</v>
      </c>
      <c r="AY294" s="4">
        <v>24</v>
      </c>
      <c r="AZ294" s="4">
        <v>24</v>
      </c>
      <c r="BA294" s="4">
        <v>24</v>
      </c>
      <c r="BB294" s="4"/>
      <c r="BC294" s="4">
        <v>24</v>
      </c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4"/>
      <c r="BY294" s="136"/>
      <c r="BZ294" s="136"/>
      <c r="CA294" s="136"/>
      <c r="CB294" s="136"/>
      <c r="CC294" s="136"/>
      <c r="CD294" s="136"/>
      <c r="CE294" s="136"/>
      <c r="CF294" s="136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DA294" s="379">
        <f>170/10</f>
        <v>17</v>
      </c>
    </row>
    <row r="295" spans="1:105" ht="20.25" customHeight="1" x14ac:dyDescent="0.35">
      <c r="A295" s="95"/>
      <c r="B295" s="200" t="s">
        <v>1732</v>
      </c>
      <c r="C295" s="200" t="s">
        <v>1728</v>
      </c>
      <c r="D295" s="95" t="s">
        <v>1729</v>
      </c>
      <c r="E295" s="95" t="s">
        <v>1730</v>
      </c>
      <c r="F295" s="62" t="s">
        <v>1731</v>
      </c>
      <c r="G295" s="62" t="s">
        <v>35</v>
      </c>
      <c r="H295" s="237"/>
      <c r="I295" s="240"/>
      <c r="J295" s="4"/>
      <c r="K295" s="4"/>
      <c r="L295" s="4"/>
      <c r="M295" s="4"/>
      <c r="N295" s="108"/>
      <c r="O295" s="4"/>
      <c r="P295" s="4"/>
      <c r="Q295" s="4"/>
      <c r="R295" s="4"/>
      <c r="S295" s="4"/>
      <c r="T295" s="4"/>
      <c r="U295" s="4"/>
      <c r="V295" s="238"/>
      <c r="W295" s="4"/>
      <c r="X295" s="4"/>
      <c r="Y295" s="4"/>
      <c r="Z295" s="4"/>
      <c r="AA295" s="4">
        <v>41</v>
      </c>
      <c r="AB295" s="4"/>
      <c r="AC295" s="4"/>
      <c r="AD295" s="4"/>
      <c r="AE295" s="4"/>
      <c r="AF295" s="4"/>
      <c r="AG295" s="4"/>
      <c r="AH295" s="4"/>
      <c r="AI295" s="4"/>
      <c r="AJ295" s="4"/>
      <c r="AK295" s="1"/>
      <c r="AL295" s="1"/>
      <c r="AM295" s="1"/>
      <c r="AN295" s="1"/>
      <c r="AO295" s="1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4"/>
      <c r="BY295" s="136"/>
      <c r="BZ295" s="136"/>
      <c r="CA295" s="136"/>
      <c r="CB295" s="136"/>
      <c r="CC295" s="136"/>
      <c r="CD295" s="136"/>
      <c r="CE295" s="136"/>
      <c r="CF295" s="136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DA295" s="379">
        <f>36</f>
        <v>36</v>
      </c>
    </row>
    <row r="296" spans="1:105" ht="20.25" customHeight="1" x14ac:dyDescent="0.35">
      <c r="A296" s="95"/>
      <c r="B296" s="200" t="s">
        <v>1733</v>
      </c>
      <c r="C296" s="200" t="s">
        <v>614</v>
      </c>
      <c r="D296" s="239" t="s">
        <v>1229</v>
      </c>
      <c r="E296" s="95" t="s">
        <v>592</v>
      </c>
      <c r="F296" s="95" t="s">
        <v>711</v>
      </c>
      <c r="G296" s="95" t="s">
        <v>35</v>
      </c>
      <c r="H296" s="248">
        <v>34</v>
      </c>
      <c r="I296" s="240">
        <v>34</v>
      </c>
      <c r="J296" s="4"/>
      <c r="K296" s="4"/>
      <c r="L296" s="4"/>
      <c r="M296" s="4"/>
      <c r="N296" s="240">
        <v>38</v>
      </c>
      <c r="O296" s="4">
        <v>38</v>
      </c>
      <c r="P296" s="240">
        <v>38</v>
      </c>
      <c r="Q296" s="4"/>
      <c r="R296" s="4">
        <v>38</v>
      </c>
      <c r="S296" s="4"/>
      <c r="T296" s="4"/>
      <c r="U296" s="4"/>
      <c r="V296" s="238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1"/>
      <c r="AL296" s="1"/>
      <c r="AM296" s="1"/>
      <c r="AN296" s="1"/>
      <c r="AO296" s="1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4"/>
      <c r="BY296" s="136"/>
      <c r="BZ296" s="136"/>
      <c r="CA296" s="136"/>
      <c r="CB296" s="136"/>
      <c r="CC296" s="136"/>
      <c r="CD296" s="136"/>
      <c r="CE296" s="136"/>
      <c r="CF296" s="136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DA296" s="379">
        <v>34</v>
      </c>
    </row>
    <row r="297" spans="1:105" ht="20.25" customHeight="1" x14ac:dyDescent="0.35">
      <c r="A297" s="95"/>
      <c r="B297" s="200" t="s">
        <v>1734</v>
      </c>
      <c r="C297" s="200" t="s">
        <v>354</v>
      </c>
      <c r="D297" s="95"/>
      <c r="E297" s="95" t="s">
        <v>36</v>
      </c>
      <c r="F297" s="62" t="s">
        <v>39</v>
      </c>
      <c r="G297" s="62" t="s">
        <v>33</v>
      </c>
      <c r="H297" s="141"/>
      <c r="I297" s="240"/>
      <c r="J297" s="4"/>
      <c r="K297" s="4"/>
      <c r="L297" s="4"/>
      <c r="M297" s="4"/>
      <c r="N297" s="108"/>
      <c r="O297" s="4"/>
      <c r="P297" s="4"/>
      <c r="Q297" s="4"/>
      <c r="R297" s="4"/>
      <c r="S297" s="4"/>
      <c r="T297" s="4"/>
      <c r="U297" s="4"/>
      <c r="V297" s="238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1"/>
      <c r="AL297" s="1"/>
      <c r="AM297" s="1"/>
      <c r="AN297" s="1"/>
      <c r="AO297" s="1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4"/>
      <c r="BY297" s="136"/>
      <c r="BZ297" s="136"/>
      <c r="CA297" s="136"/>
      <c r="CB297" s="136"/>
      <c r="CC297" s="136"/>
      <c r="CD297" s="136"/>
      <c r="CE297" s="136"/>
      <c r="CF297" s="136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DA297" s="379">
        <v>0</v>
      </c>
    </row>
    <row r="298" spans="1:105" ht="20.25" customHeight="1" x14ac:dyDescent="0.35">
      <c r="A298" s="6"/>
      <c r="B298" s="200" t="s">
        <v>1735</v>
      </c>
      <c r="C298" s="200" t="s">
        <v>488</v>
      </c>
      <c r="D298" s="6"/>
      <c r="E298" s="6" t="s">
        <v>48</v>
      </c>
      <c r="F298" s="95" t="s">
        <v>707</v>
      </c>
      <c r="G298" s="6" t="s">
        <v>38</v>
      </c>
      <c r="H298" s="237"/>
      <c r="I298" s="4"/>
      <c r="J298" s="4"/>
      <c r="K298" s="4"/>
      <c r="L298" s="4"/>
      <c r="M298" s="4"/>
      <c r="N298" s="108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1"/>
      <c r="AL298" s="1"/>
      <c r="AM298" s="1"/>
      <c r="AN298" s="1"/>
      <c r="AO298" s="1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4"/>
      <c r="BY298" s="136"/>
      <c r="BZ298" s="136"/>
      <c r="CA298" s="136"/>
      <c r="CB298" s="136"/>
      <c r="CC298" s="136"/>
      <c r="CD298" s="136"/>
      <c r="CE298" s="136"/>
      <c r="CF298" s="136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DA298" s="379">
        <v>16</v>
      </c>
    </row>
    <row r="299" spans="1:105" ht="20.25" customHeight="1" x14ac:dyDescent="0.35">
      <c r="A299" s="95"/>
      <c r="B299" s="200" t="s">
        <v>1736</v>
      </c>
      <c r="C299" s="200" t="s">
        <v>328</v>
      </c>
      <c r="D299" s="239" t="s">
        <v>494</v>
      </c>
      <c r="E299" s="95" t="s">
        <v>59</v>
      </c>
      <c r="F299" s="95" t="s">
        <v>712</v>
      </c>
      <c r="G299" s="95" t="s">
        <v>38</v>
      </c>
      <c r="H299" s="237">
        <v>41</v>
      </c>
      <c r="I299" s="240">
        <v>42</v>
      </c>
      <c r="J299" s="4">
        <v>42</v>
      </c>
      <c r="K299" s="4"/>
      <c r="L299" s="4"/>
      <c r="M299" s="4"/>
      <c r="N299" s="108"/>
      <c r="O299" s="4">
        <v>41</v>
      </c>
      <c r="P299" s="240">
        <v>41</v>
      </c>
      <c r="Q299" s="4">
        <v>41</v>
      </c>
      <c r="R299" s="4"/>
      <c r="S299" s="4">
        <v>42</v>
      </c>
      <c r="T299" s="4"/>
      <c r="U299" s="4"/>
      <c r="V299" s="238">
        <v>42</v>
      </c>
      <c r="W299" s="4"/>
      <c r="X299" s="4"/>
      <c r="Y299" s="4">
        <v>41</v>
      </c>
      <c r="Z299" s="4">
        <v>41</v>
      </c>
      <c r="AA299" s="4"/>
      <c r="AB299" s="4"/>
      <c r="AC299" s="4">
        <v>41</v>
      </c>
      <c r="AD299" s="4"/>
      <c r="AE299" s="4"/>
      <c r="AF299" s="4">
        <v>41</v>
      </c>
      <c r="AG299" s="4"/>
      <c r="AH299" s="4"/>
      <c r="AI299" s="4"/>
      <c r="AJ299" s="4">
        <v>42</v>
      </c>
      <c r="AK299" s="1"/>
      <c r="AL299" s="1"/>
      <c r="AM299" s="1"/>
      <c r="AN299" s="1"/>
      <c r="AO299" s="4">
        <v>42</v>
      </c>
      <c r="AP299" s="4">
        <v>42</v>
      </c>
      <c r="AQ299" s="4">
        <v>42</v>
      </c>
      <c r="AR299" s="4">
        <v>42</v>
      </c>
      <c r="AS299" s="4"/>
      <c r="AT299" s="4">
        <v>42</v>
      </c>
      <c r="AU299" s="4">
        <v>42</v>
      </c>
      <c r="AV299" s="4">
        <v>42</v>
      </c>
      <c r="AW299" s="4">
        <v>42</v>
      </c>
      <c r="AX299" s="4">
        <v>42</v>
      </c>
      <c r="AY299" s="4">
        <v>42</v>
      </c>
      <c r="AZ299" s="4">
        <v>42</v>
      </c>
      <c r="BA299" s="4">
        <v>42</v>
      </c>
      <c r="BB299" s="4"/>
      <c r="BC299" s="4">
        <v>42</v>
      </c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4">
        <f>J299</f>
        <v>42</v>
      </c>
      <c r="BY299" s="136"/>
      <c r="BZ299" s="136">
        <v>42</v>
      </c>
      <c r="CA299" s="136"/>
      <c r="CB299" s="136"/>
      <c r="CC299" s="136"/>
      <c r="CD299" s="136"/>
      <c r="CE299" s="136"/>
      <c r="CF299" s="136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DA299" s="379">
        <v>35.5</v>
      </c>
    </row>
    <row r="300" spans="1:105" ht="20.25" customHeight="1" x14ac:dyDescent="0.35">
      <c r="A300" s="95"/>
      <c r="B300" s="200" t="s">
        <v>1737</v>
      </c>
      <c r="C300" s="200" t="s">
        <v>328</v>
      </c>
      <c r="D300" s="239" t="s">
        <v>494</v>
      </c>
      <c r="E300" s="95" t="s">
        <v>59</v>
      </c>
      <c r="F300" s="95" t="s">
        <v>713</v>
      </c>
      <c r="G300" s="95" t="s">
        <v>38</v>
      </c>
      <c r="H300" s="237">
        <v>22</v>
      </c>
      <c r="I300" s="240">
        <v>24</v>
      </c>
      <c r="J300" s="4"/>
      <c r="K300" s="4"/>
      <c r="L300" s="4"/>
      <c r="M300" s="4"/>
      <c r="N300" s="108"/>
      <c r="O300" s="4"/>
      <c r="P300" s="4"/>
      <c r="Q300" s="4"/>
      <c r="R300" s="4"/>
      <c r="S300" s="4"/>
      <c r="T300" s="4"/>
      <c r="U300" s="4">
        <v>26</v>
      </c>
      <c r="V300" s="238"/>
      <c r="W300" s="4"/>
      <c r="X300" s="4"/>
      <c r="Y300" s="4"/>
      <c r="Z300" s="4">
        <v>23</v>
      </c>
      <c r="AA300" s="4"/>
      <c r="AB300" s="4">
        <v>23</v>
      </c>
      <c r="AC300" s="4">
        <v>22</v>
      </c>
      <c r="AD300" s="4"/>
      <c r="AE300" s="4"/>
      <c r="AF300" s="4"/>
      <c r="AG300" s="4"/>
      <c r="AH300" s="4"/>
      <c r="AI300" s="4"/>
      <c r="AJ300" s="4"/>
      <c r="AK300" s="1"/>
      <c r="AL300" s="1"/>
      <c r="AM300" s="1"/>
      <c r="AN300" s="1"/>
      <c r="AO300" s="1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>
        <v>24</v>
      </c>
      <c r="BP300" s="1"/>
      <c r="BQ300" s="1"/>
      <c r="BR300" s="1"/>
      <c r="BS300" s="1"/>
      <c r="BT300" s="1"/>
      <c r="BU300" s="1">
        <v>23</v>
      </c>
      <c r="BV300" s="1"/>
      <c r="BW300" s="1"/>
      <c r="BX300" s="4"/>
      <c r="BY300" s="136">
        <v>23</v>
      </c>
      <c r="BZ300" s="136"/>
      <c r="CA300" s="136">
        <v>23</v>
      </c>
      <c r="CB300" s="136"/>
      <c r="CC300" s="136"/>
      <c r="CD300" s="136"/>
      <c r="CE300" s="136"/>
      <c r="CF300" s="136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DA300" s="379">
        <v>20</v>
      </c>
    </row>
    <row r="301" spans="1:105" ht="20.25" customHeight="1" x14ac:dyDescent="0.35">
      <c r="A301" s="95"/>
      <c r="B301" s="200" t="s">
        <v>1738</v>
      </c>
      <c r="C301" s="200" t="s">
        <v>328</v>
      </c>
      <c r="D301" s="95"/>
      <c r="E301" s="95" t="s">
        <v>1739</v>
      </c>
      <c r="F301" s="62" t="s">
        <v>1740</v>
      </c>
      <c r="G301" s="95"/>
      <c r="H301" s="237"/>
      <c r="I301" s="240"/>
      <c r="J301" s="4"/>
      <c r="K301" s="4"/>
      <c r="L301" s="4"/>
      <c r="M301" s="4"/>
      <c r="N301" s="108"/>
      <c r="O301" s="4"/>
      <c r="P301" s="4"/>
      <c r="Q301" s="4"/>
      <c r="R301" s="4"/>
      <c r="S301" s="4"/>
      <c r="T301" s="4"/>
      <c r="U301" s="4"/>
      <c r="V301" s="238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1"/>
      <c r="AL301" s="1"/>
      <c r="AM301" s="1"/>
      <c r="AN301" s="1"/>
      <c r="AO301" s="1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4"/>
      <c r="BY301" s="136"/>
      <c r="BZ301" s="136"/>
      <c r="CA301" s="136"/>
      <c r="CB301" s="136"/>
      <c r="CC301" s="136"/>
      <c r="CD301" s="136"/>
      <c r="CE301" s="136"/>
      <c r="CF301" s="136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DA301" s="379">
        <v>0</v>
      </c>
    </row>
    <row r="302" spans="1:105" ht="20.25" customHeight="1" x14ac:dyDescent="0.35">
      <c r="A302" s="95"/>
      <c r="B302" s="200" t="s">
        <v>1741</v>
      </c>
      <c r="C302" s="200" t="s">
        <v>328</v>
      </c>
      <c r="D302" s="239" t="s">
        <v>494</v>
      </c>
      <c r="E302" s="95" t="s">
        <v>181</v>
      </c>
      <c r="F302" s="95" t="s">
        <v>712</v>
      </c>
      <c r="G302" s="95" t="s">
        <v>38</v>
      </c>
      <c r="H302" s="237">
        <v>38</v>
      </c>
      <c r="I302" s="240">
        <v>40</v>
      </c>
      <c r="J302" s="4"/>
      <c r="K302" s="4"/>
      <c r="L302" s="4"/>
      <c r="M302" s="4"/>
      <c r="N302" s="108"/>
      <c r="O302" s="4">
        <v>38</v>
      </c>
      <c r="P302" s="4"/>
      <c r="Q302" s="4"/>
      <c r="R302" s="4"/>
      <c r="S302" s="4"/>
      <c r="T302" s="4"/>
      <c r="U302" s="4"/>
      <c r="V302" s="238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1"/>
      <c r="AL302" s="1"/>
      <c r="AM302" s="1">
        <f>228/6</f>
        <v>38</v>
      </c>
      <c r="AN302" s="1"/>
      <c r="AO302" s="1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4"/>
      <c r="BY302" s="136"/>
      <c r="BZ302" s="136"/>
      <c r="CA302" s="136"/>
      <c r="CB302" s="136"/>
      <c r="CC302" s="136"/>
      <c r="CD302" s="136"/>
      <c r="CE302" s="136"/>
      <c r="CF302" s="136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DA302" s="379">
        <f>3450/113</f>
        <v>30.530973451327434</v>
      </c>
    </row>
    <row r="303" spans="1:105" ht="20.25" customHeight="1" x14ac:dyDescent="0.35">
      <c r="A303" s="95"/>
      <c r="B303" s="200" t="s">
        <v>1742</v>
      </c>
      <c r="C303" s="200" t="s">
        <v>491</v>
      </c>
      <c r="D303" s="239" t="s">
        <v>1101</v>
      </c>
      <c r="E303" s="95" t="s">
        <v>36</v>
      </c>
      <c r="F303" s="95" t="s">
        <v>173</v>
      </c>
      <c r="G303" s="95" t="s">
        <v>51</v>
      </c>
      <c r="H303" s="237">
        <v>10.8</v>
      </c>
      <c r="I303" s="240">
        <v>8</v>
      </c>
      <c r="J303" s="4"/>
      <c r="K303" s="4"/>
      <c r="L303" s="4">
        <f>1.8*6</f>
        <v>10.8</v>
      </c>
      <c r="M303" s="4"/>
      <c r="N303" s="108"/>
      <c r="O303" s="4"/>
      <c r="P303" s="4"/>
      <c r="Q303" s="4"/>
      <c r="R303" s="4">
        <v>21</v>
      </c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1"/>
      <c r="AL303" s="1"/>
      <c r="AM303" s="1"/>
      <c r="AN303" s="1"/>
      <c r="AO303" s="1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4"/>
      <c r="BY303" s="136"/>
      <c r="BZ303" s="136"/>
      <c r="CA303" s="136"/>
      <c r="CB303" s="136"/>
      <c r="CC303" s="136"/>
      <c r="CD303" s="136"/>
      <c r="CE303" s="136"/>
      <c r="CF303" s="136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DA303" s="379">
        <v>6.2</v>
      </c>
    </row>
    <row r="304" spans="1:105" ht="20.25" customHeight="1" x14ac:dyDescent="0.35">
      <c r="A304" s="95"/>
      <c r="B304" s="200" t="s">
        <v>1743</v>
      </c>
      <c r="C304" s="200" t="s">
        <v>344</v>
      </c>
      <c r="D304" s="239" t="s">
        <v>846</v>
      </c>
      <c r="E304" s="95" t="s">
        <v>36</v>
      </c>
      <c r="F304" s="95" t="s">
        <v>268</v>
      </c>
      <c r="G304" s="95" t="s">
        <v>269</v>
      </c>
      <c r="H304" s="237">
        <v>20</v>
      </c>
      <c r="I304" s="240">
        <v>22</v>
      </c>
      <c r="J304" s="4"/>
      <c r="K304" s="4"/>
      <c r="L304" s="4"/>
      <c r="M304" s="4"/>
      <c r="N304" s="108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1"/>
      <c r="AL304" s="1"/>
      <c r="AM304" s="1"/>
      <c r="AN304" s="1"/>
      <c r="AO304" s="1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4"/>
      <c r="BY304" s="136"/>
      <c r="BZ304" s="136"/>
      <c r="CA304" s="136"/>
      <c r="CB304" s="136"/>
      <c r="CC304" s="136"/>
      <c r="CD304" s="136"/>
      <c r="CE304" s="136"/>
      <c r="CF304" s="136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DA304" s="379">
        <v>27</v>
      </c>
    </row>
    <row r="305" spans="1:105" ht="20.25" customHeight="1" x14ac:dyDescent="0.35">
      <c r="A305" s="95"/>
      <c r="B305" s="200" t="s">
        <v>1744</v>
      </c>
      <c r="C305" s="200" t="s">
        <v>345</v>
      </c>
      <c r="D305" s="239" t="s">
        <v>846</v>
      </c>
      <c r="E305" s="95" t="s">
        <v>36</v>
      </c>
      <c r="F305" s="95" t="s">
        <v>268</v>
      </c>
      <c r="G305" s="95" t="s">
        <v>269</v>
      </c>
      <c r="H305" s="140">
        <f>18*1.07+21*0.01</f>
        <v>19.470000000000002</v>
      </c>
      <c r="I305" s="240">
        <v>22</v>
      </c>
      <c r="J305" s="4"/>
      <c r="K305" s="4"/>
      <c r="L305" s="4"/>
      <c r="M305" s="4"/>
      <c r="N305" s="108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>
        <v>22</v>
      </c>
      <c r="AC305" s="4"/>
      <c r="AD305" s="4"/>
      <c r="AE305" s="4"/>
      <c r="AF305" s="4"/>
      <c r="AG305" s="4"/>
      <c r="AH305" s="4"/>
      <c r="AI305" s="4"/>
      <c r="AJ305" s="4"/>
      <c r="AK305" s="1"/>
      <c r="AL305" s="1"/>
      <c r="AM305" s="1"/>
      <c r="AN305" s="1"/>
      <c r="AO305" s="1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1"/>
      <c r="BE305" s="1"/>
      <c r="BF305" s="1"/>
      <c r="BG305" s="1"/>
      <c r="BH305" s="1"/>
      <c r="BI305" s="1">
        <v>21</v>
      </c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4"/>
      <c r="BY305" s="136"/>
      <c r="BZ305" s="136">
        <v>22</v>
      </c>
      <c r="CA305" s="136"/>
      <c r="CB305" s="136"/>
      <c r="CC305" s="136"/>
      <c r="CD305" s="136"/>
      <c r="CE305" s="136"/>
      <c r="CF305" s="136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DA305" s="379">
        <v>27</v>
      </c>
    </row>
    <row r="306" spans="1:105" ht="20.25" customHeight="1" x14ac:dyDescent="0.35">
      <c r="A306" s="95"/>
      <c r="B306" s="200" t="s">
        <v>1745</v>
      </c>
      <c r="C306" s="200" t="s">
        <v>346</v>
      </c>
      <c r="D306" s="239" t="s">
        <v>846</v>
      </c>
      <c r="E306" s="95" t="s">
        <v>36</v>
      </c>
      <c r="F306" s="95" t="s">
        <v>268</v>
      </c>
      <c r="G306" s="95" t="s">
        <v>269</v>
      </c>
      <c r="H306" s="237">
        <v>20</v>
      </c>
      <c r="I306" s="240">
        <v>22</v>
      </c>
      <c r="J306" s="4"/>
      <c r="K306" s="4"/>
      <c r="L306" s="4"/>
      <c r="M306" s="4"/>
      <c r="N306" s="108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1"/>
      <c r="AL306" s="1"/>
      <c r="AM306" s="1"/>
      <c r="AN306" s="1"/>
      <c r="AO306" s="1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4"/>
      <c r="BY306" s="136"/>
      <c r="BZ306" s="136"/>
      <c r="CA306" s="136"/>
      <c r="CB306" s="136"/>
      <c r="CC306" s="136"/>
      <c r="CD306" s="136"/>
      <c r="CE306" s="136"/>
      <c r="CF306" s="136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DA306" s="379">
        <v>27</v>
      </c>
    </row>
    <row r="307" spans="1:105" ht="20.25" customHeight="1" x14ac:dyDescent="0.35">
      <c r="A307" s="95"/>
      <c r="B307" s="200" t="s">
        <v>1746</v>
      </c>
      <c r="C307" s="200" t="s">
        <v>347</v>
      </c>
      <c r="D307" s="239" t="s">
        <v>846</v>
      </c>
      <c r="E307" s="95" t="s">
        <v>36</v>
      </c>
      <c r="F307" s="95" t="s">
        <v>268</v>
      </c>
      <c r="G307" s="95" t="s">
        <v>269</v>
      </c>
      <c r="H307" s="237">
        <v>15</v>
      </c>
      <c r="I307" s="240">
        <v>16</v>
      </c>
      <c r="J307" s="4"/>
      <c r="K307" s="4"/>
      <c r="L307" s="4"/>
      <c r="M307" s="4"/>
      <c r="N307" s="108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>
        <v>18</v>
      </c>
      <c r="AF307" s="4"/>
      <c r="AG307" s="4"/>
      <c r="AH307" s="4"/>
      <c r="AI307" s="4"/>
      <c r="AJ307" s="4"/>
      <c r="AK307" s="1"/>
      <c r="AL307" s="1"/>
      <c r="AM307" s="1"/>
      <c r="AN307" s="1"/>
      <c r="AO307" s="1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4"/>
      <c r="BY307" s="136"/>
      <c r="BZ307" s="136">
        <v>18</v>
      </c>
      <c r="CA307" s="136"/>
      <c r="CB307" s="136"/>
      <c r="CC307" s="136"/>
      <c r="CD307" s="136"/>
      <c r="CE307" s="136"/>
      <c r="CF307" s="136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DA307" s="379">
        <v>13.5</v>
      </c>
    </row>
    <row r="308" spans="1:105" ht="20.25" customHeight="1" x14ac:dyDescent="0.35">
      <c r="A308" s="6"/>
      <c r="B308" s="200" t="s">
        <v>1747</v>
      </c>
      <c r="C308" s="200" t="s">
        <v>1748</v>
      </c>
      <c r="D308" s="95" t="s">
        <v>1177</v>
      </c>
      <c r="E308" s="95" t="s">
        <v>36</v>
      </c>
      <c r="F308" s="62" t="s">
        <v>880</v>
      </c>
      <c r="G308" s="6"/>
      <c r="H308" s="237"/>
      <c r="I308" s="4"/>
      <c r="J308" s="4"/>
      <c r="K308" s="4"/>
      <c r="L308" s="4"/>
      <c r="M308" s="4"/>
      <c r="N308" s="108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1"/>
      <c r="AL308" s="1"/>
      <c r="AM308" s="1"/>
      <c r="AN308" s="1"/>
      <c r="AO308" s="1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4"/>
      <c r="BY308" s="136"/>
      <c r="BZ308" s="136"/>
      <c r="CA308" s="136"/>
      <c r="CB308" s="136"/>
      <c r="CC308" s="136"/>
      <c r="CD308" s="136"/>
      <c r="CE308" s="136"/>
      <c r="CF308" s="136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DA308" s="379"/>
    </row>
    <row r="309" spans="1:105" ht="20.25" customHeight="1" x14ac:dyDescent="0.35">
      <c r="A309" s="6"/>
      <c r="B309" s="200" t="s">
        <v>1749</v>
      </c>
      <c r="C309" s="200" t="s">
        <v>1750</v>
      </c>
      <c r="D309" s="95" t="s">
        <v>1177</v>
      </c>
      <c r="E309" s="95" t="s">
        <v>36</v>
      </c>
      <c r="F309" s="62" t="s">
        <v>880</v>
      </c>
      <c r="G309" s="6"/>
      <c r="H309" s="237"/>
      <c r="I309" s="4"/>
      <c r="J309" s="4"/>
      <c r="K309" s="4"/>
      <c r="L309" s="4"/>
      <c r="M309" s="4"/>
      <c r="N309" s="108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1"/>
      <c r="AL309" s="1"/>
      <c r="AM309" s="1"/>
      <c r="AN309" s="1"/>
      <c r="AO309" s="1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4"/>
      <c r="BY309" s="136"/>
      <c r="BZ309" s="136"/>
      <c r="CA309" s="136"/>
      <c r="CB309" s="136"/>
      <c r="CC309" s="136"/>
      <c r="CD309" s="136"/>
      <c r="CE309" s="136"/>
      <c r="CF309" s="136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DA309" s="379"/>
    </row>
    <row r="310" spans="1:105" ht="20.25" customHeight="1" x14ac:dyDescent="0.35">
      <c r="A310" s="6"/>
      <c r="B310" s="200" t="s">
        <v>1751</v>
      </c>
      <c r="C310" s="200" t="s">
        <v>1752</v>
      </c>
      <c r="D310" s="95"/>
      <c r="E310" s="95" t="s">
        <v>36</v>
      </c>
      <c r="F310" s="62" t="s">
        <v>880</v>
      </c>
      <c r="G310" s="6"/>
      <c r="H310" s="237"/>
      <c r="I310" s="4"/>
      <c r="J310" s="4"/>
      <c r="K310" s="4"/>
      <c r="L310" s="4"/>
      <c r="M310" s="4"/>
      <c r="N310" s="108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1"/>
      <c r="AL310" s="1"/>
      <c r="AM310" s="1"/>
      <c r="AN310" s="1"/>
      <c r="AO310" s="1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4"/>
      <c r="BY310" s="136"/>
      <c r="BZ310" s="136"/>
      <c r="CA310" s="136"/>
      <c r="CB310" s="136"/>
      <c r="CC310" s="136"/>
      <c r="CD310" s="136"/>
      <c r="CE310" s="136"/>
      <c r="CF310" s="136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DA310" s="379"/>
    </row>
    <row r="311" spans="1:105" ht="20.25" customHeight="1" x14ac:dyDescent="0.35">
      <c r="A311" s="6"/>
      <c r="B311" s="200" t="s">
        <v>1753</v>
      </c>
      <c r="C311" s="200" t="s">
        <v>1383</v>
      </c>
      <c r="D311" s="79"/>
      <c r="E311" s="62" t="s">
        <v>36</v>
      </c>
      <c r="F311" s="62" t="s">
        <v>1384</v>
      </c>
      <c r="G311" s="6"/>
      <c r="H311" s="237"/>
      <c r="I311" s="4"/>
      <c r="J311" s="4"/>
      <c r="K311" s="4"/>
      <c r="L311" s="4"/>
      <c r="M311" s="4"/>
      <c r="N311" s="108"/>
      <c r="O311" s="4"/>
      <c r="P311" s="4"/>
      <c r="Q311" s="4"/>
      <c r="R311" s="4">
        <v>6.5</v>
      </c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1"/>
      <c r="AL311" s="1"/>
      <c r="AM311" s="1"/>
      <c r="AN311" s="1"/>
      <c r="AO311" s="1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4"/>
      <c r="BY311" s="136"/>
      <c r="BZ311" s="136"/>
      <c r="CA311" s="136"/>
      <c r="CB311" s="136"/>
      <c r="CC311" s="136"/>
      <c r="CD311" s="136"/>
      <c r="CE311" s="136"/>
      <c r="CF311" s="136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DA311" s="379">
        <v>5</v>
      </c>
    </row>
    <row r="312" spans="1:105" ht="20.25" customHeight="1" x14ac:dyDescent="0.35">
      <c r="A312" s="6"/>
      <c r="B312" s="200" t="s">
        <v>1754</v>
      </c>
      <c r="C312" s="200" t="s">
        <v>1755</v>
      </c>
      <c r="D312" s="95"/>
      <c r="E312" s="95" t="s">
        <v>36</v>
      </c>
      <c r="F312" s="62" t="s">
        <v>880</v>
      </c>
      <c r="G312" s="6"/>
      <c r="H312" s="237"/>
      <c r="I312" s="4"/>
      <c r="J312" s="4"/>
      <c r="K312" s="4"/>
      <c r="L312" s="4"/>
      <c r="M312" s="4"/>
      <c r="N312" s="108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1"/>
      <c r="AL312" s="1"/>
      <c r="AM312" s="1"/>
      <c r="AN312" s="1"/>
      <c r="AO312" s="1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4"/>
      <c r="BY312" s="136"/>
      <c r="BZ312" s="136"/>
      <c r="CA312" s="136"/>
      <c r="CB312" s="136"/>
      <c r="CC312" s="136"/>
      <c r="CD312" s="136"/>
      <c r="CE312" s="136"/>
      <c r="CF312" s="136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DA312" s="379"/>
    </row>
    <row r="313" spans="1:105" ht="20.25" customHeight="1" x14ac:dyDescent="0.35">
      <c r="A313" s="6"/>
      <c r="B313" s="200" t="s">
        <v>1756</v>
      </c>
      <c r="C313" s="200" t="s">
        <v>2248</v>
      </c>
      <c r="D313" s="95" t="s">
        <v>1101</v>
      </c>
      <c r="E313" s="95" t="s">
        <v>36</v>
      </c>
      <c r="F313" s="62" t="s">
        <v>268</v>
      </c>
      <c r="G313" s="6"/>
      <c r="H313" s="237"/>
      <c r="I313" s="4"/>
      <c r="J313" s="4"/>
      <c r="K313" s="4"/>
      <c r="L313" s="4"/>
      <c r="M313" s="4"/>
      <c r="N313" s="108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>
        <v>22</v>
      </c>
      <c r="AC313" s="4"/>
      <c r="AD313" s="4"/>
      <c r="AE313" s="4"/>
      <c r="AF313" s="4"/>
      <c r="AG313" s="4"/>
      <c r="AH313" s="4"/>
      <c r="AI313" s="4"/>
      <c r="AJ313" s="4"/>
      <c r="AK313" s="1"/>
      <c r="AL313" s="1"/>
      <c r="AM313" s="1"/>
      <c r="AN313" s="1"/>
      <c r="AO313" s="1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4"/>
      <c r="BY313" s="136"/>
      <c r="BZ313" s="136"/>
      <c r="CA313" s="136"/>
      <c r="CB313" s="136"/>
      <c r="CC313" s="136"/>
      <c r="CD313" s="136"/>
      <c r="CE313" s="136"/>
      <c r="CF313" s="136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DA313" s="379">
        <v>18</v>
      </c>
    </row>
    <row r="314" spans="1:105" ht="20.25" customHeight="1" x14ac:dyDescent="0.35">
      <c r="A314" s="6" t="s">
        <v>2253</v>
      </c>
      <c r="B314" s="200" t="s">
        <v>1757</v>
      </c>
      <c r="C314" s="200" t="s">
        <v>1758</v>
      </c>
      <c r="D314" s="95" t="s">
        <v>1177</v>
      </c>
      <c r="E314" s="95" t="s">
        <v>36</v>
      </c>
      <c r="F314" s="95" t="s">
        <v>880</v>
      </c>
      <c r="G314" s="6"/>
      <c r="H314" s="237">
        <v>17.3</v>
      </c>
      <c r="I314" s="4">
        <v>23</v>
      </c>
      <c r="J314" s="4"/>
      <c r="K314" s="4"/>
      <c r="L314" s="4"/>
      <c r="M314" s="4"/>
      <c r="N314" s="108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1"/>
      <c r="AL314" s="1"/>
      <c r="AM314" s="1"/>
      <c r="AN314" s="1"/>
      <c r="AO314" s="1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4"/>
      <c r="BY314" s="136"/>
      <c r="BZ314" s="136"/>
      <c r="CA314" s="136"/>
      <c r="CB314" s="136"/>
      <c r="CC314" s="136"/>
      <c r="CD314" s="136"/>
      <c r="CE314" s="136"/>
      <c r="CF314" s="136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DA314" s="379">
        <v>17.3</v>
      </c>
    </row>
    <row r="315" spans="1:105" ht="20.25" customHeight="1" x14ac:dyDescent="0.35">
      <c r="A315" s="6"/>
      <c r="B315" s="200" t="s">
        <v>1759</v>
      </c>
      <c r="C315" s="200" t="s">
        <v>1760</v>
      </c>
      <c r="D315" s="95" t="s">
        <v>1177</v>
      </c>
      <c r="E315" s="95"/>
      <c r="F315" s="95" t="s">
        <v>529</v>
      </c>
      <c r="G315" s="6"/>
      <c r="H315" s="237"/>
      <c r="I315" s="4"/>
      <c r="J315" s="4"/>
      <c r="K315" s="4"/>
      <c r="L315" s="4"/>
      <c r="M315" s="4"/>
      <c r="N315" s="108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>
        <v>14.8</v>
      </c>
      <c r="AE315" s="4"/>
      <c r="AF315" s="4"/>
      <c r="AG315" s="4"/>
      <c r="AH315" s="4"/>
      <c r="AI315" s="4"/>
      <c r="AJ315" s="4"/>
      <c r="AK315" s="1"/>
      <c r="AL315" s="1"/>
      <c r="AM315" s="1"/>
      <c r="AN315" s="1"/>
      <c r="AO315" s="1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>
        <v>18</v>
      </c>
      <c r="BV315" s="1"/>
      <c r="BW315" s="1"/>
      <c r="BX315" s="4"/>
      <c r="BY315" s="136">
        <v>18</v>
      </c>
      <c r="BZ315" s="136">
        <v>0</v>
      </c>
      <c r="CA315" s="136"/>
      <c r="CB315" s="136"/>
      <c r="CC315" s="136"/>
      <c r="CD315" s="136"/>
      <c r="CE315" s="136"/>
      <c r="CF315" s="136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DA315" s="379">
        <v>12</v>
      </c>
    </row>
    <row r="316" spans="1:105" ht="20.25" customHeight="1" x14ac:dyDescent="0.35">
      <c r="A316" s="6"/>
      <c r="B316" s="200" t="s">
        <v>1888</v>
      </c>
      <c r="C316" s="200" t="s">
        <v>1886</v>
      </c>
      <c r="D316" s="239" t="s">
        <v>36</v>
      </c>
      <c r="E316" s="95" t="s">
        <v>1730</v>
      </c>
      <c r="F316" s="95" t="s">
        <v>1887</v>
      </c>
      <c r="G316" s="95" t="s">
        <v>38</v>
      </c>
      <c r="H316" s="305">
        <v>32</v>
      </c>
      <c r="I316" s="1"/>
      <c r="J316" s="4"/>
      <c r="K316" s="4"/>
      <c r="L316" s="4"/>
      <c r="M316" s="4"/>
      <c r="N316" s="108"/>
      <c r="O316" s="4"/>
      <c r="P316" s="305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1"/>
      <c r="AL316" s="1"/>
      <c r="AM316" s="1"/>
      <c r="AN316" s="1"/>
      <c r="AO316" s="1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4"/>
      <c r="BY316" s="136"/>
      <c r="BZ316" s="136">
        <v>40</v>
      </c>
      <c r="CA316" s="136"/>
      <c r="CB316" s="136"/>
      <c r="CC316" s="136"/>
      <c r="CD316" s="136"/>
      <c r="CE316" s="136"/>
      <c r="CF316" s="136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DA316" s="379">
        <v>32.4</v>
      </c>
    </row>
    <row r="317" spans="1:105" ht="20.25" customHeight="1" x14ac:dyDescent="0.35">
      <c r="A317" s="6"/>
      <c r="B317" s="200" t="s">
        <v>2002</v>
      </c>
      <c r="C317" s="200" t="s">
        <v>2172</v>
      </c>
      <c r="D317" s="95" t="s">
        <v>1232</v>
      </c>
      <c r="E317" s="95" t="s">
        <v>2012</v>
      </c>
      <c r="F317" s="62" t="s">
        <v>100</v>
      </c>
      <c r="G317" s="62" t="s">
        <v>45</v>
      </c>
      <c r="H317" s="305">
        <v>23</v>
      </c>
      <c r="I317" s="1"/>
      <c r="J317" s="4"/>
      <c r="K317" s="4"/>
      <c r="L317" s="4"/>
      <c r="M317" s="4"/>
      <c r="N317" s="108"/>
      <c r="O317" s="4"/>
      <c r="P317" s="305"/>
      <c r="Q317" s="4">
        <v>26</v>
      </c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1"/>
      <c r="AL317" s="1"/>
      <c r="AM317" s="1"/>
      <c r="AN317" s="1"/>
      <c r="AO317" s="1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4"/>
      <c r="BY317" s="136"/>
      <c r="BZ317" s="136"/>
      <c r="CA317" s="136"/>
      <c r="CB317" s="136"/>
      <c r="CC317" s="136"/>
      <c r="CD317" s="136"/>
      <c r="CE317" s="136"/>
      <c r="CF317" s="136"/>
      <c r="CG317" s="1"/>
      <c r="CH317" s="1">
        <v>2.79</v>
      </c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DA317" s="379"/>
    </row>
    <row r="318" spans="1:105" ht="20.25" customHeight="1" x14ac:dyDescent="0.35">
      <c r="A318" s="6"/>
      <c r="B318" s="200" t="s">
        <v>2010</v>
      </c>
      <c r="C318" s="200" t="s">
        <v>286</v>
      </c>
      <c r="D318" s="239" t="s">
        <v>1229</v>
      </c>
      <c r="E318" s="95" t="s">
        <v>2012</v>
      </c>
      <c r="F318" s="95" t="s">
        <v>2013</v>
      </c>
      <c r="G318" s="95" t="s">
        <v>33</v>
      </c>
      <c r="H318" s="305">
        <v>82</v>
      </c>
      <c r="I318" s="1"/>
      <c r="J318" s="4"/>
      <c r="K318" s="4"/>
      <c r="L318" s="4"/>
      <c r="M318" s="4"/>
      <c r="N318" s="108"/>
      <c r="O318" s="4"/>
      <c r="P318" s="305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1"/>
      <c r="AL318" s="1"/>
      <c r="AM318" s="1"/>
      <c r="AN318" s="1"/>
      <c r="AO318" s="1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4"/>
      <c r="BY318" s="136"/>
      <c r="BZ318" s="136"/>
      <c r="CA318" s="136"/>
      <c r="CB318" s="136"/>
      <c r="CC318" s="136"/>
      <c r="CD318" s="136"/>
      <c r="CE318" s="136"/>
      <c r="CF318" s="136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DA318" s="379">
        <v>82</v>
      </c>
    </row>
    <row r="319" spans="1:105" ht="20.25" customHeight="1" x14ac:dyDescent="0.35">
      <c r="A319" s="6"/>
      <c r="B319" s="200" t="s">
        <v>2011</v>
      </c>
      <c r="C319" s="200" t="s">
        <v>286</v>
      </c>
      <c r="D319" s="239" t="s">
        <v>1229</v>
      </c>
      <c r="E319" s="95" t="s">
        <v>2012</v>
      </c>
      <c r="F319" s="95" t="s">
        <v>2014</v>
      </c>
      <c r="G319" s="95" t="s">
        <v>45</v>
      </c>
      <c r="H319" s="305">
        <f>H318/6</f>
        <v>13.666666666666666</v>
      </c>
      <c r="I319" s="1"/>
      <c r="J319" s="4"/>
      <c r="K319" s="4"/>
      <c r="L319" s="4"/>
      <c r="M319" s="4"/>
      <c r="N319" s="108"/>
      <c r="O319" s="4"/>
      <c r="P319" s="305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1"/>
      <c r="AL319" s="1"/>
      <c r="AM319" s="1"/>
      <c r="AN319" s="1"/>
      <c r="AO319" s="1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4"/>
      <c r="BY319" s="136"/>
      <c r="BZ319" s="136"/>
      <c r="CA319" s="136"/>
      <c r="CB319" s="136"/>
      <c r="CC319" s="136"/>
      <c r="CD319" s="136"/>
      <c r="CE319" s="136"/>
      <c r="CF319" s="136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DA319" s="379">
        <f>82/6</f>
        <v>13.666666666666666</v>
      </c>
    </row>
    <row r="320" spans="1:105" ht="20.25" customHeight="1" x14ac:dyDescent="0.35">
      <c r="A320" s="6"/>
      <c r="B320" s="200" t="s">
        <v>2035</v>
      </c>
      <c r="C320" s="200" t="s">
        <v>289</v>
      </c>
      <c r="D320" s="239" t="s">
        <v>1232</v>
      </c>
      <c r="E320" s="95" t="s">
        <v>2034</v>
      </c>
      <c r="F320" s="95" t="s">
        <v>706</v>
      </c>
      <c r="G320" s="95" t="s">
        <v>35</v>
      </c>
      <c r="H320" s="248">
        <v>20</v>
      </c>
      <c r="I320" s="240"/>
      <c r="J320" s="4">
        <v>25</v>
      </c>
      <c r="K320" s="4"/>
      <c r="L320" s="4"/>
      <c r="M320" s="4"/>
      <c r="N320" s="108"/>
      <c r="O320" s="4"/>
      <c r="P320" s="305"/>
      <c r="Q320" s="4"/>
      <c r="R320" s="4"/>
      <c r="S320" s="4"/>
      <c r="T320" s="4"/>
      <c r="U320" s="4">
        <v>26</v>
      </c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1"/>
      <c r="AL320" s="1"/>
      <c r="AM320" s="1"/>
      <c r="AN320" s="1"/>
      <c r="AO320" s="4">
        <v>25</v>
      </c>
      <c r="AP320" s="4">
        <v>25</v>
      </c>
      <c r="AQ320" s="4">
        <v>25</v>
      </c>
      <c r="AR320" s="4">
        <v>25</v>
      </c>
      <c r="AS320" s="4">
        <v>25</v>
      </c>
      <c r="AT320" s="4">
        <v>25</v>
      </c>
      <c r="AU320" s="4">
        <v>25</v>
      </c>
      <c r="AV320" s="4">
        <v>25</v>
      </c>
      <c r="AW320" s="4">
        <v>25</v>
      </c>
      <c r="AX320" s="4">
        <v>25</v>
      </c>
      <c r="AY320" s="4">
        <v>25</v>
      </c>
      <c r="AZ320" s="4">
        <v>25</v>
      </c>
      <c r="BA320" s="4">
        <v>25</v>
      </c>
      <c r="BB320" s="4">
        <v>25</v>
      </c>
      <c r="BC320" s="4">
        <v>25</v>
      </c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4">
        <v>25</v>
      </c>
      <c r="BY320" s="136"/>
      <c r="BZ320" s="136"/>
      <c r="CA320" s="136"/>
      <c r="CB320" s="136"/>
      <c r="CC320" s="136"/>
      <c r="CD320" s="136"/>
      <c r="CE320" s="136"/>
      <c r="CF320" s="136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DA320" s="379">
        <v>20</v>
      </c>
    </row>
    <row r="321" spans="1:105" ht="20.25" customHeight="1" x14ac:dyDescent="0.35">
      <c r="A321" s="6"/>
      <c r="B321" s="200" t="s">
        <v>2073</v>
      </c>
      <c r="C321" s="200" t="s">
        <v>614</v>
      </c>
      <c r="D321" s="239" t="s">
        <v>1229</v>
      </c>
      <c r="E321" s="95" t="s">
        <v>2074</v>
      </c>
      <c r="F321" s="95" t="s">
        <v>711</v>
      </c>
      <c r="G321" s="95" t="s">
        <v>35</v>
      </c>
      <c r="H321" s="248">
        <v>28</v>
      </c>
      <c r="I321" s="240">
        <v>34</v>
      </c>
      <c r="J321" s="4">
        <v>34</v>
      </c>
      <c r="K321" s="4"/>
      <c r="L321" s="4"/>
      <c r="M321" s="4"/>
      <c r="N321" s="108"/>
      <c r="O321" s="4"/>
      <c r="P321" s="305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>
        <v>34</v>
      </c>
      <c r="AD321" s="4"/>
      <c r="AE321" s="4"/>
      <c r="AF321" s="4"/>
      <c r="AG321" s="4"/>
      <c r="AH321" s="4"/>
      <c r="AI321" s="4"/>
      <c r="AJ321" s="4">
        <v>32</v>
      </c>
      <c r="AK321" s="1"/>
      <c r="AL321" s="1"/>
      <c r="AM321" s="1"/>
      <c r="AN321" s="1"/>
      <c r="AO321" s="4">
        <v>34</v>
      </c>
      <c r="AP321" s="4">
        <v>34</v>
      </c>
      <c r="AQ321" s="4">
        <v>34</v>
      </c>
      <c r="AR321" s="4">
        <v>34</v>
      </c>
      <c r="AS321" s="4">
        <v>34</v>
      </c>
      <c r="AT321" s="4">
        <v>34</v>
      </c>
      <c r="AU321" s="4">
        <v>34</v>
      </c>
      <c r="AV321" s="4">
        <v>34</v>
      </c>
      <c r="AW321" s="4">
        <v>34</v>
      </c>
      <c r="AX321" s="4">
        <v>34</v>
      </c>
      <c r="AY321" s="4">
        <v>34</v>
      </c>
      <c r="AZ321" s="4">
        <v>34</v>
      </c>
      <c r="BA321" s="4">
        <v>34</v>
      </c>
      <c r="BB321" s="4">
        <v>34</v>
      </c>
      <c r="BC321" s="4">
        <v>34</v>
      </c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4">
        <v>34</v>
      </c>
      <c r="BY321" s="136"/>
      <c r="BZ321" s="136"/>
      <c r="CA321" s="136"/>
      <c r="CB321" s="136"/>
      <c r="CC321" s="136"/>
      <c r="CD321" s="136"/>
      <c r="CE321" s="136"/>
      <c r="CF321" s="136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DA321" s="379">
        <v>28</v>
      </c>
    </row>
    <row r="322" spans="1:105" ht="20.25" customHeight="1" x14ac:dyDescent="0.35">
      <c r="A322" s="6"/>
      <c r="B322" s="200" t="s">
        <v>2123</v>
      </c>
      <c r="C322" s="200" t="s">
        <v>287</v>
      </c>
      <c r="D322" s="239" t="s">
        <v>1229</v>
      </c>
      <c r="E322" s="95" t="s">
        <v>2125</v>
      </c>
      <c r="F322" s="95" t="s">
        <v>704</v>
      </c>
      <c r="G322" s="95" t="s">
        <v>35</v>
      </c>
      <c r="H322" s="248"/>
      <c r="I322" s="240"/>
      <c r="J322" s="4"/>
      <c r="K322" s="4"/>
      <c r="L322" s="4"/>
      <c r="M322" s="4">
        <v>23</v>
      </c>
      <c r="N322" s="108"/>
      <c r="O322" s="4"/>
      <c r="P322" s="305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1"/>
      <c r="AL322" s="1"/>
      <c r="AM322" s="1"/>
      <c r="AN322" s="1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4"/>
      <c r="BY322" s="136"/>
      <c r="BZ322" s="136"/>
      <c r="CA322" s="136"/>
      <c r="CB322" s="136"/>
      <c r="CC322" s="136"/>
      <c r="CD322" s="136"/>
      <c r="CE322" s="136"/>
      <c r="CF322" s="136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DA322" s="379"/>
    </row>
    <row r="323" spans="1:105" ht="20.25" customHeight="1" x14ac:dyDescent="0.35">
      <c r="A323" s="6"/>
      <c r="B323" s="200" t="s">
        <v>2136</v>
      </c>
      <c r="C323" s="200" t="s">
        <v>289</v>
      </c>
      <c r="D323" s="239" t="s">
        <v>1232</v>
      </c>
      <c r="E323" s="95" t="s">
        <v>2187</v>
      </c>
      <c r="F323" s="95" t="s">
        <v>706</v>
      </c>
      <c r="G323" s="95" t="s">
        <v>35</v>
      </c>
      <c r="H323" s="248"/>
      <c r="I323" s="240"/>
      <c r="J323" s="4"/>
      <c r="K323" s="4"/>
      <c r="L323" s="4"/>
      <c r="M323" s="4"/>
      <c r="N323" s="108">
        <v>26</v>
      </c>
      <c r="O323" s="4"/>
      <c r="P323" s="305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1"/>
      <c r="AL323" s="1"/>
      <c r="AM323" s="1"/>
      <c r="AN323" s="1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4"/>
      <c r="BY323" s="136"/>
      <c r="BZ323" s="136">
        <v>26</v>
      </c>
      <c r="CA323" s="136"/>
      <c r="CB323" s="136"/>
      <c r="CC323" s="136"/>
      <c r="CD323" s="136"/>
      <c r="CE323" s="136"/>
      <c r="CF323" s="136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DA323" s="379">
        <v>19</v>
      </c>
    </row>
    <row r="324" spans="1:105" ht="20.25" customHeight="1" x14ac:dyDescent="0.35">
      <c r="A324" s="6"/>
      <c r="B324" s="200" t="s">
        <v>2173</v>
      </c>
      <c r="C324" s="200" t="s">
        <v>2003</v>
      </c>
      <c r="D324" s="239"/>
      <c r="E324" s="95"/>
      <c r="F324" s="95" t="s">
        <v>946</v>
      </c>
      <c r="G324" s="95"/>
      <c r="H324" s="248"/>
      <c r="I324" s="240"/>
      <c r="J324" s="4"/>
      <c r="K324" s="4"/>
      <c r="L324" s="4"/>
      <c r="M324" s="4"/>
      <c r="N324" s="108"/>
      <c r="O324" s="4"/>
      <c r="P324" s="305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1"/>
      <c r="AL324" s="1"/>
      <c r="AM324" s="1"/>
      <c r="AN324" s="1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4"/>
      <c r="BY324" s="136"/>
      <c r="BZ324" s="136"/>
      <c r="CA324" s="136"/>
      <c r="CB324" s="136"/>
      <c r="CC324" s="136"/>
      <c r="CD324" s="136"/>
      <c r="CE324" s="136"/>
      <c r="CF324" s="136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DA324" s="379"/>
    </row>
    <row r="325" spans="1:105" ht="20.25" customHeight="1" x14ac:dyDescent="0.35">
      <c r="A325" s="6"/>
      <c r="B325" s="307" t="s">
        <v>2174</v>
      </c>
      <c r="C325" s="200" t="s">
        <v>294</v>
      </c>
      <c r="D325" s="95" t="s">
        <v>1232</v>
      </c>
      <c r="E325" s="95" t="s">
        <v>2042</v>
      </c>
      <c r="F325" s="62" t="s">
        <v>710</v>
      </c>
      <c r="G325" s="62" t="s">
        <v>35</v>
      </c>
      <c r="H325" s="248"/>
      <c r="I325" s="240"/>
      <c r="J325" s="4"/>
      <c r="K325" s="4"/>
      <c r="L325" s="4"/>
      <c r="M325" s="4"/>
      <c r="N325" s="108"/>
      <c r="O325" s="4"/>
      <c r="P325" s="305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1"/>
      <c r="AL325" s="1"/>
      <c r="AM325" s="1"/>
      <c r="AN325" s="1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4"/>
      <c r="BY325" s="136"/>
      <c r="BZ325" s="136"/>
      <c r="CA325" s="136"/>
      <c r="CB325" s="136"/>
      <c r="CC325" s="136"/>
      <c r="CD325" s="136"/>
      <c r="CE325" s="136"/>
      <c r="CF325" s="136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DA325" s="379"/>
    </row>
    <row r="326" spans="1:105" ht="20.25" customHeight="1" x14ac:dyDescent="0.35">
      <c r="A326" s="6"/>
      <c r="B326" s="307" t="s">
        <v>2186</v>
      </c>
      <c r="C326" s="200" t="s">
        <v>2361</v>
      </c>
      <c r="D326" s="95" t="s">
        <v>1229</v>
      </c>
      <c r="E326" s="95" t="s">
        <v>2362</v>
      </c>
      <c r="F326" s="62" t="s">
        <v>2360</v>
      </c>
      <c r="G326" s="62" t="s">
        <v>35</v>
      </c>
      <c r="H326" s="248"/>
      <c r="I326" s="240"/>
      <c r="J326" s="4"/>
      <c r="K326" s="4"/>
      <c r="L326" s="4"/>
      <c r="M326" s="4"/>
      <c r="N326" s="108"/>
      <c r="O326" s="4"/>
      <c r="P326" s="240"/>
      <c r="Q326" s="4"/>
      <c r="R326" s="4"/>
      <c r="S326" s="4"/>
      <c r="T326" s="4"/>
      <c r="U326" s="67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1"/>
      <c r="AL326" s="1"/>
      <c r="AM326" s="1"/>
      <c r="AN326" s="1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4"/>
      <c r="BY326" s="136"/>
      <c r="BZ326" s="136"/>
      <c r="CA326" s="136"/>
      <c r="CB326" s="136"/>
      <c r="CC326" s="136"/>
      <c r="CD326" s="136"/>
      <c r="CE326" s="136"/>
      <c r="CF326" s="136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DA326" s="379">
        <v>19</v>
      </c>
    </row>
    <row r="327" spans="1:105" ht="20.25" customHeight="1" x14ac:dyDescent="0.35">
      <c r="A327" s="6"/>
      <c r="B327" s="307" t="s">
        <v>2363</v>
      </c>
      <c r="C327" s="200" t="s">
        <v>2361</v>
      </c>
      <c r="D327" s="95" t="s">
        <v>1229</v>
      </c>
      <c r="E327" s="95" t="s">
        <v>2362</v>
      </c>
      <c r="F327" s="62" t="s">
        <v>1338</v>
      </c>
      <c r="G327" s="62" t="s">
        <v>1687</v>
      </c>
      <c r="H327" s="248"/>
      <c r="I327" s="240"/>
      <c r="J327" s="4"/>
      <c r="K327" s="4"/>
      <c r="L327" s="4"/>
      <c r="M327" s="4"/>
      <c r="N327" s="108"/>
      <c r="O327" s="4"/>
      <c r="P327" s="240"/>
      <c r="Q327" s="4"/>
      <c r="R327" s="4"/>
      <c r="S327" s="4"/>
      <c r="T327" s="4"/>
      <c r="U327" s="67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1"/>
      <c r="AL327" s="1"/>
      <c r="AM327" s="1"/>
      <c r="AN327" s="1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4"/>
      <c r="BY327" s="136"/>
      <c r="BZ327" s="136"/>
      <c r="CA327" s="136"/>
      <c r="CB327" s="136"/>
      <c r="CC327" s="136"/>
      <c r="CD327" s="136"/>
      <c r="CE327" s="136"/>
      <c r="CF327" s="136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DA327" s="379"/>
    </row>
    <row r="328" spans="1:105" ht="20.25" customHeight="1" x14ac:dyDescent="0.35">
      <c r="A328" s="6"/>
      <c r="B328" s="307" t="s">
        <v>2217</v>
      </c>
      <c r="C328" s="200" t="s">
        <v>2364</v>
      </c>
      <c r="D328" s="95" t="s">
        <v>1229</v>
      </c>
      <c r="E328" s="95" t="s">
        <v>2362</v>
      </c>
      <c r="F328" s="62" t="s">
        <v>2360</v>
      </c>
      <c r="G328" s="62" t="s">
        <v>35</v>
      </c>
      <c r="H328" s="248"/>
      <c r="I328" s="240"/>
      <c r="J328" s="4"/>
      <c r="K328" s="4"/>
      <c r="L328" s="4"/>
      <c r="M328" s="4"/>
      <c r="N328" s="108"/>
      <c r="O328" s="4"/>
      <c r="P328" s="240">
        <v>23</v>
      </c>
      <c r="Q328" s="4"/>
      <c r="R328" s="4"/>
      <c r="S328" s="4"/>
      <c r="T328" s="4"/>
      <c r="U328" s="4">
        <v>25</v>
      </c>
      <c r="V328" s="4"/>
      <c r="W328" s="4"/>
      <c r="X328" s="4"/>
      <c r="Y328" s="4"/>
      <c r="Z328" s="4"/>
      <c r="AA328" s="4"/>
      <c r="AB328" s="4"/>
      <c r="AC328" s="4">
        <v>23</v>
      </c>
      <c r="AD328" s="4"/>
      <c r="AE328" s="4"/>
      <c r="AF328" s="4"/>
      <c r="AG328" s="4"/>
      <c r="AH328" s="4"/>
      <c r="AI328" s="4"/>
      <c r="AJ328" s="4"/>
      <c r="AK328" s="1"/>
      <c r="AL328" s="1"/>
      <c r="AM328" s="1"/>
      <c r="AN328" s="1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4"/>
      <c r="BY328" s="136"/>
      <c r="BZ328" s="136"/>
      <c r="CA328" s="136"/>
      <c r="CB328" s="136"/>
      <c r="CC328" s="136"/>
      <c r="CD328" s="136"/>
      <c r="CE328" s="136"/>
      <c r="CF328" s="136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DA328" s="379">
        <v>18</v>
      </c>
    </row>
    <row r="329" spans="1:105" ht="20.25" customHeight="1" x14ac:dyDescent="0.35">
      <c r="A329" s="6"/>
      <c r="B329" s="307" t="s">
        <v>2365</v>
      </c>
      <c r="C329" s="200" t="s">
        <v>2364</v>
      </c>
      <c r="D329" s="95" t="s">
        <v>1229</v>
      </c>
      <c r="E329" s="95" t="s">
        <v>2362</v>
      </c>
      <c r="F329" s="62" t="s">
        <v>1338</v>
      </c>
      <c r="G329" s="62" t="s">
        <v>35</v>
      </c>
      <c r="H329" s="248"/>
      <c r="I329" s="240"/>
      <c r="J329" s="4"/>
      <c r="K329" s="4"/>
      <c r="L329" s="4"/>
      <c r="M329" s="4"/>
      <c r="N329" s="108"/>
      <c r="O329" s="4"/>
      <c r="P329" s="240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1"/>
      <c r="AL329" s="1"/>
      <c r="AM329" s="1"/>
      <c r="AN329" s="1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4"/>
      <c r="BY329" s="136"/>
      <c r="BZ329" s="136"/>
      <c r="CA329" s="136"/>
      <c r="CB329" s="136"/>
      <c r="CC329" s="136"/>
      <c r="CD329" s="136"/>
      <c r="CE329" s="136"/>
      <c r="CF329" s="136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DA329" s="379"/>
    </row>
    <row r="330" spans="1:105" ht="20.25" customHeight="1" x14ac:dyDescent="0.35">
      <c r="A330" s="6"/>
      <c r="B330" s="307" t="s">
        <v>2357</v>
      </c>
      <c r="C330" s="200" t="s">
        <v>2358</v>
      </c>
      <c r="D330" s="95" t="s">
        <v>1232</v>
      </c>
      <c r="E330" s="95" t="s">
        <v>2359</v>
      </c>
      <c r="F330" s="62" t="s">
        <v>2360</v>
      </c>
      <c r="G330" s="62" t="s">
        <v>35</v>
      </c>
      <c r="H330" s="288"/>
      <c r="I330" s="240"/>
      <c r="J330" s="4"/>
      <c r="K330" s="4"/>
      <c r="L330" s="4"/>
      <c r="M330" s="4"/>
      <c r="N330" s="108"/>
      <c r="O330" s="4"/>
      <c r="P330" s="240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1"/>
      <c r="AL330" s="1"/>
      <c r="AM330" s="1"/>
      <c r="AN330" s="1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4"/>
      <c r="BY330" s="136"/>
      <c r="BZ330" s="136"/>
      <c r="CA330" s="136"/>
      <c r="CB330" s="136"/>
      <c r="CC330" s="136"/>
      <c r="CD330" s="136"/>
      <c r="CE330" s="136"/>
      <c r="CF330" s="136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DA330" s="379"/>
    </row>
    <row r="331" spans="1:105" ht="20.25" customHeight="1" x14ac:dyDescent="0.35">
      <c r="A331" s="6"/>
      <c r="B331" s="200" t="s">
        <v>1761</v>
      </c>
      <c r="C331" s="200" t="s">
        <v>1241</v>
      </c>
      <c r="D331" s="239" t="s">
        <v>1232</v>
      </c>
      <c r="E331" s="95" t="s">
        <v>36</v>
      </c>
      <c r="F331" s="95" t="s">
        <v>1762</v>
      </c>
      <c r="G331" s="95" t="s">
        <v>35</v>
      </c>
      <c r="H331" s="237"/>
      <c r="I331" s="4"/>
      <c r="J331" s="4"/>
      <c r="K331" s="4"/>
      <c r="L331" s="4"/>
      <c r="M331" s="4"/>
      <c r="N331" s="108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1"/>
      <c r="AL331" s="1"/>
      <c r="AM331" s="1"/>
      <c r="AN331" s="1"/>
      <c r="AO331" s="1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4"/>
      <c r="BY331" s="136"/>
      <c r="BZ331" s="136"/>
      <c r="CA331" s="136"/>
      <c r="CB331" s="136"/>
      <c r="CC331" s="136"/>
      <c r="CD331" s="136"/>
      <c r="CE331" s="136"/>
      <c r="CF331" s="136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DA331" s="379">
        <v>28</v>
      </c>
    </row>
    <row r="332" spans="1:105" ht="20.25" customHeight="1" x14ac:dyDescent="0.35">
      <c r="A332" s="95"/>
      <c r="B332" s="200" t="s">
        <v>1763</v>
      </c>
      <c r="C332" s="200" t="s">
        <v>1241</v>
      </c>
      <c r="D332" s="239" t="s">
        <v>1232</v>
      </c>
      <c r="E332" s="95" t="s">
        <v>36</v>
      </c>
      <c r="F332" s="95" t="s">
        <v>71</v>
      </c>
      <c r="G332" s="95" t="s">
        <v>40</v>
      </c>
      <c r="H332" s="237">
        <v>6</v>
      </c>
      <c r="I332" s="240">
        <v>6</v>
      </c>
      <c r="J332" s="250">
        <v>6.5</v>
      </c>
      <c r="K332" s="4"/>
      <c r="L332" s="4">
        <v>0</v>
      </c>
      <c r="M332" s="4"/>
      <c r="N332" s="240">
        <v>7</v>
      </c>
      <c r="O332" s="4">
        <v>7</v>
      </c>
      <c r="P332" s="240">
        <v>7</v>
      </c>
      <c r="Q332" s="4">
        <v>7</v>
      </c>
      <c r="R332" s="4">
        <v>7</v>
      </c>
      <c r="S332" s="4">
        <v>7</v>
      </c>
      <c r="T332" s="4"/>
      <c r="U332" s="4"/>
      <c r="V332" s="238">
        <v>7</v>
      </c>
      <c r="W332" s="4"/>
      <c r="X332" s="4"/>
      <c r="Y332" s="4"/>
      <c r="Z332" s="4"/>
      <c r="AA332" s="4"/>
      <c r="AB332" s="4"/>
      <c r="AC332" s="4">
        <v>7</v>
      </c>
      <c r="AD332" s="4"/>
      <c r="AE332" s="4"/>
      <c r="AF332" s="4">
        <v>7</v>
      </c>
      <c r="AG332" s="4"/>
      <c r="AH332" s="4"/>
      <c r="AI332" s="4"/>
      <c r="AJ332" s="4"/>
      <c r="AK332" s="1"/>
      <c r="AL332" s="1"/>
      <c r="AM332" s="1"/>
      <c r="AN332" s="1"/>
      <c r="AO332" s="1"/>
      <c r="AP332" s="250">
        <v>6.5</v>
      </c>
      <c r="AQ332" s="250">
        <v>6.5</v>
      </c>
      <c r="AR332" s="250">
        <v>6.5</v>
      </c>
      <c r="AS332" s="4"/>
      <c r="AT332" s="250">
        <v>6.5</v>
      </c>
      <c r="AU332" s="250">
        <v>6.5</v>
      </c>
      <c r="AV332" s="250">
        <v>6.5</v>
      </c>
      <c r="AW332" s="250">
        <v>6.5</v>
      </c>
      <c r="AX332" s="250">
        <v>6.5</v>
      </c>
      <c r="AY332" s="250">
        <v>6.5</v>
      </c>
      <c r="AZ332" s="250">
        <v>6.5</v>
      </c>
      <c r="BA332" s="250">
        <v>6.5</v>
      </c>
      <c r="BB332" s="4"/>
      <c r="BC332" s="250">
        <v>6.5</v>
      </c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>
        <v>7</v>
      </c>
      <c r="BV332" s="1"/>
      <c r="BW332" s="1"/>
      <c r="BX332" s="250">
        <v>6.5</v>
      </c>
      <c r="BY332" s="136"/>
      <c r="BZ332" s="136"/>
      <c r="CA332" s="136"/>
      <c r="CB332" s="136"/>
      <c r="CC332" s="136"/>
      <c r="CD332" s="136"/>
      <c r="CE332" s="136"/>
      <c r="CF332" s="136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DA332" s="379">
        <f>DA331/6</f>
        <v>4.666666666666667</v>
      </c>
    </row>
    <row r="333" spans="1:105" ht="20.25" customHeight="1" x14ac:dyDescent="0.35">
      <c r="A333" s="95"/>
      <c r="B333" s="200" t="s">
        <v>1765</v>
      </c>
      <c r="C333" s="200" t="s">
        <v>316</v>
      </c>
      <c r="D333" s="239" t="s">
        <v>1232</v>
      </c>
      <c r="E333" s="95" t="s">
        <v>610</v>
      </c>
      <c r="F333" s="95" t="s">
        <v>1764</v>
      </c>
      <c r="G333" s="95" t="s">
        <v>42</v>
      </c>
      <c r="H333" s="237"/>
      <c r="I333" s="240"/>
      <c r="J333" s="4"/>
      <c r="K333" s="4"/>
      <c r="L333" s="4"/>
      <c r="M333" s="4"/>
      <c r="N333" s="108"/>
      <c r="O333" s="4"/>
      <c r="P333" s="4"/>
      <c r="Q333" s="4"/>
      <c r="R333" s="4"/>
      <c r="S333" s="4"/>
      <c r="T333" s="4"/>
      <c r="U333" s="4"/>
      <c r="V333" s="238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1"/>
      <c r="AL333" s="1"/>
      <c r="AM333" s="1"/>
      <c r="AN333" s="1"/>
      <c r="AO333" s="1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4"/>
      <c r="BY333" s="136"/>
      <c r="BZ333" s="136"/>
      <c r="CA333" s="136"/>
      <c r="CB333" s="136"/>
      <c r="CC333" s="136"/>
      <c r="CD333" s="136"/>
      <c r="CE333" s="136"/>
      <c r="CF333" s="136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DA333" s="379">
        <f>10.5*6</f>
        <v>63</v>
      </c>
    </row>
    <row r="334" spans="1:105" ht="20.25" customHeight="1" x14ac:dyDescent="0.35">
      <c r="A334" s="95"/>
      <c r="B334" s="200" t="s">
        <v>1766</v>
      </c>
      <c r="C334" s="200" t="s">
        <v>316</v>
      </c>
      <c r="D334" s="239" t="s">
        <v>1232</v>
      </c>
      <c r="E334" s="95" t="s">
        <v>610</v>
      </c>
      <c r="F334" s="95" t="s">
        <v>530</v>
      </c>
      <c r="G334" s="95" t="s">
        <v>42</v>
      </c>
      <c r="H334" s="237">
        <v>13</v>
      </c>
      <c r="I334" s="240"/>
      <c r="J334" s="4"/>
      <c r="K334" s="192">
        <v>16.5</v>
      </c>
      <c r="L334" s="4">
        <v>16.5</v>
      </c>
      <c r="M334" s="4"/>
      <c r="N334" s="240">
        <v>16.5</v>
      </c>
      <c r="O334" s="4">
        <v>16.5</v>
      </c>
      <c r="P334" s="240">
        <v>16.5</v>
      </c>
      <c r="Q334" s="4">
        <v>16.5</v>
      </c>
      <c r="R334" s="4">
        <v>16.5</v>
      </c>
      <c r="S334" s="4">
        <v>16.5</v>
      </c>
      <c r="T334" s="4"/>
      <c r="U334" s="4"/>
      <c r="V334" s="238">
        <v>17</v>
      </c>
      <c r="W334" s="4"/>
      <c r="X334" s="4"/>
      <c r="Y334" s="4">
        <v>17</v>
      </c>
      <c r="Z334" s="4"/>
      <c r="AA334" s="4"/>
      <c r="AB334" s="4"/>
      <c r="AC334" s="67">
        <v>16.5</v>
      </c>
      <c r="AD334" s="4"/>
      <c r="AE334" s="4"/>
      <c r="AF334" s="4">
        <v>16.5</v>
      </c>
      <c r="AG334" s="4"/>
      <c r="AH334" s="4"/>
      <c r="AI334" s="4"/>
      <c r="AJ334" s="4"/>
      <c r="AK334" s="1"/>
      <c r="AL334" s="1"/>
      <c r="AM334" s="1"/>
      <c r="AN334" s="1"/>
      <c r="AO334" s="1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>
        <v>16.5</v>
      </c>
      <c r="BV334" s="1"/>
      <c r="BW334" s="1"/>
      <c r="BX334" s="4">
        <f>J334</f>
        <v>0</v>
      </c>
      <c r="BY334" s="136"/>
      <c r="BZ334" s="136">
        <v>16.5</v>
      </c>
      <c r="CA334" s="136"/>
      <c r="CB334" s="136"/>
      <c r="CC334" s="136"/>
      <c r="CD334" s="136"/>
      <c r="CE334" s="136"/>
      <c r="CF334" s="136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DA334" s="379">
        <v>10.5</v>
      </c>
    </row>
    <row r="335" spans="1:105" ht="20.25" customHeight="1" x14ac:dyDescent="0.35">
      <c r="A335" s="95" t="s">
        <v>62</v>
      </c>
      <c r="B335" s="200" t="s">
        <v>2258</v>
      </c>
      <c r="C335" s="200" t="s">
        <v>316</v>
      </c>
      <c r="D335" s="239" t="s">
        <v>1232</v>
      </c>
      <c r="E335" s="95" t="s">
        <v>1232</v>
      </c>
      <c r="F335" s="95" t="s">
        <v>530</v>
      </c>
      <c r="G335" s="95" t="s">
        <v>42</v>
      </c>
      <c r="H335" s="237">
        <v>13</v>
      </c>
      <c r="I335" s="240">
        <v>13</v>
      </c>
      <c r="J335" s="250">
        <v>15</v>
      </c>
      <c r="K335" s="192"/>
      <c r="L335" s="4"/>
      <c r="M335" s="4"/>
      <c r="N335" s="240"/>
      <c r="O335" s="4"/>
      <c r="P335" s="240"/>
      <c r="Q335" s="4"/>
      <c r="R335" s="4"/>
      <c r="S335" s="4"/>
      <c r="T335" s="4"/>
      <c r="U335" s="4"/>
      <c r="V335" s="238"/>
      <c r="W335" s="4"/>
      <c r="X335" s="4"/>
      <c r="Y335" s="4"/>
      <c r="Z335" s="4"/>
      <c r="AA335" s="4"/>
      <c r="AB335" s="4"/>
      <c r="AC335" s="67"/>
      <c r="AD335" s="4"/>
      <c r="AE335" s="4"/>
      <c r="AF335" s="4"/>
      <c r="AG335" s="4"/>
      <c r="AH335" s="4"/>
      <c r="AI335" s="4"/>
      <c r="AJ335" s="4"/>
      <c r="AK335" s="1"/>
      <c r="AL335" s="1"/>
      <c r="AM335" s="1"/>
      <c r="AN335" s="1"/>
      <c r="AO335" s="1"/>
      <c r="AP335" s="250">
        <v>15</v>
      </c>
      <c r="AQ335" s="250">
        <v>15</v>
      </c>
      <c r="AR335" s="250">
        <v>15</v>
      </c>
      <c r="AS335" s="4"/>
      <c r="AT335" s="250">
        <v>15</v>
      </c>
      <c r="AU335" s="250">
        <v>15</v>
      </c>
      <c r="AV335" s="250">
        <v>15</v>
      </c>
      <c r="AW335" s="250">
        <v>15</v>
      </c>
      <c r="AX335" s="250">
        <v>15</v>
      </c>
      <c r="AY335" s="250">
        <v>15</v>
      </c>
      <c r="AZ335" s="250">
        <v>15</v>
      </c>
      <c r="BA335" s="250">
        <v>15</v>
      </c>
      <c r="BB335" s="4"/>
      <c r="BC335" s="250">
        <v>15</v>
      </c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250">
        <v>15</v>
      </c>
      <c r="BY335" s="136"/>
      <c r="BZ335" s="136"/>
      <c r="CA335" s="136"/>
      <c r="CB335" s="136"/>
      <c r="CC335" s="136"/>
      <c r="CD335" s="136"/>
      <c r="CE335" s="136"/>
      <c r="CF335" s="136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DA335" s="379">
        <f>56/5</f>
        <v>11.2</v>
      </c>
    </row>
    <row r="336" spans="1:105" ht="20.25" customHeight="1" x14ac:dyDescent="0.35">
      <c r="A336" s="95"/>
      <c r="B336" s="200" t="s">
        <v>1767</v>
      </c>
      <c r="C336" s="200" t="s">
        <v>317</v>
      </c>
      <c r="D336" s="239" t="s">
        <v>1232</v>
      </c>
      <c r="E336" s="95" t="s">
        <v>610</v>
      </c>
      <c r="F336" s="95" t="s">
        <v>1764</v>
      </c>
      <c r="G336" s="95" t="s">
        <v>42</v>
      </c>
      <c r="H336" s="237"/>
      <c r="I336" s="240"/>
      <c r="J336" s="4"/>
      <c r="K336" s="192"/>
      <c r="L336" s="4"/>
      <c r="M336" s="4"/>
      <c r="N336" s="108"/>
      <c r="O336" s="4"/>
      <c r="P336" s="4"/>
      <c r="Q336" s="4"/>
      <c r="R336" s="4"/>
      <c r="S336" s="4"/>
      <c r="T336" s="4"/>
      <c r="U336" s="4"/>
      <c r="V336" s="238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1"/>
      <c r="AL336" s="1"/>
      <c r="AM336" s="1"/>
      <c r="AN336" s="1"/>
      <c r="AO336" s="1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4"/>
      <c r="BY336" s="136"/>
      <c r="BZ336" s="136"/>
      <c r="CA336" s="136"/>
      <c r="CB336" s="136"/>
      <c r="CC336" s="136"/>
      <c r="CD336" s="136"/>
      <c r="CE336" s="136"/>
      <c r="CF336" s="136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DA336" s="379">
        <f>10.5*6</f>
        <v>63</v>
      </c>
    </row>
    <row r="337" spans="1:105" ht="20.25" customHeight="1" x14ac:dyDescent="0.35">
      <c r="A337" s="95" t="s">
        <v>129</v>
      </c>
      <c r="B337" s="200" t="s">
        <v>1768</v>
      </c>
      <c r="C337" s="200" t="s">
        <v>317</v>
      </c>
      <c r="D337" s="239" t="s">
        <v>1232</v>
      </c>
      <c r="E337" s="95" t="s">
        <v>610</v>
      </c>
      <c r="F337" s="95" t="s">
        <v>530</v>
      </c>
      <c r="G337" s="95" t="s">
        <v>42</v>
      </c>
      <c r="H337" s="237">
        <v>13</v>
      </c>
      <c r="I337" s="240">
        <v>13</v>
      </c>
      <c r="J337" s="4">
        <v>16.5</v>
      </c>
      <c r="K337" s="192">
        <v>13</v>
      </c>
      <c r="L337" s="4">
        <v>13</v>
      </c>
      <c r="M337" s="4"/>
      <c r="N337" s="108">
        <v>16.5</v>
      </c>
      <c r="O337" s="4">
        <v>16.5</v>
      </c>
      <c r="P337" s="240">
        <v>16.5</v>
      </c>
      <c r="Q337" s="4">
        <v>16.5</v>
      </c>
      <c r="R337" s="4">
        <v>16.5</v>
      </c>
      <c r="S337" s="4">
        <v>16.5</v>
      </c>
      <c r="T337" s="4"/>
      <c r="U337" s="4"/>
      <c r="V337" s="238">
        <v>16.5</v>
      </c>
      <c r="W337" s="4"/>
      <c r="X337" s="4"/>
      <c r="Y337" s="4"/>
      <c r="Z337" s="4"/>
      <c r="AA337" s="4"/>
      <c r="AB337" s="4"/>
      <c r="AC337" s="67">
        <v>16.5</v>
      </c>
      <c r="AD337" s="4"/>
      <c r="AE337" s="4"/>
      <c r="AF337" s="4"/>
      <c r="AG337" s="4">
        <v>16.5</v>
      </c>
      <c r="AH337" s="4"/>
      <c r="AI337" s="4"/>
      <c r="AJ337" s="4"/>
      <c r="AK337" s="1"/>
      <c r="AL337" s="1"/>
      <c r="AM337" s="1"/>
      <c r="AN337" s="1"/>
      <c r="AO337" s="1"/>
      <c r="AP337" s="4">
        <v>16.5</v>
      </c>
      <c r="AQ337" s="4">
        <v>16.5</v>
      </c>
      <c r="AR337" s="4">
        <v>16.5</v>
      </c>
      <c r="AS337" s="4"/>
      <c r="AT337" s="4">
        <v>16.5</v>
      </c>
      <c r="AU337" s="4">
        <v>16.5</v>
      </c>
      <c r="AV337" s="4">
        <v>16.5</v>
      </c>
      <c r="AW337" s="4">
        <v>16.5</v>
      </c>
      <c r="AX337" s="4">
        <v>16.5</v>
      </c>
      <c r="AY337" s="4">
        <v>16.5</v>
      </c>
      <c r="AZ337" s="4">
        <v>16.5</v>
      </c>
      <c r="BA337" s="4">
        <v>16.5</v>
      </c>
      <c r="BB337" s="4"/>
      <c r="BC337" s="4">
        <v>16.5</v>
      </c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4">
        <v>16.5</v>
      </c>
      <c r="BY337" s="136"/>
      <c r="BZ337" s="136">
        <v>16.5</v>
      </c>
      <c r="CA337" s="136"/>
      <c r="CB337" s="136"/>
      <c r="CC337" s="136"/>
      <c r="CD337" s="136"/>
      <c r="CE337" s="136"/>
      <c r="CF337" s="136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DA337" s="379">
        <v>10.5</v>
      </c>
    </row>
    <row r="338" spans="1:105" ht="20.25" customHeight="1" x14ac:dyDescent="0.35">
      <c r="A338" s="95"/>
      <c r="B338" s="200" t="s">
        <v>1769</v>
      </c>
      <c r="C338" s="200" t="s">
        <v>317</v>
      </c>
      <c r="D338" s="245" t="s">
        <v>1232</v>
      </c>
      <c r="E338" s="6" t="s">
        <v>610</v>
      </c>
      <c r="F338" s="95" t="s">
        <v>530</v>
      </c>
      <c r="G338" s="95" t="s">
        <v>42</v>
      </c>
      <c r="H338" s="237"/>
      <c r="I338" s="4">
        <v>13</v>
      </c>
      <c r="J338" s="4"/>
      <c r="K338" s="4"/>
      <c r="L338" s="4"/>
      <c r="M338" s="4"/>
      <c r="N338" s="108"/>
      <c r="O338" s="4"/>
      <c r="P338" s="4"/>
      <c r="Q338" s="4"/>
      <c r="R338" s="4"/>
      <c r="S338" s="4"/>
      <c r="T338" s="4"/>
      <c r="U338" s="4"/>
      <c r="V338" s="238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1"/>
      <c r="AL338" s="1"/>
      <c r="AM338" s="1"/>
      <c r="AN338" s="1"/>
      <c r="AO338" s="1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4"/>
      <c r="BY338" s="136"/>
      <c r="BZ338" s="136"/>
      <c r="CA338" s="136"/>
      <c r="CB338" s="136"/>
      <c r="CC338" s="136"/>
      <c r="CD338" s="136"/>
      <c r="CE338" s="136"/>
      <c r="CF338" s="136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DA338" s="379"/>
    </row>
    <row r="339" spans="1:105" ht="20.25" customHeight="1" x14ac:dyDescent="0.35">
      <c r="A339" s="95"/>
      <c r="B339" s="200" t="s">
        <v>2277</v>
      </c>
      <c r="C339" s="200" t="s">
        <v>317</v>
      </c>
      <c r="D339" s="245" t="s">
        <v>1232</v>
      </c>
      <c r="E339" s="6" t="s">
        <v>610</v>
      </c>
      <c r="F339" s="95" t="s">
        <v>529</v>
      </c>
      <c r="G339" s="95" t="s">
        <v>42</v>
      </c>
      <c r="H339" s="237"/>
      <c r="I339" s="4"/>
      <c r="J339" s="4"/>
      <c r="K339" s="4"/>
      <c r="L339" s="4"/>
      <c r="M339" s="4"/>
      <c r="N339" s="108">
        <v>8.5</v>
      </c>
      <c r="O339" s="4"/>
      <c r="P339" s="4"/>
      <c r="Q339" s="4"/>
      <c r="R339" s="4"/>
      <c r="S339" s="4"/>
      <c r="T339" s="4"/>
      <c r="U339" s="4"/>
      <c r="V339" s="238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1"/>
      <c r="AL339" s="1"/>
      <c r="AM339" s="1"/>
      <c r="AN339" s="1"/>
      <c r="AO339" s="1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4"/>
      <c r="BY339" s="136"/>
      <c r="BZ339" s="136"/>
      <c r="CA339" s="136"/>
      <c r="CB339" s="136"/>
      <c r="CC339" s="136"/>
      <c r="CD339" s="136"/>
      <c r="CE339" s="136"/>
      <c r="CF339" s="136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DA339" s="379"/>
    </row>
    <row r="340" spans="1:105" ht="20.25" customHeight="1" x14ac:dyDescent="0.35">
      <c r="A340" s="95"/>
      <c r="B340" s="200" t="s">
        <v>1771</v>
      </c>
      <c r="C340" s="200" t="s">
        <v>318</v>
      </c>
      <c r="D340" s="95" t="s">
        <v>1232</v>
      </c>
      <c r="E340" s="95" t="s">
        <v>1770</v>
      </c>
      <c r="F340" s="95" t="s">
        <v>689</v>
      </c>
      <c r="G340" s="95" t="s">
        <v>864</v>
      </c>
      <c r="H340" s="237"/>
      <c r="I340" s="4"/>
      <c r="J340" s="4"/>
      <c r="K340" s="4"/>
      <c r="L340" s="4">
        <v>29</v>
      </c>
      <c r="M340" s="4">
        <v>29</v>
      </c>
      <c r="N340" s="240">
        <v>29</v>
      </c>
      <c r="O340" s="4"/>
      <c r="P340" s="192">
        <v>30</v>
      </c>
      <c r="Q340" s="4"/>
      <c r="R340" s="192"/>
      <c r="S340" s="4"/>
      <c r="T340" s="4"/>
      <c r="U340" s="4"/>
      <c r="V340" s="238"/>
      <c r="W340" s="4"/>
      <c r="X340" s="4"/>
      <c r="Y340" s="4"/>
      <c r="Z340" s="192">
        <v>29</v>
      </c>
      <c r="AA340" s="4"/>
      <c r="AB340" s="4"/>
      <c r="AC340" s="192">
        <v>30</v>
      </c>
      <c r="AD340" s="4"/>
      <c r="AE340" s="4"/>
      <c r="AF340" s="192">
        <v>29</v>
      </c>
      <c r="AG340" s="4"/>
      <c r="AH340" s="4"/>
      <c r="AI340" s="4"/>
      <c r="AJ340" s="4"/>
      <c r="AK340" s="1"/>
      <c r="AL340" s="1"/>
      <c r="AM340" s="1">
        <v>29</v>
      </c>
      <c r="AN340" s="1"/>
      <c r="AO340" s="1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>
        <v>24.5</v>
      </c>
      <c r="BU340" s="1">
        <v>30</v>
      </c>
      <c r="BV340" s="1"/>
      <c r="BW340" s="1"/>
      <c r="BX340" s="4"/>
      <c r="BY340" s="136"/>
      <c r="BZ340" s="136"/>
      <c r="CA340" s="136"/>
      <c r="CB340" s="136"/>
      <c r="CC340" s="136"/>
      <c r="CD340" s="136"/>
      <c r="CE340" s="136"/>
      <c r="CF340" s="136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DA340" s="379">
        <v>24</v>
      </c>
    </row>
    <row r="341" spans="1:105" ht="20.25" customHeight="1" x14ac:dyDescent="0.35">
      <c r="A341" s="95"/>
      <c r="B341" s="200" t="s">
        <v>1772</v>
      </c>
      <c r="C341" s="200" t="s">
        <v>318</v>
      </c>
      <c r="D341" s="245" t="s">
        <v>1232</v>
      </c>
      <c r="E341" s="95" t="s">
        <v>2226</v>
      </c>
      <c r="F341" s="95" t="s">
        <v>689</v>
      </c>
      <c r="G341" s="95" t="s">
        <v>864</v>
      </c>
      <c r="H341" s="237"/>
      <c r="I341" s="4"/>
      <c r="J341" s="4"/>
      <c r="K341" s="4"/>
      <c r="L341" s="4"/>
      <c r="M341" s="4"/>
      <c r="N341" s="108"/>
      <c r="O341" s="4">
        <v>29</v>
      </c>
      <c r="P341" s="4"/>
      <c r="Q341" s="4"/>
      <c r="R341" s="4">
        <v>29</v>
      </c>
      <c r="S341" s="4"/>
      <c r="T341" s="4"/>
      <c r="U341" s="4"/>
      <c r="V341" s="238"/>
      <c r="W341" s="4"/>
      <c r="X341" s="4"/>
      <c r="Y341" s="4"/>
      <c r="Z341" s="4"/>
      <c r="AA341" s="4"/>
      <c r="AB341" s="4"/>
      <c r="AC341" s="4"/>
      <c r="AD341" s="4"/>
      <c r="AE341" s="4">
        <v>29</v>
      </c>
      <c r="AF341" s="4">
        <v>28</v>
      </c>
      <c r="AG341" s="4"/>
      <c r="AH341" s="4"/>
      <c r="AI341" s="4"/>
      <c r="AJ341" s="4"/>
      <c r="AK341" s="1"/>
      <c r="AL341" s="1"/>
      <c r="AM341" s="1">
        <v>28</v>
      </c>
      <c r="AN341" s="1"/>
      <c r="AO341" s="1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4"/>
      <c r="BY341" s="136"/>
      <c r="BZ341" s="136">
        <v>28</v>
      </c>
      <c r="CA341" s="136"/>
      <c r="CB341" s="136"/>
      <c r="CC341" s="136"/>
      <c r="CD341" s="136"/>
      <c r="CE341" s="136"/>
      <c r="CF341" s="136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DA341" s="379">
        <v>22.8</v>
      </c>
    </row>
    <row r="342" spans="1:105" ht="20.25" customHeight="1" x14ac:dyDescent="0.35">
      <c r="A342" s="95"/>
      <c r="B342" s="200" t="s">
        <v>1773</v>
      </c>
      <c r="C342" s="200" t="s">
        <v>318</v>
      </c>
      <c r="D342" s="239" t="s">
        <v>1232</v>
      </c>
      <c r="E342" s="95" t="s">
        <v>2226</v>
      </c>
      <c r="F342" s="95" t="s">
        <v>54</v>
      </c>
      <c r="G342" s="95" t="s">
        <v>42</v>
      </c>
      <c r="H342" s="237">
        <f>18.5/25*5</f>
        <v>3.7</v>
      </c>
      <c r="I342" s="240">
        <v>5.2</v>
      </c>
      <c r="J342" s="4"/>
      <c r="K342" s="4"/>
      <c r="L342" s="4">
        <v>6</v>
      </c>
      <c r="M342" s="4">
        <v>6</v>
      </c>
      <c r="N342" s="108"/>
      <c r="O342" s="4"/>
      <c r="P342" s="4"/>
      <c r="Q342" s="4"/>
      <c r="R342" s="4"/>
      <c r="S342" s="4"/>
      <c r="T342" s="4"/>
      <c r="U342" s="4"/>
      <c r="V342" s="238"/>
      <c r="W342" s="4"/>
      <c r="X342" s="4"/>
      <c r="Y342" s="4"/>
      <c r="Z342" s="4"/>
      <c r="AA342" s="4"/>
      <c r="AB342" s="136">
        <v>5.9</v>
      </c>
      <c r="AC342" s="4">
        <v>6</v>
      </c>
      <c r="AD342" s="136"/>
      <c r="AE342" s="4"/>
      <c r="AF342" s="4"/>
      <c r="AG342" s="4"/>
      <c r="AH342" s="4"/>
      <c r="AI342" s="4"/>
      <c r="AJ342" s="4"/>
      <c r="AK342" s="1"/>
      <c r="AL342" s="1"/>
      <c r="AM342" s="1"/>
      <c r="AN342" s="1"/>
      <c r="AO342" s="1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1"/>
      <c r="BE342" s="1"/>
      <c r="BF342" s="1"/>
      <c r="BG342" s="1">
        <v>6</v>
      </c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4"/>
      <c r="BY342" s="136">
        <v>6.5</v>
      </c>
      <c r="BZ342" s="136"/>
      <c r="CA342" s="136"/>
      <c r="CB342" s="136"/>
      <c r="CC342" s="136"/>
      <c r="CD342" s="136"/>
      <c r="CE342" s="136"/>
      <c r="CF342" s="136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DA342" s="379">
        <f>DA340/25*5</f>
        <v>4.8</v>
      </c>
    </row>
    <row r="343" spans="1:105" ht="20.25" customHeight="1" x14ac:dyDescent="0.35">
      <c r="A343" s="95"/>
      <c r="B343" s="200" t="s">
        <v>1774</v>
      </c>
      <c r="C343" s="200" t="s">
        <v>318</v>
      </c>
      <c r="D343" s="245"/>
      <c r="E343" s="6" t="s">
        <v>36</v>
      </c>
      <c r="F343" s="95" t="s">
        <v>41</v>
      </c>
      <c r="G343" s="95" t="s">
        <v>42</v>
      </c>
      <c r="H343" s="237"/>
      <c r="I343" s="4"/>
      <c r="J343" s="4"/>
      <c r="K343" s="4"/>
      <c r="L343" s="4"/>
      <c r="M343" s="4"/>
      <c r="N343" s="108"/>
      <c r="O343" s="4"/>
      <c r="P343" s="4"/>
      <c r="Q343" s="4"/>
      <c r="R343" s="4"/>
      <c r="S343" s="4"/>
      <c r="T343" s="4"/>
      <c r="U343" s="4"/>
      <c r="V343" s="238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1"/>
      <c r="AL343" s="1"/>
      <c r="AM343" s="1"/>
      <c r="AN343" s="1"/>
      <c r="AO343" s="1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4"/>
      <c r="BY343" s="136">
        <v>2.2000000000000002</v>
      </c>
      <c r="BZ343" s="136"/>
      <c r="CA343" s="136"/>
      <c r="CB343" s="136">
        <v>2.2000000000000002</v>
      </c>
      <c r="CC343" s="136"/>
      <c r="CD343" s="136"/>
      <c r="CE343" s="136"/>
      <c r="CF343" s="136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DA343" s="379">
        <f>DA340/25*2</f>
        <v>1.92</v>
      </c>
    </row>
    <row r="344" spans="1:105" ht="20.25" customHeight="1" x14ac:dyDescent="0.35">
      <c r="A344" s="95"/>
      <c r="B344" s="200" t="s">
        <v>2175</v>
      </c>
      <c r="C344" s="200" t="s">
        <v>318</v>
      </c>
      <c r="D344" s="245"/>
      <c r="E344" s="6" t="s">
        <v>36</v>
      </c>
      <c r="F344" s="95" t="s">
        <v>75</v>
      </c>
      <c r="G344" s="95"/>
      <c r="H344" s="237"/>
      <c r="I344" s="4"/>
      <c r="J344" s="4"/>
      <c r="K344" s="4"/>
      <c r="L344" s="4"/>
      <c r="M344" s="4"/>
      <c r="N344" s="108"/>
      <c r="O344" s="4"/>
      <c r="P344" s="4"/>
      <c r="Q344" s="4"/>
      <c r="R344" s="4"/>
      <c r="S344" s="4"/>
      <c r="T344" s="4"/>
      <c r="U344" s="4"/>
      <c r="V344" s="238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1"/>
      <c r="AL344" s="1"/>
      <c r="AM344" s="1"/>
      <c r="AN344" s="1"/>
      <c r="AO344" s="1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4"/>
      <c r="BY344" s="136"/>
      <c r="BZ344" s="136"/>
      <c r="CA344" s="136"/>
      <c r="CB344" s="136"/>
      <c r="CC344" s="136"/>
      <c r="CD344" s="136"/>
      <c r="CE344" s="136"/>
      <c r="CF344" s="136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DA344" s="379">
        <f>DA343/2</f>
        <v>0.96</v>
      </c>
    </row>
    <row r="345" spans="1:105" ht="20.25" customHeight="1" x14ac:dyDescent="0.35">
      <c r="A345" s="95"/>
      <c r="B345" s="200" t="s">
        <v>1775</v>
      </c>
      <c r="C345" s="200" t="s">
        <v>297</v>
      </c>
      <c r="D345" s="239" t="s">
        <v>1101</v>
      </c>
      <c r="E345" s="95" t="s">
        <v>1101</v>
      </c>
      <c r="F345" s="95" t="s">
        <v>64</v>
      </c>
      <c r="G345" s="95" t="s">
        <v>35</v>
      </c>
      <c r="H345" s="237">
        <v>16</v>
      </c>
      <c r="I345" s="4"/>
      <c r="J345" s="4"/>
      <c r="K345" s="4"/>
      <c r="L345" s="154"/>
      <c r="M345" s="4"/>
      <c r="N345" s="289"/>
      <c r="O345" s="4"/>
      <c r="P345" s="192"/>
      <c r="Q345" s="4"/>
      <c r="R345" s="4"/>
      <c r="S345" s="4"/>
      <c r="T345" s="4"/>
      <c r="U345" s="4"/>
      <c r="V345" s="238"/>
      <c r="W345" s="4"/>
      <c r="X345" s="4"/>
      <c r="Y345" s="4"/>
      <c r="Z345" s="192"/>
      <c r="AA345" s="4"/>
      <c r="AB345" s="4"/>
      <c r="AC345" s="4"/>
      <c r="AD345" s="4"/>
      <c r="AE345" s="4">
        <v>26</v>
      </c>
      <c r="AF345" s="290"/>
      <c r="AG345" s="4"/>
      <c r="AH345" s="4"/>
      <c r="AI345" s="4"/>
      <c r="AJ345" s="4"/>
      <c r="AK345" s="1"/>
      <c r="AL345" s="1"/>
      <c r="AM345" s="1"/>
      <c r="AN345" s="1"/>
      <c r="AO345" s="1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4"/>
      <c r="BV345" s="1"/>
      <c r="BW345" s="1"/>
      <c r="BX345" s="4"/>
      <c r="BY345" s="136"/>
      <c r="BZ345" s="136"/>
      <c r="CA345" s="136"/>
      <c r="CB345" s="136"/>
      <c r="CC345" s="136"/>
      <c r="CD345" s="136"/>
      <c r="CE345" s="136"/>
      <c r="CF345" s="136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DA345" s="379">
        <v>16</v>
      </c>
    </row>
    <row r="346" spans="1:105" ht="20.25" customHeight="1" x14ac:dyDescent="0.35">
      <c r="A346" s="95"/>
      <c r="B346" s="200" t="s">
        <v>1776</v>
      </c>
      <c r="C346" s="200" t="s">
        <v>297</v>
      </c>
      <c r="D346" s="239" t="s">
        <v>494</v>
      </c>
      <c r="E346" s="95" t="s">
        <v>259</v>
      </c>
      <c r="F346" s="95" t="s">
        <v>64</v>
      </c>
      <c r="G346" s="95" t="s">
        <v>35</v>
      </c>
      <c r="H346" s="237">
        <v>34</v>
      </c>
      <c r="I346" s="240">
        <v>36</v>
      </c>
      <c r="J346" s="4"/>
      <c r="K346" s="4"/>
      <c r="L346" s="154">
        <v>36</v>
      </c>
      <c r="M346" s="4"/>
      <c r="N346" s="240">
        <v>36</v>
      </c>
      <c r="O346" s="4">
        <v>36</v>
      </c>
      <c r="P346" s="4"/>
      <c r="Q346" s="4"/>
      <c r="R346" s="4"/>
      <c r="S346" s="4"/>
      <c r="T346" s="4"/>
      <c r="U346" s="4">
        <v>36</v>
      </c>
      <c r="V346" s="238"/>
      <c r="W346" s="4"/>
      <c r="X346" s="4"/>
      <c r="Y346" s="4"/>
      <c r="Z346" s="146">
        <v>35</v>
      </c>
      <c r="AA346" s="4"/>
      <c r="AB346" s="4"/>
      <c r="AC346" s="154">
        <v>36</v>
      </c>
      <c r="AD346" s="4"/>
      <c r="AE346" s="4">
        <v>36</v>
      </c>
      <c r="AF346" s="4"/>
      <c r="AG346" s="4"/>
      <c r="AH346" s="4"/>
      <c r="AI346" s="4"/>
      <c r="AJ346" s="4"/>
      <c r="AK346" s="1"/>
      <c r="AL346" s="1"/>
      <c r="AM346" s="1"/>
      <c r="AN346" s="1"/>
      <c r="AO346" s="1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>
        <v>36</v>
      </c>
      <c r="BP346" s="1"/>
      <c r="BQ346" s="1"/>
      <c r="BR346" s="1"/>
      <c r="BS346" s="1"/>
      <c r="BT346" s="1"/>
      <c r="BU346" s="1"/>
      <c r="BV346" s="1"/>
      <c r="BW346" s="1"/>
      <c r="BX346" s="4"/>
      <c r="BY346" s="136"/>
      <c r="BZ346" s="136"/>
      <c r="CA346" s="136"/>
      <c r="CB346" s="136"/>
      <c r="CC346" s="136"/>
      <c r="CD346" s="136"/>
      <c r="CE346" s="136"/>
      <c r="CF346" s="136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DA346" s="379">
        <v>31</v>
      </c>
    </row>
    <row r="347" spans="1:105" ht="20.25" customHeight="1" x14ac:dyDescent="0.35">
      <c r="A347" s="95"/>
      <c r="B347" s="200" t="s">
        <v>1777</v>
      </c>
      <c r="C347" s="200" t="s">
        <v>297</v>
      </c>
      <c r="D347" s="239" t="s">
        <v>494</v>
      </c>
      <c r="E347" s="95" t="s">
        <v>259</v>
      </c>
      <c r="F347" s="95" t="s">
        <v>1079</v>
      </c>
      <c r="G347" s="95" t="s">
        <v>51</v>
      </c>
      <c r="H347" s="237"/>
      <c r="I347" s="240"/>
      <c r="J347" s="4"/>
      <c r="K347" s="4"/>
      <c r="L347" s="154"/>
      <c r="M347" s="4"/>
      <c r="N347" s="108"/>
      <c r="O347" s="4"/>
      <c r="P347" s="4"/>
      <c r="Q347" s="4"/>
      <c r="R347" s="4"/>
      <c r="S347" s="4"/>
      <c r="T347" s="4"/>
      <c r="U347" s="4"/>
      <c r="V347" s="238"/>
      <c r="W347" s="4"/>
      <c r="X347" s="4"/>
      <c r="Y347" s="4"/>
      <c r="Z347" s="146"/>
      <c r="AA347" s="4"/>
      <c r="AB347" s="4"/>
      <c r="AC347" s="154"/>
      <c r="AD347" s="4"/>
      <c r="AE347" s="4"/>
      <c r="AF347" s="4"/>
      <c r="AG347" s="4"/>
      <c r="AH347" s="4"/>
      <c r="AI347" s="4"/>
      <c r="AJ347" s="4"/>
      <c r="AK347" s="1"/>
      <c r="AL347" s="1"/>
      <c r="AM347" s="1"/>
      <c r="AN347" s="1"/>
      <c r="AO347" s="1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4"/>
      <c r="BY347" s="136"/>
      <c r="BZ347" s="136"/>
      <c r="CA347" s="136"/>
      <c r="CB347" s="136"/>
      <c r="CC347" s="136"/>
      <c r="CD347" s="136"/>
      <c r="CE347" s="136"/>
      <c r="CF347" s="136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DA347" s="379">
        <f>DA346/20</f>
        <v>1.55</v>
      </c>
    </row>
    <row r="348" spans="1:105" ht="20.25" customHeight="1" x14ac:dyDescent="0.35">
      <c r="A348" s="95" t="s">
        <v>104</v>
      </c>
      <c r="B348" s="200" t="s">
        <v>1778</v>
      </c>
      <c r="C348" s="200" t="s">
        <v>297</v>
      </c>
      <c r="D348" s="239" t="s">
        <v>494</v>
      </c>
      <c r="E348" s="95" t="s">
        <v>103</v>
      </c>
      <c r="F348" s="95" t="s">
        <v>64</v>
      </c>
      <c r="G348" s="95" t="s">
        <v>35</v>
      </c>
      <c r="H348" s="237">
        <v>30</v>
      </c>
      <c r="I348" s="240">
        <v>32</v>
      </c>
      <c r="J348" s="4"/>
      <c r="K348" s="4"/>
      <c r="L348" s="4"/>
      <c r="M348" s="4"/>
      <c r="N348" s="108">
        <v>32</v>
      </c>
      <c r="O348" s="4"/>
      <c r="P348" s="4"/>
      <c r="Q348" s="4"/>
      <c r="R348" s="4"/>
      <c r="S348" s="4"/>
      <c r="T348" s="4"/>
      <c r="U348" s="4"/>
      <c r="V348" s="238"/>
      <c r="W348" s="4"/>
      <c r="X348" s="4"/>
      <c r="Y348" s="4"/>
      <c r="Z348" s="4"/>
      <c r="AA348" s="4"/>
      <c r="AB348" s="4"/>
      <c r="AC348" s="4"/>
      <c r="AD348" s="4"/>
      <c r="AE348" s="4">
        <v>34</v>
      </c>
      <c r="AF348" s="146">
        <v>32</v>
      </c>
      <c r="AG348" s="4"/>
      <c r="AH348" s="4"/>
      <c r="AI348" s="4"/>
      <c r="AJ348" s="4"/>
      <c r="AK348" s="1"/>
      <c r="AL348" s="1"/>
      <c r="AM348" s="1"/>
      <c r="AN348" s="1"/>
      <c r="AO348" s="1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4"/>
      <c r="BY348" s="136"/>
      <c r="BZ348" s="136">
        <v>0</v>
      </c>
      <c r="CA348" s="136"/>
      <c r="CB348" s="136"/>
      <c r="CC348" s="136"/>
      <c r="CD348" s="136"/>
      <c r="CE348" s="136"/>
      <c r="CF348" s="136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DA348" s="379">
        <v>28</v>
      </c>
    </row>
    <row r="349" spans="1:105" ht="20.25" customHeight="1" x14ac:dyDescent="0.35">
      <c r="A349" s="95"/>
      <c r="B349" s="200" t="s">
        <v>1779</v>
      </c>
      <c r="C349" s="200" t="s">
        <v>297</v>
      </c>
      <c r="D349" s="239" t="s">
        <v>494</v>
      </c>
      <c r="E349" s="95" t="s">
        <v>494</v>
      </c>
      <c r="F349" s="95" t="s">
        <v>64</v>
      </c>
      <c r="G349" s="95" t="s">
        <v>35</v>
      </c>
      <c r="H349" s="237">
        <v>30</v>
      </c>
      <c r="I349" s="240"/>
      <c r="J349" s="4"/>
      <c r="K349" s="4"/>
      <c r="L349" s="4"/>
      <c r="M349" s="4"/>
      <c r="N349" s="240"/>
      <c r="O349" s="4">
        <v>31</v>
      </c>
      <c r="P349" s="240">
        <v>33</v>
      </c>
      <c r="Q349" s="4"/>
      <c r="R349" s="4">
        <v>33</v>
      </c>
      <c r="S349" s="192">
        <v>36</v>
      </c>
      <c r="T349" s="4"/>
      <c r="U349" s="4"/>
      <c r="V349" s="238">
        <v>36</v>
      </c>
      <c r="W349" s="4"/>
      <c r="X349" s="4"/>
      <c r="Y349" s="4"/>
      <c r="Z349" s="4"/>
      <c r="AA349" s="4"/>
      <c r="AB349" s="4"/>
      <c r="AC349" s="4"/>
      <c r="AD349" s="4"/>
      <c r="AE349" s="4">
        <v>33</v>
      </c>
      <c r="AF349" s="4"/>
      <c r="AG349" s="180">
        <v>34</v>
      </c>
      <c r="AH349" s="4"/>
      <c r="AI349" s="4"/>
      <c r="AJ349" s="4"/>
      <c r="AK349" s="1"/>
      <c r="AL349" s="1"/>
      <c r="AM349" s="1"/>
      <c r="AN349" s="1"/>
      <c r="AO349" s="1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1"/>
      <c r="BE349" s="1"/>
      <c r="BF349" s="1"/>
      <c r="BG349" s="1">
        <v>34</v>
      </c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4"/>
      <c r="BY349" s="136"/>
      <c r="BZ349" s="136"/>
      <c r="CA349" s="136"/>
      <c r="CB349" s="136"/>
      <c r="CC349" s="136"/>
      <c r="CD349" s="136"/>
      <c r="CE349" s="136"/>
      <c r="CF349" s="136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DA349" s="379">
        <v>28</v>
      </c>
    </row>
    <row r="350" spans="1:105" ht="20.25" customHeight="1" x14ac:dyDescent="0.35">
      <c r="A350" s="95"/>
      <c r="B350" s="200" t="s">
        <v>1780</v>
      </c>
      <c r="C350" s="200" t="s">
        <v>297</v>
      </c>
      <c r="D350" s="239" t="s">
        <v>494</v>
      </c>
      <c r="E350" s="95" t="s">
        <v>1227</v>
      </c>
      <c r="F350" s="95" t="s">
        <v>624</v>
      </c>
      <c r="G350" s="95" t="s">
        <v>35</v>
      </c>
      <c r="H350" s="237"/>
      <c r="I350" s="240">
        <v>36</v>
      </c>
      <c r="J350" s="4"/>
      <c r="K350" s="4"/>
      <c r="L350" s="4"/>
      <c r="M350" s="4"/>
      <c r="N350" s="108"/>
      <c r="O350" s="4"/>
      <c r="P350" s="4"/>
      <c r="Q350" s="4"/>
      <c r="R350" s="4"/>
      <c r="S350" s="4"/>
      <c r="T350" s="4"/>
      <c r="U350" s="4"/>
      <c r="V350" s="238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1"/>
      <c r="AL350" s="1"/>
      <c r="AM350" s="1"/>
      <c r="AN350" s="1"/>
      <c r="AO350" s="1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4"/>
      <c r="BY350" s="136"/>
      <c r="BZ350" s="136"/>
      <c r="CA350" s="136"/>
      <c r="CB350" s="136"/>
      <c r="CC350" s="136"/>
      <c r="CD350" s="136"/>
      <c r="CE350" s="136"/>
      <c r="CF350" s="136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DA350" s="379">
        <v>30</v>
      </c>
    </row>
    <row r="351" spans="1:105" ht="20.25" customHeight="1" x14ac:dyDescent="0.35">
      <c r="A351" s="95"/>
      <c r="B351" s="200" t="s">
        <v>1781</v>
      </c>
      <c r="C351" s="200" t="s">
        <v>331</v>
      </c>
      <c r="D351" s="239" t="s">
        <v>1229</v>
      </c>
      <c r="E351" s="95" t="s">
        <v>36</v>
      </c>
      <c r="F351" s="95" t="s">
        <v>486</v>
      </c>
      <c r="G351" s="95" t="s">
        <v>38</v>
      </c>
      <c r="H351" s="248">
        <v>35</v>
      </c>
      <c r="I351" s="240">
        <v>43</v>
      </c>
      <c r="J351" s="4">
        <v>42</v>
      </c>
      <c r="K351" s="4"/>
      <c r="L351" s="4">
        <v>45</v>
      </c>
      <c r="M351" s="4"/>
      <c r="N351" s="240">
        <v>45</v>
      </c>
      <c r="O351" s="4"/>
      <c r="P351" s="4"/>
      <c r="Q351" s="4"/>
      <c r="R351" s="4"/>
      <c r="S351" s="4"/>
      <c r="T351" s="4"/>
      <c r="U351" s="4"/>
      <c r="V351" s="238"/>
      <c r="W351" s="4"/>
      <c r="X351" s="4"/>
      <c r="Y351" s="4"/>
      <c r="Z351" s="4"/>
      <c r="AA351" s="4"/>
      <c r="AB351" s="4"/>
      <c r="AC351" s="4"/>
      <c r="AD351" s="4"/>
      <c r="AE351" s="4"/>
      <c r="AF351" s="4">
        <v>45</v>
      </c>
      <c r="AG351" s="4"/>
      <c r="AH351" s="4"/>
      <c r="AI351" s="4"/>
      <c r="AJ351" s="4"/>
      <c r="AK351" s="1"/>
      <c r="AL351" s="1"/>
      <c r="AM351" s="1"/>
      <c r="AN351" s="1"/>
      <c r="AO351" s="1"/>
      <c r="AP351" s="4">
        <v>42</v>
      </c>
      <c r="AQ351" s="4">
        <v>42</v>
      </c>
      <c r="AR351" s="4">
        <v>42</v>
      </c>
      <c r="AS351" s="4"/>
      <c r="AT351" s="4">
        <v>42</v>
      </c>
      <c r="AU351" s="4">
        <v>42</v>
      </c>
      <c r="AV351" s="4">
        <v>42</v>
      </c>
      <c r="AW351" s="4">
        <v>42</v>
      </c>
      <c r="AX351" s="4">
        <v>42</v>
      </c>
      <c r="AY351" s="4">
        <v>42</v>
      </c>
      <c r="AZ351" s="4">
        <v>42</v>
      </c>
      <c r="BA351" s="4">
        <v>42</v>
      </c>
      <c r="BB351" s="4"/>
      <c r="BC351" s="4">
        <v>42</v>
      </c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>
        <v>42</v>
      </c>
      <c r="BP351" s="1"/>
      <c r="BQ351" s="1"/>
      <c r="BR351" s="1"/>
      <c r="BS351" s="1"/>
      <c r="BT351" s="1"/>
      <c r="BU351" s="1"/>
      <c r="BV351" s="1"/>
      <c r="BW351" s="1"/>
      <c r="BX351" s="4"/>
      <c r="BY351" s="136"/>
      <c r="BZ351" s="136"/>
      <c r="CA351" s="136"/>
      <c r="CB351" s="136"/>
      <c r="CC351" s="136"/>
      <c r="CD351" s="136"/>
      <c r="CE351" s="136"/>
      <c r="CF351" s="136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DA351" s="379">
        <v>38</v>
      </c>
    </row>
    <row r="352" spans="1:105" ht="20" customHeight="1" x14ac:dyDescent="0.35">
      <c r="A352" s="95"/>
      <c r="B352" s="200" t="s">
        <v>1782</v>
      </c>
      <c r="C352" s="200" t="s">
        <v>331</v>
      </c>
      <c r="D352" s="239" t="s">
        <v>1229</v>
      </c>
      <c r="E352" s="95" t="s">
        <v>36</v>
      </c>
      <c r="F352" s="95" t="s">
        <v>1391</v>
      </c>
      <c r="G352" s="95" t="s">
        <v>38</v>
      </c>
      <c r="H352" s="248">
        <f>H351/50</f>
        <v>0.7</v>
      </c>
      <c r="I352" s="240"/>
      <c r="J352" s="4"/>
      <c r="K352" s="4"/>
      <c r="L352" s="4"/>
      <c r="M352" s="4"/>
      <c r="N352" s="240"/>
      <c r="O352" s="4"/>
      <c r="P352" s="4"/>
      <c r="Q352" s="4"/>
      <c r="R352" s="4"/>
      <c r="S352" s="4"/>
      <c r="T352" s="4"/>
      <c r="U352" s="4"/>
      <c r="V352" s="238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1"/>
      <c r="AL352" s="1"/>
      <c r="AM352" s="1"/>
      <c r="AN352" s="1"/>
      <c r="AO352" s="1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4"/>
      <c r="BY352" s="136"/>
      <c r="BZ352" s="136"/>
      <c r="CA352" s="136"/>
      <c r="CB352" s="136"/>
      <c r="CC352" s="136"/>
      <c r="CD352" s="136"/>
      <c r="CE352" s="136"/>
      <c r="CF352" s="136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DA352" s="379">
        <f>DA351/50</f>
        <v>0.76</v>
      </c>
    </row>
    <row r="353" spans="1:105" ht="20" customHeight="1" x14ac:dyDescent="0.35">
      <c r="A353" s="95">
        <v>4000005651</v>
      </c>
      <c r="B353" s="200" t="s">
        <v>1783</v>
      </c>
      <c r="C353" s="200" t="s">
        <v>333</v>
      </c>
      <c r="D353" s="239" t="s">
        <v>1229</v>
      </c>
      <c r="E353" s="95" t="s">
        <v>626</v>
      </c>
      <c r="F353" s="95" t="s">
        <v>487</v>
      </c>
      <c r="G353" s="95" t="s">
        <v>107</v>
      </c>
      <c r="H353" s="237">
        <f>35</f>
        <v>35</v>
      </c>
      <c r="I353" s="240">
        <v>44</v>
      </c>
      <c r="J353" s="4"/>
      <c r="K353" s="192">
        <v>50</v>
      </c>
      <c r="L353" s="4"/>
      <c r="M353" s="4"/>
      <c r="N353" s="108"/>
      <c r="O353" s="4"/>
      <c r="P353" s="4"/>
      <c r="Q353" s="4"/>
      <c r="R353" s="4"/>
      <c r="S353" s="4"/>
      <c r="T353" s="4"/>
      <c r="U353" s="4"/>
      <c r="V353" s="238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1"/>
      <c r="AL353" s="1"/>
      <c r="AM353" s="1"/>
      <c r="AN353" s="1"/>
      <c r="AO353" s="1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4"/>
      <c r="BY353" s="136"/>
      <c r="BZ353" s="136"/>
      <c r="CA353" s="136"/>
      <c r="CB353" s="136"/>
      <c r="CC353" s="136"/>
      <c r="CD353" s="136"/>
      <c r="CE353" s="136"/>
      <c r="CF353" s="136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DA353" s="379">
        <v>45</v>
      </c>
    </row>
    <row r="354" spans="1:105" ht="20" customHeight="1" x14ac:dyDescent="0.35">
      <c r="A354" s="95"/>
      <c r="B354" s="200" t="s">
        <v>1881</v>
      </c>
      <c r="C354" s="200" t="s">
        <v>333</v>
      </c>
      <c r="D354" s="239" t="s">
        <v>1229</v>
      </c>
      <c r="E354" s="95" t="s">
        <v>626</v>
      </c>
      <c r="F354" s="95" t="s">
        <v>1882</v>
      </c>
      <c r="G354" s="95" t="s">
        <v>1687</v>
      </c>
      <c r="H354" s="248">
        <f>44/36</f>
        <v>1.2222222222222223</v>
      </c>
      <c r="I354" s="240"/>
      <c r="J354" s="4"/>
      <c r="K354" s="192"/>
      <c r="L354" s="4"/>
      <c r="M354" s="4"/>
      <c r="N354" s="108"/>
      <c r="O354" s="4"/>
      <c r="P354" s="4"/>
      <c r="Q354" s="4"/>
      <c r="R354" s="4"/>
      <c r="S354" s="4"/>
      <c r="T354" s="4"/>
      <c r="U354" s="4"/>
      <c r="V354" s="238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1"/>
      <c r="AL354" s="1"/>
      <c r="AM354" s="1"/>
      <c r="AN354" s="1"/>
      <c r="AO354" s="1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4"/>
      <c r="BY354" s="136"/>
      <c r="BZ354" s="136">
        <v>1.6</v>
      </c>
      <c r="CA354" s="136"/>
      <c r="CB354" s="136"/>
      <c r="CC354" s="136"/>
      <c r="CD354" s="136"/>
      <c r="CE354" s="136"/>
      <c r="CF354" s="136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DA354" s="379"/>
    </row>
    <row r="355" spans="1:105" ht="20" customHeight="1" x14ac:dyDescent="0.35">
      <c r="A355" s="6"/>
      <c r="B355" s="200" t="s">
        <v>1784</v>
      </c>
      <c r="C355" s="200" t="s">
        <v>1785</v>
      </c>
      <c r="D355" s="95" t="s">
        <v>1232</v>
      </c>
      <c r="E355" s="95" t="s">
        <v>610</v>
      </c>
      <c r="F355" s="95" t="s">
        <v>1786</v>
      </c>
      <c r="G355" s="95" t="s">
        <v>1787</v>
      </c>
      <c r="H355" s="237"/>
      <c r="I355" s="4"/>
      <c r="J355" s="4"/>
      <c r="K355" s="4"/>
      <c r="L355" s="4"/>
      <c r="M355" s="4"/>
      <c r="N355" s="108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1"/>
      <c r="AL355" s="1"/>
      <c r="AM355" s="1"/>
      <c r="AN355" s="1"/>
      <c r="AO355" s="1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4"/>
      <c r="BY355" s="136"/>
      <c r="BZ355" s="136"/>
      <c r="CA355" s="136"/>
      <c r="CB355" s="136"/>
      <c r="CC355" s="136"/>
      <c r="CD355" s="136"/>
      <c r="CE355" s="136"/>
      <c r="CF355" s="136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DA355" s="379"/>
    </row>
    <row r="356" spans="1:105" ht="20" customHeight="1" x14ac:dyDescent="0.35">
      <c r="A356" s="6" t="s">
        <v>2069</v>
      </c>
      <c r="B356" s="200" t="s">
        <v>2047</v>
      </c>
      <c r="C356" s="200" t="s">
        <v>2048</v>
      </c>
      <c r="D356" s="95" t="s">
        <v>1232</v>
      </c>
      <c r="E356" s="95" t="s">
        <v>610</v>
      </c>
      <c r="F356" s="95" t="s">
        <v>529</v>
      </c>
      <c r="G356" s="95" t="s">
        <v>40</v>
      </c>
      <c r="H356" s="248">
        <f>28.8/6</f>
        <v>4.8</v>
      </c>
      <c r="I356" s="4">
        <v>7</v>
      </c>
      <c r="J356" s="4"/>
      <c r="K356" s="4"/>
      <c r="L356" s="4"/>
      <c r="M356" s="4"/>
      <c r="N356" s="108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1"/>
      <c r="AL356" s="1"/>
      <c r="AM356" s="1"/>
      <c r="AN356" s="1"/>
      <c r="AO356" s="1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4"/>
      <c r="BY356" s="136"/>
      <c r="BZ356" s="136"/>
      <c r="CA356" s="136"/>
      <c r="CB356" s="136"/>
      <c r="CC356" s="136"/>
      <c r="CD356" s="136"/>
      <c r="CE356" s="136">
        <v>7</v>
      </c>
      <c r="CF356" s="136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DA356" s="379">
        <f>530/21/5</f>
        <v>5.0476190476190474</v>
      </c>
    </row>
    <row r="357" spans="1:105" ht="20" customHeight="1" x14ac:dyDescent="0.35">
      <c r="A357" s="95"/>
      <c r="B357" s="200" t="s">
        <v>1788</v>
      </c>
      <c r="C357" s="200" t="s">
        <v>279</v>
      </c>
      <c r="D357" s="239" t="s">
        <v>1101</v>
      </c>
      <c r="E357" s="239" t="s">
        <v>1101</v>
      </c>
      <c r="F357" s="95" t="s">
        <v>34</v>
      </c>
      <c r="G357" s="95" t="s">
        <v>42</v>
      </c>
      <c r="H357" s="248">
        <f>1*1.5</f>
        <v>1.5</v>
      </c>
      <c r="I357" s="240">
        <v>1.8</v>
      </c>
      <c r="J357" s="4">
        <v>1.8</v>
      </c>
      <c r="K357" s="4"/>
      <c r="L357" s="4">
        <v>0</v>
      </c>
      <c r="M357" s="4"/>
      <c r="N357" s="108"/>
      <c r="O357" s="4"/>
      <c r="P357" s="4">
        <v>2.1</v>
      </c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1"/>
      <c r="AL357" s="1"/>
      <c r="AM357" s="1"/>
      <c r="AN357" s="1"/>
      <c r="AO357" s="1">
        <v>1.8</v>
      </c>
      <c r="AP357" s="4">
        <v>1.8</v>
      </c>
      <c r="AQ357" s="4">
        <v>1.8</v>
      </c>
      <c r="AR357" s="4">
        <v>1.8</v>
      </c>
      <c r="AS357" s="4"/>
      <c r="AT357" s="4">
        <v>1.8</v>
      </c>
      <c r="AU357" s="4">
        <v>1.8</v>
      </c>
      <c r="AV357" s="4">
        <v>1.8</v>
      </c>
      <c r="AW357" s="4">
        <v>1.8</v>
      </c>
      <c r="AX357" s="4">
        <v>1.8</v>
      </c>
      <c r="AY357" s="4">
        <v>1.8</v>
      </c>
      <c r="AZ357" s="4">
        <v>1.8</v>
      </c>
      <c r="BA357" s="4">
        <v>1.8</v>
      </c>
      <c r="BB357" s="4"/>
      <c r="BC357" s="4">
        <v>1.8</v>
      </c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4">
        <f>J357</f>
        <v>1.8</v>
      </c>
      <c r="BY357" s="136"/>
      <c r="BZ357" s="136"/>
      <c r="CA357" s="136"/>
      <c r="CB357" s="136"/>
      <c r="CC357" s="136"/>
      <c r="CD357" s="136"/>
      <c r="CE357" s="136"/>
      <c r="CF357" s="136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DA357" s="379">
        <v>1</v>
      </c>
    </row>
    <row r="358" spans="1:105" ht="20" customHeight="1" x14ac:dyDescent="0.35">
      <c r="A358" s="95" t="s">
        <v>76</v>
      </c>
      <c r="B358" s="200" t="s">
        <v>1789</v>
      </c>
      <c r="C358" s="200" t="s">
        <v>323</v>
      </c>
      <c r="D358" s="239" t="s">
        <v>1101</v>
      </c>
      <c r="E358" s="239" t="s">
        <v>1101</v>
      </c>
      <c r="F358" s="95" t="s">
        <v>75</v>
      </c>
      <c r="G358" s="95" t="s">
        <v>42</v>
      </c>
      <c r="H358" s="237">
        <v>1.8</v>
      </c>
      <c r="I358" s="240">
        <v>2.2000000000000002</v>
      </c>
      <c r="J358" s="250">
        <v>2.5</v>
      </c>
      <c r="K358" s="4"/>
      <c r="L358" s="4"/>
      <c r="M358" s="4">
        <v>2.5</v>
      </c>
      <c r="N358" s="240">
        <v>2.5</v>
      </c>
      <c r="O358" s="4">
        <v>2.5</v>
      </c>
      <c r="P358" s="240">
        <v>2.5</v>
      </c>
      <c r="Q358" s="4">
        <v>2.5</v>
      </c>
      <c r="R358" s="4"/>
      <c r="S358" s="4">
        <v>2.5</v>
      </c>
      <c r="T358" s="4"/>
      <c r="U358" s="4">
        <v>2.5</v>
      </c>
      <c r="V358" s="238">
        <v>2.5</v>
      </c>
      <c r="W358" s="4"/>
      <c r="X358" s="4"/>
      <c r="Y358" s="4"/>
      <c r="Z358" s="4"/>
      <c r="AA358" s="4"/>
      <c r="AB358" s="4"/>
      <c r="AC358" s="4">
        <v>2.5</v>
      </c>
      <c r="AD358" s="4"/>
      <c r="AE358" s="4"/>
      <c r="AF358" s="4">
        <v>2.5</v>
      </c>
      <c r="AG358" s="4"/>
      <c r="AH358" s="4"/>
      <c r="AI358" s="4"/>
      <c r="AJ358" s="4">
        <v>2.5</v>
      </c>
      <c r="AK358" s="1"/>
      <c r="AL358" s="1"/>
      <c r="AM358" s="1">
        <v>2.5</v>
      </c>
      <c r="AN358" s="1"/>
      <c r="AO358" s="1"/>
      <c r="AP358" s="250">
        <v>2.5</v>
      </c>
      <c r="AQ358" s="250">
        <v>2.5</v>
      </c>
      <c r="AR358" s="250">
        <v>2.5</v>
      </c>
      <c r="AS358" s="4"/>
      <c r="AT358" s="250">
        <v>2.5</v>
      </c>
      <c r="AU358" s="250">
        <v>2.5</v>
      </c>
      <c r="AV358" s="250">
        <v>2.5</v>
      </c>
      <c r="AW358" s="250">
        <v>2.5</v>
      </c>
      <c r="AX358" s="250">
        <v>2.5</v>
      </c>
      <c r="AY358" s="250">
        <v>2.5</v>
      </c>
      <c r="AZ358" s="250">
        <v>2.5</v>
      </c>
      <c r="BA358" s="250">
        <v>2.5</v>
      </c>
      <c r="BB358" s="4"/>
      <c r="BC358" s="250">
        <v>2.5</v>
      </c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>
        <v>2.5</v>
      </c>
      <c r="BX358" s="250">
        <v>2.5</v>
      </c>
      <c r="BY358" s="136"/>
      <c r="BZ358" s="136">
        <v>2.5</v>
      </c>
      <c r="CA358" s="136"/>
      <c r="CB358" s="136"/>
      <c r="CC358" s="136"/>
      <c r="CD358" s="136">
        <v>2.5</v>
      </c>
      <c r="CE358" s="136"/>
      <c r="CF358" s="136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DA358" s="379">
        <f>(1.8+1.8+2)/3</f>
        <v>1.8666666666666665</v>
      </c>
    </row>
    <row r="359" spans="1:105" ht="20" customHeight="1" x14ac:dyDescent="0.35">
      <c r="A359" s="6"/>
      <c r="B359" s="200" t="s">
        <v>1790</v>
      </c>
      <c r="C359" s="200" t="s">
        <v>1428</v>
      </c>
      <c r="D359" s="239" t="s">
        <v>1101</v>
      </c>
      <c r="E359" s="239" t="s">
        <v>1101</v>
      </c>
      <c r="F359" s="95" t="s">
        <v>75</v>
      </c>
      <c r="G359" s="95" t="s">
        <v>42</v>
      </c>
      <c r="H359" s="237">
        <v>1.6</v>
      </c>
      <c r="I359" s="240"/>
      <c r="J359" s="4"/>
      <c r="K359" s="4"/>
      <c r="L359" s="4"/>
      <c r="M359" s="4"/>
      <c r="N359" s="108"/>
      <c r="O359" s="4"/>
      <c r="P359" s="4"/>
      <c r="Q359" s="4"/>
      <c r="R359" s="4"/>
      <c r="S359" s="4"/>
      <c r="T359" s="4"/>
      <c r="U359" s="4"/>
      <c r="V359" s="238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1"/>
      <c r="AL359" s="1"/>
      <c r="AM359" s="1"/>
      <c r="AN359" s="1"/>
      <c r="AO359" s="1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4"/>
      <c r="BY359" s="136"/>
      <c r="BZ359" s="136"/>
      <c r="CA359" s="136"/>
      <c r="CB359" s="136"/>
      <c r="CC359" s="136"/>
      <c r="CD359" s="136"/>
      <c r="CE359" s="136"/>
      <c r="CF359" s="136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DA359" s="379">
        <v>2</v>
      </c>
    </row>
    <row r="360" spans="1:105" ht="20" customHeight="1" x14ac:dyDescent="0.35">
      <c r="A360" s="95"/>
      <c r="B360" s="200" t="s">
        <v>1791</v>
      </c>
      <c r="C360" s="200" t="s">
        <v>324</v>
      </c>
      <c r="D360" s="239" t="s">
        <v>36</v>
      </c>
      <c r="E360" s="239" t="s">
        <v>1232</v>
      </c>
      <c r="F360" s="95" t="s">
        <v>75</v>
      </c>
      <c r="G360" s="95" t="s">
        <v>42</v>
      </c>
      <c r="H360" s="237">
        <v>4</v>
      </c>
      <c r="I360" s="240"/>
      <c r="J360" s="4"/>
      <c r="K360" s="4">
        <v>4</v>
      </c>
      <c r="L360" s="4"/>
      <c r="M360" s="4"/>
      <c r="N360" s="240">
        <v>4.8</v>
      </c>
      <c r="O360" s="4">
        <v>4.8</v>
      </c>
      <c r="P360" s="240">
        <v>4.8</v>
      </c>
      <c r="Q360" s="4">
        <v>5.5</v>
      </c>
      <c r="R360" s="4"/>
      <c r="S360" s="4">
        <v>6</v>
      </c>
      <c r="T360" s="4"/>
      <c r="U360" s="4"/>
      <c r="V360" s="238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1"/>
      <c r="AL360" s="1"/>
      <c r="AM360" s="1">
        <v>4.8</v>
      </c>
      <c r="AN360" s="1"/>
      <c r="AO360" s="1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4"/>
      <c r="BY360" s="136"/>
      <c r="BZ360" s="136">
        <v>4.8</v>
      </c>
      <c r="CA360" s="136"/>
      <c r="CB360" s="136"/>
      <c r="CC360" s="136"/>
      <c r="CD360" s="136"/>
      <c r="CE360" s="136"/>
      <c r="CF360" s="136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DA360" s="379">
        <f>95/27</f>
        <v>3.5185185185185186</v>
      </c>
    </row>
    <row r="361" spans="1:105" ht="20" customHeight="1" x14ac:dyDescent="0.35">
      <c r="A361" s="95" t="s">
        <v>77</v>
      </c>
      <c r="B361" s="200" t="s">
        <v>1792</v>
      </c>
      <c r="C361" s="200" t="s">
        <v>324</v>
      </c>
      <c r="D361" s="239" t="s">
        <v>1101</v>
      </c>
      <c r="E361" s="239" t="s">
        <v>1101</v>
      </c>
      <c r="F361" s="95" t="s">
        <v>75</v>
      </c>
      <c r="G361" s="95" t="s">
        <v>42</v>
      </c>
      <c r="H361" s="237"/>
      <c r="I361" s="240">
        <v>4</v>
      </c>
      <c r="J361" s="4">
        <v>3</v>
      </c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238"/>
      <c r="W361" s="4"/>
      <c r="X361" s="4"/>
      <c r="Y361" s="4"/>
      <c r="Z361" s="4"/>
      <c r="AA361" s="4"/>
      <c r="AB361" s="4"/>
      <c r="AC361" s="4">
        <v>3</v>
      </c>
      <c r="AD361" s="4"/>
      <c r="AE361" s="4"/>
      <c r="AF361" s="4"/>
      <c r="AG361" s="4"/>
      <c r="AH361" s="4"/>
      <c r="AI361" s="4"/>
      <c r="AJ361" s="4">
        <v>3.2</v>
      </c>
      <c r="AK361" s="1"/>
      <c r="AL361" s="1"/>
      <c r="AM361" s="1"/>
      <c r="AN361" s="1"/>
      <c r="AO361" s="1"/>
      <c r="AP361" s="4">
        <v>3</v>
      </c>
      <c r="AQ361" s="4">
        <v>3</v>
      </c>
      <c r="AR361" s="4">
        <v>3</v>
      </c>
      <c r="AS361" s="4"/>
      <c r="AT361" s="4">
        <v>3</v>
      </c>
      <c r="AU361" s="4">
        <v>3</v>
      </c>
      <c r="AV361" s="4">
        <v>3</v>
      </c>
      <c r="AW361" s="4">
        <v>3</v>
      </c>
      <c r="AX361" s="4">
        <v>3</v>
      </c>
      <c r="AY361" s="4">
        <v>3</v>
      </c>
      <c r="AZ361" s="4">
        <v>3</v>
      </c>
      <c r="BA361" s="4">
        <v>3</v>
      </c>
      <c r="BB361" s="4"/>
      <c r="BC361" s="4">
        <v>3</v>
      </c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4">
        <v>3</v>
      </c>
      <c r="BY361" s="136"/>
      <c r="BZ361" s="136"/>
      <c r="CA361" s="136"/>
      <c r="CB361" s="136"/>
      <c r="CC361" s="136"/>
      <c r="CD361" s="136"/>
      <c r="CE361" s="136"/>
      <c r="CF361" s="136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DA361" s="379">
        <v>1.8</v>
      </c>
    </row>
    <row r="362" spans="1:105" ht="20" customHeight="1" x14ac:dyDescent="0.35">
      <c r="A362" s="95">
        <v>4000006639</v>
      </c>
      <c r="B362" s="200" t="s">
        <v>1793</v>
      </c>
      <c r="C362" s="200" t="s">
        <v>2028</v>
      </c>
      <c r="D362" s="245" t="s">
        <v>494</v>
      </c>
      <c r="E362" s="239" t="s">
        <v>1232</v>
      </c>
      <c r="F362" s="95" t="s">
        <v>75</v>
      </c>
      <c r="G362" s="95" t="s">
        <v>42</v>
      </c>
      <c r="H362" s="248">
        <v>3.5</v>
      </c>
      <c r="I362" s="4"/>
      <c r="J362" s="4"/>
      <c r="K362" s="154">
        <v>6</v>
      </c>
      <c r="L362" s="4"/>
      <c r="M362" s="4"/>
      <c r="N362" s="108"/>
      <c r="O362" s="4">
        <v>6.5</v>
      </c>
      <c r="P362" s="4">
        <v>6.5</v>
      </c>
      <c r="Q362" s="4">
        <v>6.5</v>
      </c>
      <c r="R362" s="4"/>
      <c r="S362" s="4">
        <v>7</v>
      </c>
      <c r="T362" s="4"/>
      <c r="U362" s="4">
        <v>6.5</v>
      </c>
      <c r="V362" s="238"/>
      <c r="W362" s="4"/>
      <c r="X362" s="4">
        <v>6.5</v>
      </c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1"/>
      <c r="AL362" s="1"/>
      <c r="AM362" s="1">
        <v>6.5</v>
      </c>
      <c r="AN362" s="1"/>
      <c r="AO362" s="1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4"/>
      <c r="BY362" s="136"/>
      <c r="BZ362" s="136"/>
      <c r="CA362" s="136"/>
      <c r="CB362" s="136"/>
      <c r="CC362" s="136"/>
      <c r="CD362" s="136"/>
      <c r="CE362" s="136"/>
      <c r="CF362" s="136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DA362" s="379">
        <v>0</v>
      </c>
    </row>
    <row r="363" spans="1:105" ht="20" customHeight="1" x14ac:dyDescent="0.35">
      <c r="A363" s="95" t="s">
        <v>74</v>
      </c>
      <c r="B363" s="200" t="s">
        <v>1794</v>
      </c>
      <c r="C363" s="200" t="s">
        <v>326</v>
      </c>
      <c r="D363" s="239" t="s">
        <v>1101</v>
      </c>
      <c r="E363" s="95" t="s">
        <v>36</v>
      </c>
      <c r="F363" s="95" t="s">
        <v>34</v>
      </c>
      <c r="G363" s="95" t="s">
        <v>42</v>
      </c>
      <c r="H363" s="237">
        <v>1.5</v>
      </c>
      <c r="I363" s="240">
        <v>1.8</v>
      </c>
      <c r="J363" s="4">
        <v>1.8</v>
      </c>
      <c r="K363" s="4"/>
      <c r="L363" s="4"/>
      <c r="M363" s="4"/>
      <c r="N363" s="108"/>
      <c r="O363" s="4">
        <v>2</v>
      </c>
      <c r="P363" s="240">
        <v>1.8</v>
      </c>
      <c r="Q363" s="4">
        <v>1.8</v>
      </c>
      <c r="R363" s="4"/>
      <c r="S363" s="4">
        <v>2.5</v>
      </c>
      <c r="T363" s="4"/>
      <c r="U363" s="4"/>
      <c r="V363" s="238"/>
      <c r="W363" s="4"/>
      <c r="X363" s="4"/>
      <c r="Y363" s="146">
        <v>2</v>
      </c>
      <c r="Z363" s="4"/>
      <c r="AA363" s="4"/>
      <c r="AB363" s="4"/>
      <c r="AC363" s="4">
        <v>1.8</v>
      </c>
      <c r="AD363" s="4"/>
      <c r="AE363" s="4"/>
      <c r="AF363" s="111">
        <v>1.8</v>
      </c>
      <c r="AG363" s="4"/>
      <c r="AH363" s="4"/>
      <c r="AI363" s="4"/>
      <c r="AJ363" s="4"/>
      <c r="AK363" s="1"/>
      <c r="AL363" s="1"/>
      <c r="AM363" s="1">
        <v>1.8</v>
      </c>
      <c r="AN363" s="1"/>
      <c r="AO363" s="4">
        <v>1.8</v>
      </c>
      <c r="AP363" s="4">
        <v>1.8</v>
      </c>
      <c r="AQ363" s="4">
        <v>1.8</v>
      </c>
      <c r="AR363" s="4">
        <v>1.8</v>
      </c>
      <c r="AS363" s="4"/>
      <c r="AT363" s="4">
        <v>1.8</v>
      </c>
      <c r="AU363" s="4">
        <v>1.8</v>
      </c>
      <c r="AV363" s="4">
        <v>1.8</v>
      </c>
      <c r="AW363" s="4">
        <v>1.8</v>
      </c>
      <c r="AX363" s="4">
        <v>1.8</v>
      </c>
      <c r="AY363" s="4">
        <v>1.8</v>
      </c>
      <c r="AZ363" s="4">
        <v>1.8</v>
      </c>
      <c r="BA363" s="4">
        <v>1.8</v>
      </c>
      <c r="BB363" s="4"/>
      <c r="BC363" s="4">
        <v>1.5</v>
      </c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>
        <v>1.8</v>
      </c>
      <c r="BV363" s="1"/>
      <c r="BW363" s="1"/>
      <c r="BX363" s="4">
        <f>J363</f>
        <v>1.8</v>
      </c>
      <c r="BY363" s="136"/>
      <c r="BZ363" s="136">
        <v>2</v>
      </c>
      <c r="CA363" s="136"/>
      <c r="CB363" s="136"/>
      <c r="CC363" s="136"/>
      <c r="CD363" s="136"/>
      <c r="CE363" s="136"/>
      <c r="CF363" s="136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DA363" s="379">
        <v>1</v>
      </c>
    </row>
    <row r="364" spans="1:105" ht="20" customHeight="1" x14ac:dyDescent="0.35">
      <c r="A364" s="95" t="s">
        <v>86</v>
      </c>
      <c r="B364" s="200" t="s">
        <v>1795</v>
      </c>
      <c r="C364" s="200" t="s">
        <v>490</v>
      </c>
      <c r="D364" s="239" t="s">
        <v>1101</v>
      </c>
      <c r="E364" s="95" t="s">
        <v>36</v>
      </c>
      <c r="F364" s="95" t="s">
        <v>34</v>
      </c>
      <c r="G364" s="95" t="s">
        <v>42</v>
      </c>
      <c r="H364" s="237">
        <v>2.5</v>
      </c>
      <c r="I364" s="240">
        <v>2.8</v>
      </c>
      <c r="J364" s="4">
        <v>2.8</v>
      </c>
      <c r="K364" s="4"/>
      <c r="L364" s="4"/>
      <c r="M364" s="4"/>
      <c r="N364" s="240">
        <v>2.7</v>
      </c>
      <c r="O364" s="4">
        <v>2.8</v>
      </c>
      <c r="P364" s="240">
        <v>2.5</v>
      </c>
      <c r="Q364" s="4">
        <v>2.5</v>
      </c>
      <c r="R364" s="4"/>
      <c r="S364" s="4">
        <v>3</v>
      </c>
      <c r="T364" s="4"/>
      <c r="U364" s="4"/>
      <c r="V364" s="238"/>
      <c r="W364" s="4"/>
      <c r="X364" s="4"/>
      <c r="Y364" s="4"/>
      <c r="Z364" s="4"/>
      <c r="AA364" s="4"/>
      <c r="AB364" s="4"/>
      <c r="AC364" s="4">
        <v>2.8</v>
      </c>
      <c r="AD364" s="4"/>
      <c r="AE364" s="4"/>
      <c r="AF364" s="4">
        <v>2.8</v>
      </c>
      <c r="AG364" s="4"/>
      <c r="AH364" s="4"/>
      <c r="AI364" s="4"/>
      <c r="AJ364" s="4"/>
      <c r="AK364" s="1"/>
      <c r="AL364" s="1"/>
      <c r="AM364" s="1"/>
      <c r="AN364" s="1"/>
      <c r="AO364" s="4">
        <v>2.8</v>
      </c>
      <c r="AP364" s="4">
        <v>2.8</v>
      </c>
      <c r="AQ364" s="4">
        <v>2.8</v>
      </c>
      <c r="AR364" s="4">
        <v>2.8</v>
      </c>
      <c r="AS364" s="4"/>
      <c r="AT364" s="4">
        <v>2.8</v>
      </c>
      <c r="AU364" s="4">
        <v>2.8</v>
      </c>
      <c r="AV364" s="4">
        <v>2.8</v>
      </c>
      <c r="AW364" s="4">
        <v>2.8</v>
      </c>
      <c r="AX364" s="4">
        <v>2.8</v>
      </c>
      <c r="AY364" s="4">
        <v>2.8</v>
      </c>
      <c r="AZ364" s="4">
        <v>2.8</v>
      </c>
      <c r="BA364" s="4">
        <v>2.8</v>
      </c>
      <c r="BB364" s="4"/>
      <c r="BC364" s="4">
        <v>2.5</v>
      </c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>
        <v>2.5</v>
      </c>
      <c r="BV364" s="1"/>
      <c r="BW364" s="1"/>
      <c r="BX364" s="4">
        <f>J364</f>
        <v>2.8</v>
      </c>
      <c r="BY364" s="136"/>
      <c r="BZ364" s="136">
        <v>3</v>
      </c>
      <c r="CA364" s="136"/>
      <c r="CB364" s="136"/>
      <c r="CC364" s="136"/>
      <c r="CD364" s="136"/>
      <c r="CE364" s="136"/>
      <c r="CF364" s="136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DA364" s="379">
        <v>1.9</v>
      </c>
    </row>
    <row r="365" spans="1:105" ht="20" customHeight="1" x14ac:dyDescent="0.35">
      <c r="A365" s="6"/>
      <c r="B365" s="200" t="s">
        <v>1798</v>
      </c>
      <c r="C365" s="200" t="s">
        <v>1799</v>
      </c>
      <c r="D365" s="95" t="s">
        <v>1229</v>
      </c>
      <c r="E365" s="95" t="s">
        <v>1229</v>
      </c>
      <c r="F365" s="62" t="s">
        <v>1055</v>
      </c>
      <c r="G365" s="95"/>
      <c r="H365" s="237"/>
      <c r="I365" s="4"/>
      <c r="J365" s="4"/>
      <c r="K365" s="4"/>
      <c r="L365" s="4"/>
      <c r="M365" s="4"/>
      <c r="N365" s="108"/>
      <c r="O365" s="4"/>
      <c r="P365" s="4"/>
      <c r="Q365" s="4"/>
      <c r="R365" s="4"/>
      <c r="S365" s="4"/>
      <c r="T365" s="4"/>
      <c r="U365" s="4"/>
      <c r="V365" s="238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1"/>
      <c r="AL365" s="1"/>
      <c r="AM365" s="1"/>
      <c r="AN365" s="1"/>
      <c r="AO365" s="1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4"/>
      <c r="BY365" s="136"/>
      <c r="BZ365" s="136"/>
      <c r="CA365" s="136"/>
      <c r="CB365" s="136"/>
      <c r="CC365" s="136"/>
      <c r="CD365" s="136"/>
      <c r="CE365" s="136"/>
      <c r="CF365" s="136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DA365" s="379">
        <v>0</v>
      </c>
    </row>
    <row r="366" spans="1:105" ht="20" customHeight="1" x14ac:dyDescent="0.35">
      <c r="A366" s="6"/>
      <c r="B366" s="200" t="s">
        <v>1800</v>
      </c>
      <c r="C366" s="200" t="s">
        <v>1801</v>
      </c>
      <c r="D366" s="95" t="s">
        <v>1101</v>
      </c>
      <c r="E366" s="95" t="s">
        <v>1101</v>
      </c>
      <c r="F366" s="62" t="s">
        <v>499</v>
      </c>
      <c r="G366" s="95"/>
      <c r="H366" s="237"/>
      <c r="I366" s="4"/>
      <c r="J366" s="4"/>
      <c r="K366" s="4"/>
      <c r="L366" s="4"/>
      <c r="M366" s="4"/>
      <c r="N366" s="108"/>
      <c r="O366" s="4"/>
      <c r="P366" s="4"/>
      <c r="Q366" s="4"/>
      <c r="R366" s="4"/>
      <c r="S366" s="4"/>
      <c r="T366" s="4"/>
      <c r="U366" s="4"/>
      <c r="V366" s="238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1"/>
      <c r="AL366" s="1"/>
      <c r="AM366" s="1"/>
      <c r="AN366" s="1"/>
      <c r="AO366" s="1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4"/>
      <c r="BY366" s="136"/>
      <c r="BZ366" s="136"/>
      <c r="CA366" s="136"/>
      <c r="CB366" s="136"/>
      <c r="CC366" s="136"/>
      <c r="CD366" s="136"/>
      <c r="CE366" s="136"/>
      <c r="CF366" s="136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DA366" s="379">
        <v>0</v>
      </c>
    </row>
    <row r="367" spans="1:105" ht="20" customHeight="1" x14ac:dyDescent="0.35">
      <c r="A367" s="95" t="s">
        <v>72</v>
      </c>
      <c r="B367" s="200" t="s">
        <v>1796</v>
      </c>
      <c r="C367" s="200" t="s">
        <v>329</v>
      </c>
      <c r="D367" s="239" t="s">
        <v>1101</v>
      </c>
      <c r="E367" s="95" t="s">
        <v>36</v>
      </c>
      <c r="F367" s="95" t="s">
        <v>34</v>
      </c>
      <c r="G367" s="95" t="s">
        <v>42</v>
      </c>
      <c r="H367" s="237">
        <f>AVERAGE(I367:BC367)</f>
        <v>4</v>
      </c>
      <c r="I367" s="240">
        <v>4</v>
      </c>
      <c r="J367" s="4">
        <v>4</v>
      </c>
      <c r="K367" s="4"/>
      <c r="L367" s="4">
        <v>4</v>
      </c>
      <c r="M367" s="4"/>
      <c r="N367" s="108"/>
      <c r="O367" s="4">
        <v>4</v>
      </c>
      <c r="P367" s="240">
        <v>4</v>
      </c>
      <c r="Q367" s="4">
        <v>4</v>
      </c>
      <c r="R367" s="4"/>
      <c r="S367" s="4"/>
      <c r="T367" s="4"/>
      <c r="U367" s="4"/>
      <c r="V367" s="238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1"/>
      <c r="AL367" s="1"/>
      <c r="AM367" s="1">
        <v>4</v>
      </c>
      <c r="AN367" s="1"/>
      <c r="AO367" s="1"/>
      <c r="AP367" s="4">
        <v>4</v>
      </c>
      <c r="AQ367" s="4">
        <v>4</v>
      </c>
      <c r="AR367" s="4">
        <v>4</v>
      </c>
      <c r="AS367" s="4"/>
      <c r="AT367" s="4">
        <v>4</v>
      </c>
      <c r="AU367" s="4">
        <v>4</v>
      </c>
      <c r="AV367" s="4">
        <v>4</v>
      </c>
      <c r="AW367" s="4">
        <v>4</v>
      </c>
      <c r="AX367" s="4">
        <v>4</v>
      </c>
      <c r="AY367" s="4">
        <v>4</v>
      </c>
      <c r="AZ367" s="4">
        <v>4</v>
      </c>
      <c r="BA367" s="4">
        <v>4</v>
      </c>
      <c r="BB367" s="4"/>
      <c r="BC367" s="4">
        <v>4</v>
      </c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4"/>
      <c r="BY367" s="136"/>
      <c r="BZ367" s="136">
        <v>4</v>
      </c>
      <c r="CA367" s="136"/>
      <c r="CB367" s="136"/>
      <c r="CC367" s="136"/>
      <c r="CD367" s="136"/>
      <c r="CE367" s="136"/>
      <c r="CF367" s="136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DA367" s="379">
        <f>9/3</f>
        <v>3</v>
      </c>
    </row>
    <row r="368" spans="1:105" ht="20" customHeight="1" x14ac:dyDescent="0.35">
      <c r="A368" s="95"/>
      <c r="B368" s="200" t="s">
        <v>1802</v>
      </c>
      <c r="C368" s="200" t="s">
        <v>1803</v>
      </c>
      <c r="D368" s="95"/>
      <c r="E368" s="95" t="s">
        <v>1101</v>
      </c>
      <c r="F368" s="62" t="s">
        <v>34</v>
      </c>
      <c r="G368" s="95"/>
      <c r="H368" s="237"/>
      <c r="I368" s="240"/>
      <c r="J368" s="4"/>
      <c r="K368" s="4"/>
      <c r="L368" s="4"/>
      <c r="M368" s="4"/>
      <c r="N368" s="108"/>
      <c r="O368" s="4"/>
      <c r="P368" s="4"/>
      <c r="Q368" s="4"/>
      <c r="R368" s="4"/>
      <c r="S368" s="4"/>
      <c r="T368" s="4"/>
      <c r="U368" s="4"/>
      <c r="V368" s="238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1"/>
      <c r="AL368" s="1"/>
      <c r="AM368" s="1"/>
      <c r="AN368" s="1"/>
      <c r="AO368" s="1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4"/>
      <c r="BY368" s="136"/>
      <c r="BZ368" s="136"/>
      <c r="CA368" s="136"/>
      <c r="CB368" s="136"/>
      <c r="CC368" s="136"/>
      <c r="CD368" s="136"/>
      <c r="CE368" s="136"/>
      <c r="CF368" s="136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DA368" s="379"/>
    </row>
    <row r="369" spans="1:105" ht="20" customHeight="1" x14ac:dyDescent="0.35">
      <c r="A369" s="95" t="s">
        <v>865</v>
      </c>
      <c r="B369" s="200" t="s">
        <v>1804</v>
      </c>
      <c r="C369" s="200" t="s">
        <v>862</v>
      </c>
      <c r="D369" s="239" t="s">
        <v>1101</v>
      </c>
      <c r="E369" s="95" t="s">
        <v>36</v>
      </c>
      <c r="F369" s="95" t="s">
        <v>863</v>
      </c>
      <c r="G369" s="95" t="s">
        <v>864</v>
      </c>
      <c r="H369" s="237">
        <v>15</v>
      </c>
      <c r="I369" s="240">
        <v>15</v>
      </c>
      <c r="J369" s="4"/>
      <c r="K369" s="4"/>
      <c r="L369" s="4"/>
      <c r="M369" s="4"/>
      <c r="N369" s="108"/>
      <c r="O369" s="4"/>
      <c r="P369" s="4"/>
      <c r="Q369" s="4"/>
      <c r="R369" s="4"/>
      <c r="S369" s="4"/>
      <c r="T369" s="4"/>
      <c r="U369" s="4"/>
      <c r="V369" s="238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1"/>
      <c r="AL369" s="1"/>
      <c r="AM369" s="1"/>
      <c r="AN369" s="1"/>
      <c r="AO369" s="1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4">
        <v>15</v>
      </c>
      <c r="BV369" s="1"/>
      <c r="BW369" s="1"/>
      <c r="BX369" s="4"/>
      <c r="BY369" s="136"/>
      <c r="BZ369" s="136"/>
      <c r="CA369" s="136"/>
      <c r="CB369" s="136"/>
      <c r="CC369" s="136"/>
      <c r="CD369" s="136"/>
      <c r="CE369" s="136"/>
      <c r="CF369" s="136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DA369" s="379">
        <f>72/1000*50</f>
        <v>3.5999999999999996</v>
      </c>
    </row>
    <row r="370" spans="1:105" ht="20" customHeight="1" x14ac:dyDescent="0.35">
      <c r="A370" s="95" t="s">
        <v>78</v>
      </c>
      <c r="B370" s="200" t="s">
        <v>1797</v>
      </c>
      <c r="C370" s="200" t="s">
        <v>330</v>
      </c>
      <c r="D370" s="239" t="s">
        <v>846</v>
      </c>
      <c r="E370" s="95" t="s">
        <v>36</v>
      </c>
      <c r="F370" s="95" t="s">
        <v>112</v>
      </c>
      <c r="G370" s="95" t="s">
        <v>113</v>
      </c>
      <c r="H370" s="237">
        <f>AVERAGE(I370:BC370)</f>
        <v>0.53333333333333333</v>
      </c>
      <c r="I370" s="240">
        <v>0.5</v>
      </c>
      <c r="J370" s="4"/>
      <c r="K370" s="4"/>
      <c r="L370" s="4"/>
      <c r="M370" s="4"/>
      <c r="N370" s="108"/>
      <c r="O370" s="4"/>
      <c r="P370" s="4"/>
      <c r="Q370" s="136">
        <v>0.55000000000000004</v>
      </c>
      <c r="R370" s="4"/>
      <c r="S370" s="4"/>
      <c r="T370" s="4"/>
      <c r="U370" s="4"/>
      <c r="V370" s="238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136">
        <v>0.55000000000000004</v>
      </c>
      <c r="AK370" s="1"/>
      <c r="AL370" s="1"/>
      <c r="AM370" s="1"/>
      <c r="AN370" s="1"/>
      <c r="AO370" s="1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4"/>
      <c r="BY370" s="136"/>
      <c r="BZ370" s="136"/>
      <c r="CA370" s="136">
        <v>0.7</v>
      </c>
      <c r="CB370" s="136"/>
      <c r="CC370" s="136"/>
      <c r="CD370" s="136"/>
      <c r="CE370" s="136"/>
      <c r="CF370" s="136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DA370" s="379">
        <v>0.4</v>
      </c>
    </row>
    <row r="371" spans="1:105" ht="20" customHeight="1" x14ac:dyDescent="0.35">
      <c r="A371" s="95" t="s">
        <v>2255</v>
      </c>
      <c r="B371" s="200" t="s">
        <v>2256</v>
      </c>
      <c r="C371" s="200" t="s">
        <v>2257</v>
      </c>
      <c r="D371" s="239" t="s">
        <v>846</v>
      </c>
      <c r="E371" s="95" t="s">
        <v>36</v>
      </c>
      <c r="F371" s="95" t="s">
        <v>112</v>
      </c>
      <c r="G371" s="95" t="s">
        <v>113</v>
      </c>
      <c r="H371" s="237">
        <f>AVERAGE(I371:BC371)</f>
        <v>2.5</v>
      </c>
      <c r="I371" s="240">
        <v>2.5</v>
      </c>
      <c r="J371" s="4"/>
      <c r="K371" s="4"/>
      <c r="L371" s="4"/>
      <c r="M371" s="4"/>
      <c r="N371" s="108"/>
      <c r="O371" s="4"/>
      <c r="P371" s="4"/>
      <c r="Q371" s="4"/>
      <c r="R371" s="4"/>
      <c r="S371" s="4"/>
      <c r="T371" s="4"/>
      <c r="U371" s="4"/>
      <c r="V371" s="238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1"/>
      <c r="AL371" s="1"/>
      <c r="AM371" s="1"/>
      <c r="AN371" s="1"/>
      <c r="AO371" s="1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4"/>
      <c r="BY371" s="136"/>
      <c r="BZ371" s="136"/>
      <c r="CA371" s="136"/>
      <c r="CB371" s="136"/>
      <c r="CC371" s="136"/>
      <c r="CD371" s="136"/>
      <c r="CE371" s="136"/>
      <c r="CF371" s="136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DA371" s="379">
        <v>1.6</v>
      </c>
    </row>
    <row r="372" spans="1:105" ht="20" customHeight="1" x14ac:dyDescent="0.35">
      <c r="A372" s="95"/>
      <c r="B372" s="200"/>
      <c r="C372" s="200"/>
      <c r="D372" s="239"/>
      <c r="E372" s="95"/>
      <c r="F372" s="95"/>
      <c r="G372" s="95"/>
      <c r="H372" s="237"/>
      <c r="I372" s="240"/>
      <c r="J372" s="4"/>
      <c r="K372" s="4"/>
      <c r="L372" s="4"/>
      <c r="M372" s="4"/>
      <c r="N372" s="108"/>
      <c r="O372" s="4"/>
      <c r="P372" s="4"/>
      <c r="Q372" s="4"/>
      <c r="R372" s="4"/>
      <c r="S372" s="4"/>
      <c r="T372" s="4"/>
      <c r="U372" s="4"/>
      <c r="V372" s="238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1"/>
      <c r="AL372" s="1"/>
      <c r="AM372" s="1"/>
      <c r="AN372" s="1"/>
      <c r="AO372" s="1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4"/>
      <c r="BY372" s="136"/>
      <c r="BZ372" s="136"/>
      <c r="CA372" s="136"/>
      <c r="CB372" s="136"/>
      <c r="CC372" s="136"/>
      <c r="CD372" s="136"/>
      <c r="CE372" s="136"/>
      <c r="CF372" s="136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DA372" s="379"/>
    </row>
    <row r="373" spans="1:105" ht="20" customHeight="1" x14ac:dyDescent="0.35">
      <c r="A373" s="95"/>
      <c r="B373" s="200"/>
      <c r="C373" s="200"/>
      <c r="D373" s="239"/>
      <c r="E373" s="95"/>
      <c r="F373" s="95"/>
      <c r="G373" s="95"/>
      <c r="H373" s="237"/>
      <c r="I373" s="240"/>
      <c r="J373" s="4"/>
      <c r="K373" s="4"/>
      <c r="L373" s="4"/>
      <c r="M373" s="4"/>
      <c r="N373" s="108"/>
      <c r="O373" s="4"/>
      <c r="P373" s="4"/>
      <c r="Q373" s="4"/>
      <c r="R373" s="4"/>
      <c r="S373" s="4"/>
      <c r="T373" s="4"/>
      <c r="U373" s="4"/>
      <c r="V373" s="238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1"/>
      <c r="AL373" s="1"/>
      <c r="AM373" s="1"/>
      <c r="AN373" s="1"/>
      <c r="AO373" s="1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4"/>
      <c r="BY373" s="136"/>
      <c r="BZ373" s="136"/>
      <c r="CA373" s="136"/>
      <c r="CB373" s="136"/>
      <c r="CC373" s="136"/>
      <c r="CD373" s="136"/>
      <c r="CE373" s="136"/>
      <c r="CF373" s="136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DA373" s="379"/>
    </row>
    <row r="374" spans="1:105" ht="20" customHeight="1" x14ac:dyDescent="0.35">
      <c r="A374" s="95"/>
      <c r="B374" s="200"/>
      <c r="C374" s="200"/>
      <c r="D374" s="239"/>
      <c r="E374" s="95"/>
      <c r="F374" s="95"/>
      <c r="G374" s="95"/>
      <c r="H374" s="237"/>
      <c r="I374" s="240"/>
      <c r="J374" s="4"/>
      <c r="K374" s="4"/>
      <c r="L374" s="4"/>
      <c r="M374" s="4"/>
      <c r="N374" s="108"/>
      <c r="O374" s="4"/>
      <c r="P374" s="4"/>
      <c r="Q374" s="4"/>
      <c r="R374" s="4"/>
      <c r="S374" s="4"/>
      <c r="T374" s="4"/>
      <c r="U374" s="4"/>
      <c r="V374" s="238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1"/>
      <c r="AL374" s="1"/>
      <c r="AM374" s="1"/>
      <c r="AN374" s="1"/>
      <c r="AO374" s="1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4"/>
      <c r="BY374" s="136"/>
      <c r="BZ374" s="136"/>
      <c r="CA374" s="136"/>
      <c r="CB374" s="136"/>
      <c r="CC374" s="136"/>
      <c r="CD374" s="136"/>
      <c r="CE374" s="136"/>
      <c r="CF374" s="136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DA374" s="379"/>
    </row>
    <row r="375" spans="1:105" ht="20" customHeight="1" x14ac:dyDescent="0.35">
      <c r="A375" s="95"/>
      <c r="B375" s="200"/>
      <c r="C375" s="200"/>
      <c r="D375" s="239"/>
      <c r="E375" s="95"/>
      <c r="F375" s="95"/>
      <c r="G375" s="95"/>
      <c r="H375" s="237"/>
      <c r="I375" s="240"/>
      <c r="J375" s="4"/>
      <c r="K375" s="4"/>
      <c r="L375" s="4"/>
      <c r="M375" s="4"/>
      <c r="N375" s="108"/>
      <c r="O375" s="4"/>
      <c r="P375" s="4"/>
      <c r="Q375" s="4"/>
      <c r="R375" s="4"/>
      <c r="S375" s="4"/>
      <c r="T375" s="4"/>
      <c r="U375" s="4"/>
      <c r="V375" s="238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1"/>
      <c r="AL375" s="1"/>
      <c r="AM375" s="1"/>
      <c r="AN375" s="1"/>
      <c r="AO375" s="1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4"/>
      <c r="BY375" s="136"/>
      <c r="BZ375" s="136"/>
      <c r="CA375" s="136"/>
      <c r="CB375" s="136"/>
      <c r="CC375" s="136"/>
      <c r="CD375" s="136"/>
      <c r="CE375" s="136"/>
      <c r="CF375" s="136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DA375" s="379"/>
    </row>
    <row r="376" spans="1:105" ht="20.25" customHeight="1" x14ac:dyDescent="0.35">
      <c r="A376" s="95" t="s">
        <v>1874</v>
      </c>
      <c r="B376" s="200" t="s">
        <v>1805</v>
      </c>
      <c r="C376" s="200" t="s">
        <v>670</v>
      </c>
      <c r="D376" s="239" t="s">
        <v>1101</v>
      </c>
      <c r="E376" s="95" t="s">
        <v>659</v>
      </c>
      <c r="F376" s="95" t="s">
        <v>102</v>
      </c>
      <c r="G376" s="95" t="s">
        <v>43</v>
      </c>
      <c r="H376" s="237">
        <v>2</v>
      </c>
      <c r="I376" s="240">
        <v>2.2999999999999998</v>
      </c>
      <c r="J376" s="4">
        <v>2.5</v>
      </c>
      <c r="K376" s="4"/>
      <c r="L376" s="4"/>
      <c r="M376" s="4">
        <v>2.5</v>
      </c>
      <c r="N376" s="240">
        <v>2.5</v>
      </c>
      <c r="O376" s="4">
        <v>2.5</v>
      </c>
      <c r="P376" s="240">
        <v>2.5</v>
      </c>
      <c r="Q376" s="4">
        <v>2.5</v>
      </c>
      <c r="R376" s="4">
        <v>2.5</v>
      </c>
      <c r="S376" s="4">
        <v>3</v>
      </c>
      <c r="T376" s="4"/>
      <c r="U376" s="4">
        <v>2.5</v>
      </c>
      <c r="V376" s="238">
        <v>2.5</v>
      </c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>
        <v>3</v>
      </c>
      <c r="AK376" s="1"/>
      <c r="AL376" s="1"/>
      <c r="AM376" s="1">
        <v>2.5</v>
      </c>
      <c r="AN376" s="1"/>
      <c r="AO376" s="1"/>
      <c r="AP376" s="4">
        <v>2.5</v>
      </c>
      <c r="AQ376" s="4">
        <v>2.5</v>
      </c>
      <c r="AR376" s="4">
        <v>2.5</v>
      </c>
      <c r="AS376" s="4"/>
      <c r="AT376" s="4">
        <v>2.5</v>
      </c>
      <c r="AU376" s="4">
        <v>2.5</v>
      </c>
      <c r="AV376" s="4">
        <v>2.5</v>
      </c>
      <c r="AW376" s="4">
        <v>2.5</v>
      </c>
      <c r="AX376" s="4">
        <v>2.5</v>
      </c>
      <c r="AY376" s="4">
        <v>2.5</v>
      </c>
      <c r="AZ376" s="4">
        <v>2.5</v>
      </c>
      <c r="BA376" s="4">
        <v>2.5</v>
      </c>
      <c r="BB376" s="4"/>
      <c r="BC376" s="4">
        <v>2.5</v>
      </c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>
        <v>2.5</v>
      </c>
      <c r="BV376" s="1"/>
      <c r="BW376" s="1"/>
      <c r="BX376" s="4">
        <v>2.5</v>
      </c>
      <c r="BY376" s="136"/>
      <c r="BZ376" s="136">
        <v>2.5</v>
      </c>
      <c r="CA376" s="136"/>
      <c r="CB376" s="136">
        <v>3</v>
      </c>
      <c r="CC376" s="136"/>
      <c r="CD376" s="136"/>
      <c r="CE376" s="136"/>
      <c r="CF376" s="136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DA376" s="379">
        <f>19.2/12</f>
        <v>1.5999999999999999</v>
      </c>
    </row>
    <row r="377" spans="1:105" ht="20.25" customHeight="1" x14ac:dyDescent="0.35">
      <c r="A377" s="95" t="s">
        <v>101</v>
      </c>
      <c r="B377" s="200" t="s">
        <v>1806</v>
      </c>
      <c r="C377" s="200" t="s">
        <v>670</v>
      </c>
      <c r="D377" s="239" t="s">
        <v>1101</v>
      </c>
      <c r="E377" s="95" t="s">
        <v>660</v>
      </c>
      <c r="F377" s="95" t="s">
        <v>102</v>
      </c>
      <c r="G377" s="95" t="s">
        <v>130</v>
      </c>
      <c r="H377" s="237">
        <v>2</v>
      </c>
      <c r="I377" s="240">
        <v>2.2999999999999998</v>
      </c>
      <c r="J377" s="4">
        <v>2.5</v>
      </c>
      <c r="K377" s="4"/>
      <c r="L377" s="4"/>
      <c r="M377" s="4">
        <v>2.5</v>
      </c>
      <c r="N377" s="240">
        <v>2.5</v>
      </c>
      <c r="O377" s="4">
        <v>2.5</v>
      </c>
      <c r="P377" s="240">
        <v>2.5</v>
      </c>
      <c r="Q377" s="4">
        <v>2.5</v>
      </c>
      <c r="R377" s="4">
        <v>2.5</v>
      </c>
      <c r="S377" s="4">
        <v>3</v>
      </c>
      <c r="T377" s="4"/>
      <c r="U377" s="4">
        <v>2.5</v>
      </c>
      <c r="V377" s="238">
        <v>2.5</v>
      </c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>
        <v>3</v>
      </c>
      <c r="AK377" s="1"/>
      <c r="AL377" s="1"/>
      <c r="AM377" s="1">
        <v>2.5</v>
      </c>
      <c r="AN377" s="1"/>
      <c r="AO377" s="1"/>
      <c r="AP377" s="4">
        <v>2.5</v>
      </c>
      <c r="AQ377" s="4">
        <v>2.5</v>
      </c>
      <c r="AR377" s="4">
        <v>2.5</v>
      </c>
      <c r="AS377" s="4"/>
      <c r="AT377" s="4">
        <v>2.5</v>
      </c>
      <c r="AU377" s="4">
        <v>2.5</v>
      </c>
      <c r="AV377" s="4">
        <v>2.5</v>
      </c>
      <c r="AW377" s="4">
        <v>2.5</v>
      </c>
      <c r="AX377" s="4">
        <v>2.5</v>
      </c>
      <c r="AY377" s="4">
        <v>2.5</v>
      </c>
      <c r="AZ377" s="4">
        <v>2.5</v>
      </c>
      <c r="BA377" s="4">
        <v>2.5</v>
      </c>
      <c r="BB377" s="4"/>
      <c r="BC377" s="4">
        <v>2.5</v>
      </c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>
        <v>2.5</v>
      </c>
      <c r="BV377" s="1"/>
      <c r="BW377" s="1"/>
      <c r="BX377" s="4">
        <v>2.5</v>
      </c>
      <c r="BY377" s="136"/>
      <c r="BZ377" s="136">
        <v>2.5</v>
      </c>
      <c r="CA377" s="136"/>
      <c r="CB377" s="136">
        <v>3</v>
      </c>
      <c r="CC377" s="136"/>
      <c r="CD377" s="136"/>
      <c r="CE377" s="136"/>
      <c r="CF377" s="136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DA377" s="379">
        <v>1.6</v>
      </c>
    </row>
    <row r="378" spans="1:105" ht="20.25" customHeight="1" x14ac:dyDescent="0.35">
      <c r="A378" s="95"/>
      <c r="B378" s="200" t="s">
        <v>1807</v>
      </c>
      <c r="C378" s="200" t="s">
        <v>670</v>
      </c>
      <c r="D378" s="239" t="s">
        <v>1101</v>
      </c>
      <c r="E378" s="95" t="s">
        <v>661</v>
      </c>
      <c r="F378" s="95" t="s">
        <v>102</v>
      </c>
      <c r="G378" s="95" t="s">
        <v>130</v>
      </c>
      <c r="H378" s="237">
        <v>2</v>
      </c>
      <c r="I378" s="240">
        <v>2</v>
      </c>
      <c r="J378" s="4">
        <v>2.5</v>
      </c>
      <c r="K378" s="4"/>
      <c r="L378" s="4"/>
      <c r="M378" s="4">
        <v>2.5</v>
      </c>
      <c r="N378" s="240">
        <v>2.5</v>
      </c>
      <c r="O378" s="4">
        <v>2.5</v>
      </c>
      <c r="P378" s="240">
        <v>2.5</v>
      </c>
      <c r="Q378" s="4">
        <v>2.5</v>
      </c>
      <c r="R378" s="4">
        <v>2.5</v>
      </c>
      <c r="S378" s="4">
        <v>3</v>
      </c>
      <c r="T378" s="4"/>
      <c r="U378" s="4">
        <v>2.5</v>
      </c>
      <c r="V378" s="238">
        <v>2.5</v>
      </c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1"/>
      <c r="AL378" s="1"/>
      <c r="AM378" s="1">
        <v>2.5</v>
      </c>
      <c r="AN378" s="1"/>
      <c r="AO378" s="1"/>
      <c r="AP378" s="4">
        <v>2.5</v>
      </c>
      <c r="AQ378" s="4">
        <v>2.5</v>
      </c>
      <c r="AR378" s="4">
        <v>2.5</v>
      </c>
      <c r="AS378" s="4"/>
      <c r="AT378" s="4">
        <v>2.5</v>
      </c>
      <c r="AU378" s="4">
        <v>2.5</v>
      </c>
      <c r="AV378" s="4">
        <v>2.5</v>
      </c>
      <c r="AW378" s="4">
        <v>2.5</v>
      </c>
      <c r="AX378" s="4">
        <v>2.5</v>
      </c>
      <c r="AY378" s="4">
        <v>2.5</v>
      </c>
      <c r="AZ378" s="4">
        <v>2.5</v>
      </c>
      <c r="BA378" s="4">
        <v>2.5</v>
      </c>
      <c r="BB378" s="4"/>
      <c r="BC378" s="4">
        <v>2.5</v>
      </c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>
        <v>2.5</v>
      </c>
      <c r="BV378" s="1"/>
      <c r="BW378" s="1"/>
      <c r="BX378" s="4">
        <v>2.5</v>
      </c>
      <c r="BY378" s="136"/>
      <c r="BZ378" s="136">
        <v>2.5</v>
      </c>
      <c r="CA378" s="136"/>
      <c r="CB378" s="136"/>
      <c r="CC378" s="136"/>
      <c r="CD378" s="136"/>
      <c r="CE378" s="136"/>
      <c r="CF378" s="136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DA378" s="379">
        <v>1.6</v>
      </c>
    </row>
    <row r="379" spans="1:105" ht="20.25" customHeight="1" x14ac:dyDescent="0.35">
      <c r="A379" s="95"/>
      <c r="B379" s="200" t="s">
        <v>1808</v>
      </c>
      <c r="C379" s="200" t="s">
        <v>670</v>
      </c>
      <c r="D379" s="239" t="s">
        <v>1101</v>
      </c>
      <c r="E379" s="95" t="s">
        <v>669</v>
      </c>
      <c r="F379" s="95" t="s">
        <v>102</v>
      </c>
      <c r="G379" s="95" t="s">
        <v>33</v>
      </c>
      <c r="H379" s="237">
        <v>3</v>
      </c>
      <c r="I379" s="240">
        <v>4</v>
      </c>
      <c r="J379" s="4">
        <v>3.5</v>
      </c>
      <c r="K379" s="4"/>
      <c r="L379" s="4"/>
      <c r="M379" s="4">
        <v>4</v>
      </c>
      <c r="N379" s="108"/>
      <c r="O379" s="4">
        <v>4</v>
      </c>
      <c r="P379" s="4">
        <v>4</v>
      </c>
      <c r="Q379" s="4">
        <v>4</v>
      </c>
      <c r="R379" s="4">
        <v>4</v>
      </c>
      <c r="S379" s="4">
        <v>4</v>
      </c>
      <c r="T379" s="4"/>
      <c r="U379" s="4">
        <v>3.8</v>
      </c>
      <c r="V379" s="238">
        <v>4</v>
      </c>
      <c r="W379" s="4"/>
      <c r="X379" s="4"/>
      <c r="Y379" s="4"/>
      <c r="Z379" s="4"/>
      <c r="AA379" s="4"/>
      <c r="AB379" s="4"/>
      <c r="AC379" s="4"/>
      <c r="AD379" s="4"/>
      <c r="AE379" s="4">
        <v>4</v>
      </c>
      <c r="AF379" s="4"/>
      <c r="AG379" s="4"/>
      <c r="AH379" s="4"/>
      <c r="AI379" s="4"/>
      <c r="AJ379" s="4">
        <v>4</v>
      </c>
      <c r="AK379" s="1"/>
      <c r="AL379" s="1"/>
      <c r="AM379" s="1">
        <v>3.2</v>
      </c>
      <c r="AN379" s="1"/>
      <c r="AO379" s="1"/>
      <c r="AP379" s="4">
        <v>3.5</v>
      </c>
      <c r="AQ379" s="4">
        <v>3.5</v>
      </c>
      <c r="AR379" s="4">
        <v>3.5</v>
      </c>
      <c r="AS379" s="4"/>
      <c r="AT379" s="4">
        <v>3.5</v>
      </c>
      <c r="AU379" s="4">
        <v>3.5</v>
      </c>
      <c r="AV379" s="4">
        <v>3.5</v>
      </c>
      <c r="AW379" s="4">
        <v>3.5</v>
      </c>
      <c r="AX379" s="4">
        <v>3.5</v>
      </c>
      <c r="AY379" s="4">
        <v>3.5</v>
      </c>
      <c r="AZ379" s="4">
        <v>3.5</v>
      </c>
      <c r="BA379" s="4">
        <v>3.5</v>
      </c>
      <c r="BB379" s="4"/>
      <c r="BC379" s="4">
        <v>3.5</v>
      </c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>
        <v>4</v>
      </c>
      <c r="BV379" s="1"/>
      <c r="BW379" s="1"/>
      <c r="BX379" s="4">
        <v>3.5</v>
      </c>
      <c r="BY379" s="136"/>
      <c r="BZ379" s="136">
        <v>4</v>
      </c>
      <c r="CA379" s="136"/>
      <c r="CB379" s="136"/>
      <c r="CC379" s="136"/>
      <c r="CD379" s="136"/>
      <c r="CE379" s="136"/>
      <c r="CF379" s="136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DA379" s="379">
        <f>30/12</f>
        <v>2.5</v>
      </c>
    </row>
    <row r="380" spans="1:105" ht="20.25" customHeight="1" x14ac:dyDescent="0.35">
      <c r="A380" s="6"/>
      <c r="B380" s="200" t="s">
        <v>1809</v>
      </c>
      <c r="C380" s="200" t="s">
        <v>611</v>
      </c>
      <c r="D380" s="95" t="s">
        <v>1101</v>
      </c>
      <c r="E380" s="95" t="s">
        <v>659</v>
      </c>
      <c r="F380" s="95" t="s">
        <v>569</v>
      </c>
      <c r="G380" s="95" t="s">
        <v>130</v>
      </c>
      <c r="H380" s="237">
        <v>20</v>
      </c>
      <c r="I380" s="4">
        <v>0</v>
      </c>
      <c r="J380" s="4">
        <v>20</v>
      </c>
      <c r="K380" s="4"/>
      <c r="L380" s="4"/>
      <c r="M380" s="4"/>
      <c r="N380" s="240">
        <v>22</v>
      </c>
      <c r="O380" s="4">
        <v>22</v>
      </c>
      <c r="P380" s="4"/>
      <c r="Q380" s="4"/>
      <c r="R380" s="4"/>
      <c r="S380" s="4"/>
      <c r="T380" s="4"/>
      <c r="U380" s="4"/>
      <c r="V380" s="238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1"/>
      <c r="AL380" s="1"/>
      <c r="AM380" s="1"/>
      <c r="AN380" s="1"/>
      <c r="AO380" s="1">
        <v>20</v>
      </c>
      <c r="AP380" s="4">
        <v>20</v>
      </c>
      <c r="AQ380" s="4">
        <v>20</v>
      </c>
      <c r="AR380" s="4">
        <v>20</v>
      </c>
      <c r="AS380" s="4"/>
      <c r="AT380" s="4">
        <v>20</v>
      </c>
      <c r="AU380" s="4">
        <v>20</v>
      </c>
      <c r="AV380" s="4">
        <v>20</v>
      </c>
      <c r="AW380" s="4">
        <v>20</v>
      </c>
      <c r="AX380" s="4">
        <v>20</v>
      </c>
      <c r="AY380" s="4">
        <v>20</v>
      </c>
      <c r="AZ380" s="4">
        <v>20</v>
      </c>
      <c r="BA380" s="4">
        <v>20</v>
      </c>
      <c r="BB380" s="4"/>
      <c r="BC380" s="4">
        <v>20</v>
      </c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4"/>
      <c r="BY380" s="136"/>
      <c r="BZ380" s="136"/>
      <c r="CA380" s="136"/>
      <c r="CB380" s="136"/>
      <c r="CC380" s="136"/>
      <c r="CD380" s="136"/>
      <c r="CE380" s="136"/>
      <c r="CF380" s="136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DA380" s="379">
        <f>28/1000*400</f>
        <v>11.200000000000001</v>
      </c>
    </row>
    <row r="381" spans="1:105" ht="20.25" customHeight="1" x14ac:dyDescent="0.35">
      <c r="A381" s="6"/>
      <c r="B381" s="200" t="s">
        <v>1810</v>
      </c>
      <c r="C381" s="200" t="s">
        <v>611</v>
      </c>
      <c r="D381" s="245" t="s">
        <v>1101</v>
      </c>
      <c r="E381" s="95" t="s">
        <v>660</v>
      </c>
      <c r="F381" s="95" t="s">
        <v>569</v>
      </c>
      <c r="G381" s="95" t="s">
        <v>130</v>
      </c>
      <c r="H381" s="237">
        <v>20</v>
      </c>
      <c r="I381" s="4"/>
      <c r="J381" s="4">
        <v>20</v>
      </c>
      <c r="K381" s="4"/>
      <c r="L381" s="4"/>
      <c r="M381" s="4"/>
      <c r="N381" s="108"/>
      <c r="O381" s="4">
        <v>20</v>
      </c>
      <c r="P381" s="4"/>
      <c r="Q381" s="4"/>
      <c r="R381" s="4"/>
      <c r="S381" s="4"/>
      <c r="T381" s="4"/>
      <c r="U381" s="4"/>
      <c r="V381" s="238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1"/>
      <c r="AL381" s="1"/>
      <c r="AM381" s="1"/>
      <c r="AN381" s="1"/>
      <c r="AO381" s="1"/>
      <c r="AP381" s="4">
        <v>20</v>
      </c>
      <c r="AQ381" s="4">
        <v>20</v>
      </c>
      <c r="AR381" s="4">
        <v>20</v>
      </c>
      <c r="AS381" s="4"/>
      <c r="AT381" s="4">
        <v>20</v>
      </c>
      <c r="AU381" s="4">
        <v>20</v>
      </c>
      <c r="AV381" s="4">
        <v>20</v>
      </c>
      <c r="AW381" s="4">
        <v>20</v>
      </c>
      <c r="AX381" s="4">
        <v>20</v>
      </c>
      <c r="AY381" s="4">
        <v>20</v>
      </c>
      <c r="AZ381" s="4">
        <v>20</v>
      </c>
      <c r="BA381" s="4">
        <v>20</v>
      </c>
      <c r="BB381" s="4"/>
      <c r="BC381" s="4">
        <v>20</v>
      </c>
      <c r="BD381" s="1"/>
      <c r="BE381" s="1"/>
      <c r="BF381" s="1"/>
      <c r="BG381" s="1">
        <v>22</v>
      </c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4"/>
      <c r="BY381" s="136"/>
      <c r="BZ381" s="136"/>
      <c r="CA381" s="136"/>
      <c r="CB381" s="136"/>
      <c r="CC381" s="136"/>
      <c r="CD381" s="136"/>
      <c r="CE381" s="136"/>
      <c r="CF381" s="136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DA381" s="379"/>
    </row>
    <row r="382" spans="1:105" ht="20.25" customHeight="1" x14ac:dyDescent="0.35">
      <c r="A382" s="6"/>
      <c r="B382" s="200" t="s">
        <v>1811</v>
      </c>
      <c r="C382" s="200" t="s">
        <v>611</v>
      </c>
      <c r="D382" s="245"/>
      <c r="E382" s="95" t="s">
        <v>661</v>
      </c>
      <c r="F382" s="95" t="s">
        <v>569</v>
      </c>
      <c r="G382" s="95" t="s">
        <v>130</v>
      </c>
      <c r="H382" s="237"/>
      <c r="I382" s="4"/>
      <c r="J382" s="4"/>
      <c r="K382" s="4"/>
      <c r="L382" s="4"/>
      <c r="M382" s="4"/>
      <c r="N382" s="108"/>
      <c r="O382" s="4">
        <v>20</v>
      </c>
      <c r="P382" s="4"/>
      <c r="Q382" s="4"/>
      <c r="R382" s="4"/>
      <c r="S382" s="4"/>
      <c r="T382" s="4"/>
      <c r="U382" s="4"/>
      <c r="V382" s="238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1"/>
      <c r="AL382" s="1"/>
      <c r="AM382" s="1"/>
      <c r="AN382" s="1"/>
      <c r="AO382" s="1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1"/>
      <c r="BE382" s="1"/>
      <c r="BF382" s="1"/>
      <c r="BG382" s="1">
        <v>22</v>
      </c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4"/>
      <c r="BY382" s="136"/>
      <c r="BZ382" s="136"/>
      <c r="CA382" s="136"/>
      <c r="CB382" s="136"/>
      <c r="CC382" s="136"/>
      <c r="CD382" s="136"/>
      <c r="CE382" s="136"/>
      <c r="CF382" s="136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DA382" s="379"/>
    </row>
    <row r="383" spans="1:105" ht="20.25" customHeight="1" x14ac:dyDescent="0.35">
      <c r="A383" s="6"/>
      <c r="B383" s="200" t="s">
        <v>1812</v>
      </c>
      <c r="C383" s="200" t="s">
        <v>542</v>
      </c>
      <c r="D383" s="200"/>
      <c r="E383" s="95" t="s">
        <v>669</v>
      </c>
      <c r="F383" s="95" t="s">
        <v>178</v>
      </c>
      <c r="G383" s="95" t="s">
        <v>130</v>
      </c>
      <c r="H383" s="237"/>
      <c r="I383" s="4"/>
      <c r="J383" s="4"/>
      <c r="K383" s="4"/>
      <c r="L383" s="4"/>
      <c r="M383" s="4"/>
      <c r="N383" s="108"/>
      <c r="O383" s="4"/>
      <c r="P383" s="4"/>
      <c r="Q383" s="4"/>
      <c r="R383" s="4"/>
      <c r="S383" s="4"/>
      <c r="T383" s="4"/>
      <c r="U383" s="4"/>
      <c r="V383" s="238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1"/>
      <c r="AL383" s="1"/>
      <c r="AM383" s="1"/>
      <c r="AN383" s="1"/>
      <c r="AO383" s="1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4"/>
      <c r="BY383" s="136"/>
      <c r="BZ383" s="136"/>
      <c r="CA383" s="136"/>
      <c r="CB383" s="136"/>
      <c r="CC383" s="136"/>
      <c r="CD383" s="136"/>
      <c r="CE383" s="136"/>
      <c r="CF383" s="136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DA383" s="379">
        <v>13.5</v>
      </c>
    </row>
    <row r="384" spans="1:105" ht="20.25" customHeight="1" x14ac:dyDescent="0.35">
      <c r="A384" s="6"/>
      <c r="B384" s="200" t="s">
        <v>1813</v>
      </c>
      <c r="C384" s="200" t="s">
        <v>299</v>
      </c>
      <c r="D384" s="95" t="s">
        <v>1101</v>
      </c>
      <c r="E384" s="95" t="s">
        <v>179</v>
      </c>
      <c r="F384" s="95" t="s">
        <v>543</v>
      </c>
      <c r="G384" s="95" t="s">
        <v>130</v>
      </c>
      <c r="H384" s="237">
        <v>13</v>
      </c>
      <c r="I384" s="4"/>
      <c r="J384" s="4">
        <v>15</v>
      </c>
      <c r="K384" s="4"/>
      <c r="L384" s="4"/>
      <c r="M384" s="4"/>
      <c r="N384" s="240">
        <v>15</v>
      </c>
      <c r="O384" s="4">
        <v>13</v>
      </c>
      <c r="P384" s="240">
        <v>13</v>
      </c>
      <c r="Q384" s="4">
        <v>13</v>
      </c>
      <c r="R384" s="4">
        <v>13</v>
      </c>
      <c r="S384" s="4"/>
      <c r="T384" s="4"/>
      <c r="U384" s="4">
        <v>15</v>
      </c>
      <c r="V384" s="238"/>
      <c r="W384" s="4"/>
      <c r="X384" s="4"/>
      <c r="Y384" s="4"/>
      <c r="Z384" s="4"/>
      <c r="AA384" s="4"/>
      <c r="AB384" s="4">
        <v>15</v>
      </c>
      <c r="AC384" s="4"/>
      <c r="AD384" s="4"/>
      <c r="AE384" s="4">
        <v>18</v>
      </c>
      <c r="AF384" s="4"/>
      <c r="AG384" s="4"/>
      <c r="AH384" s="4"/>
      <c r="AI384" s="4"/>
      <c r="AJ384" s="4"/>
      <c r="AK384" s="1"/>
      <c r="AL384" s="1"/>
      <c r="AM384" s="1"/>
      <c r="AN384" s="1"/>
      <c r="AO384" s="1"/>
      <c r="AP384" s="4">
        <v>15</v>
      </c>
      <c r="AQ384" s="4">
        <v>15</v>
      </c>
      <c r="AR384" s="4">
        <v>15</v>
      </c>
      <c r="AS384" s="4"/>
      <c r="AT384" s="4">
        <v>15</v>
      </c>
      <c r="AU384" s="4">
        <v>15</v>
      </c>
      <c r="AV384" s="4">
        <v>15</v>
      </c>
      <c r="AW384" s="4">
        <v>15</v>
      </c>
      <c r="AX384" s="4">
        <v>15</v>
      </c>
      <c r="AY384" s="4">
        <v>15</v>
      </c>
      <c r="AZ384" s="4">
        <v>15</v>
      </c>
      <c r="BA384" s="4">
        <v>15</v>
      </c>
      <c r="BB384" s="4"/>
      <c r="BC384" s="4">
        <v>15</v>
      </c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4"/>
      <c r="BY384" s="136"/>
      <c r="BZ384" s="136">
        <v>15</v>
      </c>
      <c r="CA384" s="136"/>
      <c r="CB384" s="136"/>
      <c r="CC384" s="136"/>
      <c r="CD384" s="136"/>
      <c r="CE384" s="136"/>
      <c r="CF384" s="136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DA384" s="379">
        <v>10.5</v>
      </c>
    </row>
    <row r="385" spans="1:105" ht="20.25" customHeight="1" x14ac:dyDescent="0.35">
      <c r="A385" s="6"/>
      <c r="B385" s="200" t="s">
        <v>1814</v>
      </c>
      <c r="C385" s="200" t="s">
        <v>299</v>
      </c>
      <c r="D385" s="200"/>
      <c r="E385" s="95" t="s">
        <v>140</v>
      </c>
      <c r="F385" s="95" t="s">
        <v>543</v>
      </c>
      <c r="G385" s="95" t="s">
        <v>130</v>
      </c>
      <c r="H385" s="237"/>
      <c r="I385" s="4"/>
      <c r="J385" s="4"/>
      <c r="K385" s="4"/>
      <c r="L385" s="4"/>
      <c r="M385" s="4"/>
      <c r="N385" s="108"/>
      <c r="O385" s="4"/>
      <c r="P385" s="240">
        <v>19</v>
      </c>
      <c r="Q385" s="4"/>
      <c r="R385" s="4"/>
      <c r="S385" s="4"/>
      <c r="T385" s="4"/>
      <c r="U385" s="4"/>
      <c r="V385" s="238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1"/>
      <c r="AL385" s="1"/>
      <c r="AM385" s="1"/>
      <c r="AN385" s="1"/>
      <c r="AO385" s="1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4"/>
      <c r="BY385" s="136"/>
      <c r="BZ385" s="136"/>
      <c r="CA385" s="136"/>
      <c r="CB385" s="136"/>
      <c r="CC385" s="136"/>
      <c r="CD385" s="136"/>
      <c r="CE385" s="136"/>
      <c r="CF385" s="136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DA385" s="379"/>
    </row>
    <row r="386" spans="1:105" ht="20.25" customHeight="1" x14ac:dyDescent="0.35">
      <c r="A386" s="6"/>
      <c r="B386" s="200" t="s">
        <v>1815</v>
      </c>
      <c r="C386" s="200" t="s">
        <v>299</v>
      </c>
      <c r="D386" s="200"/>
      <c r="E386" s="95" t="s">
        <v>598</v>
      </c>
      <c r="F386" s="95" t="s">
        <v>543</v>
      </c>
      <c r="G386" s="95" t="s">
        <v>130</v>
      </c>
      <c r="H386" s="237"/>
      <c r="I386" s="4"/>
      <c r="J386" s="4"/>
      <c r="K386" s="4"/>
      <c r="L386" s="4"/>
      <c r="M386" s="4"/>
      <c r="N386" s="108"/>
      <c r="O386" s="4"/>
      <c r="P386" s="240">
        <v>19</v>
      </c>
      <c r="Q386" s="4"/>
      <c r="R386" s="4"/>
      <c r="S386" s="4"/>
      <c r="T386" s="4"/>
      <c r="U386" s="4"/>
      <c r="V386" s="238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1"/>
      <c r="AL386" s="1"/>
      <c r="AM386" s="1"/>
      <c r="AN386" s="1"/>
      <c r="AO386" s="1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4"/>
      <c r="BY386" s="136"/>
      <c r="BZ386" s="136"/>
      <c r="CA386" s="136"/>
      <c r="CB386" s="136"/>
      <c r="CC386" s="136"/>
      <c r="CD386" s="136"/>
      <c r="CE386" s="136"/>
      <c r="CF386" s="136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DA386" s="379"/>
    </row>
    <row r="387" spans="1:105" ht="20.25" customHeight="1" x14ac:dyDescent="0.35">
      <c r="A387" s="6"/>
      <c r="B387" s="200" t="s">
        <v>1816</v>
      </c>
      <c r="C387" s="200" t="s">
        <v>299</v>
      </c>
      <c r="D387" s="200"/>
      <c r="E387" s="95" t="s">
        <v>180</v>
      </c>
      <c r="F387" s="95" t="s">
        <v>543</v>
      </c>
      <c r="G387" s="95" t="s">
        <v>130</v>
      </c>
      <c r="H387" s="237"/>
      <c r="I387" s="4"/>
      <c r="J387" s="4"/>
      <c r="K387" s="4"/>
      <c r="L387" s="4"/>
      <c r="M387" s="4"/>
      <c r="N387" s="108"/>
      <c r="O387" s="4"/>
      <c r="P387" s="240">
        <v>18</v>
      </c>
      <c r="Q387" s="4"/>
      <c r="R387" s="4"/>
      <c r="S387" s="4"/>
      <c r="T387" s="4"/>
      <c r="U387" s="4"/>
      <c r="V387" s="238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1"/>
      <c r="AL387" s="1"/>
      <c r="AM387" s="1"/>
      <c r="AN387" s="1"/>
      <c r="AO387" s="1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4"/>
      <c r="BY387" s="136"/>
      <c r="BZ387" s="136"/>
      <c r="CA387" s="136"/>
      <c r="CB387" s="136"/>
      <c r="CC387" s="136"/>
      <c r="CD387" s="136"/>
      <c r="CE387" s="136"/>
      <c r="CF387" s="136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DA387" s="379">
        <v>13</v>
      </c>
    </row>
    <row r="388" spans="1:105" ht="20.25" customHeight="1" x14ac:dyDescent="0.35">
      <c r="A388" s="6"/>
      <c r="B388" s="200" t="s">
        <v>1817</v>
      </c>
      <c r="C388" s="200" t="s">
        <v>299</v>
      </c>
      <c r="D388" s="95" t="s">
        <v>1101</v>
      </c>
      <c r="E388" s="6" t="s">
        <v>599</v>
      </c>
      <c r="F388" s="95" t="s">
        <v>543</v>
      </c>
      <c r="G388" s="95" t="s">
        <v>130</v>
      </c>
      <c r="H388" s="237">
        <v>18</v>
      </c>
      <c r="I388" s="4"/>
      <c r="J388" s="4">
        <v>20</v>
      </c>
      <c r="K388" s="4"/>
      <c r="L388" s="4"/>
      <c r="M388" s="4"/>
      <c r="N388" s="108"/>
      <c r="O388" s="4"/>
      <c r="P388" s="4"/>
      <c r="Q388" s="4"/>
      <c r="R388" s="4"/>
      <c r="S388" s="4"/>
      <c r="T388" s="4"/>
      <c r="U388" s="4"/>
      <c r="V388" s="238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1"/>
      <c r="AL388" s="1"/>
      <c r="AM388" s="1"/>
      <c r="AN388" s="1"/>
      <c r="AO388" s="1"/>
      <c r="AP388" s="4">
        <v>20</v>
      </c>
      <c r="AQ388" s="4">
        <v>20</v>
      </c>
      <c r="AR388" s="4">
        <v>20</v>
      </c>
      <c r="AS388" s="4"/>
      <c r="AT388" s="4">
        <v>20</v>
      </c>
      <c r="AU388" s="4">
        <v>20</v>
      </c>
      <c r="AV388" s="4">
        <v>20</v>
      </c>
      <c r="AW388" s="4">
        <v>20</v>
      </c>
      <c r="AX388" s="4">
        <v>20</v>
      </c>
      <c r="AY388" s="4">
        <v>20</v>
      </c>
      <c r="AZ388" s="4">
        <v>20</v>
      </c>
      <c r="BA388" s="4">
        <v>20</v>
      </c>
      <c r="BB388" s="4"/>
      <c r="BC388" s="4">
        <v>20</v>
      </c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4"/>
      <c r="BY388" s="136"/>
      <c r="BZ388" s="136">
        <v>18</v>
      </c>
      <c r="CA388" s="136"/>
      <c r="CB388" s="136"/>
      <c r="CC388" s="136"/>
      <c r="CD388" s="136"/>
      <c r="CE388" s="136"/>
      <c r="CF388" s="136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DA388" s="379">
        <v>15</v>
      </c>
    </row>
    <row r="389" spans="1:105" ht="20.25" customHeight="1" x14ac:dyDescent="0.35">
      <c r="A389" s="95"/>
      <c r="B389" s="200" t="s">
        <v>1818</v>
      </c>
      <c r="C389" s="200" t="s">
        <v>299</v>
      </c>
      <c r="D389" s="239" t="s">
        <v>536</v>
      </c>
      <c r="E389" s="95" t="s">
        <v>597</v>
      </c>
      <c r="F389" s="95" t="s">
        <v>543</v>
      </c>
      <c r="G389" s="95" t="s">
        <v>130</v>
      </c>
      <c r="H389" s="237">
        <v>18</v>
      </c>
      <c r="I389" s="240"/>
      <c r="J389" s="4"/>
      <c r="K389" s="4"/>
      <c r="L389" s="4"/>
      <c r="M389" s="4"/>
      <c r="N389" s="108"/>
      <c r="O389" s="4"/>
      <c r="P389" s="4"/>
      <c r="Q389" s="4"/>
      <c r="R389" s="4"/>
      <c r="S389" s="4"/>
      <c r="T389" s="4"/>
      <c r="U389" s="4"/>
      <c r="V389" s="238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1"/>
      <c r="AL389" s="1"/>
      <c r="AM389" s="1"/>
      <c r="AN389" s="1"/>
      <c r="AO389" s="1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4"/>
      <c r="BY389" s="136"/>
      <c r="BZ389" s="136"/>
      <c r="CA389" s="136"/>
      <c r="CB389" s="136"/>
      <c r="CC389" s="136"/>
      <c r="CD389" s="136"/>
      <c r="CE389" s="136"/>
      <c r="CF389" s="136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DA389" s="379"/>
    </row>
    <row r="390" spans="1:105" ht="20.25" customHeight="1" x14ac:dyDescent="0.35">
      <c r="A390" s="6"/>
      <c r="B390" s="200" t="s">
        <v>1819</v>
      </c>
      <c r="C390" s="200" t="s">
        <v>299</v>
      </c>
      <c r="D390" s="200"/>
      <c r="E390" s="71" t="s">
        <v>601</v>
      </c>
      <c r="F390" s="95" t="s">
        <v>476</v>
      </c>
      <c r="G390" s="95" t="s">
        <v>130</v>
      </c>
      <c r="H390" s="237"/>
      <c r="I390" s="4"/>
      <c r="J390" s="4"/>
      <c r="K390" s="4"/>
      <c r="L390" s="4"/>
      <c r="M390" s="4"/>
      <c r="N390" s="108"/>
      <c r="O390" s="4"/>
      <c r="P390" s="4"/>
      <c r="Q390" s="4"/>
      <c r="R390" s="4"/>
      <c r="S390" s="4"/>
      <c r="T390" s="4"/>
      <c r="U390" s="4"/>
      <c r="V390" s="238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1"/>
      <c r="AL390" s="1"/>
      <c r="AM390" s="1"/>
      <c r="AN390" s="1"/>
      <c r="AO390" s="1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4"/>
      <c r="BY390" s="136"/>
      <c r="BZ390" s="136"/>
      <c r="CA390" s="136"/>
      <c r="CB390" s="136"/>
      <c r="CC390" s="136"/>
      <c r="CD390" s="136"/>
      <c r="CE390" s="136"/>
      <c r="CF390" s="136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DA390" s="379"/>
    </row>
    <row r="391" spans="1:105" ht="20.25" customHeight="1" x14ac:dyDescent="0.35">
      <c r="A391" s="95" t="s">
        <v>131</v>
      </c>
      <c r="B391" s="200" t="s">
        <v>1820</v>
      </c>
      <c r="C391" s="200" t="s">
        <v>299</v>
      </c>
      <c r="D391" s="239" t="s">
        <v>536</v>
      </c>
      <c r="E391" s="95" t="s">
        <v>597</v>
      </c>
      <c r="F391" s="95" t="s">
        <v>476</v>
      </c>
      <c r="G391" s="95" t="s">
        <v>130</v>
      </c>
      <c r="H391" s="237">
        <v>28</v>
      </c>
      <c r="I391" s="240">
        <v>32</v>
      </c>
      <c r="J391" s="4"/>
      <c r="K391" s="4"/>
      <c r="L391" s="4"/>
      <c r="M391" s="4"/>
      <c r="N391" s="108"/>
      <c r="O391" s="4"/>
      <c r="P391" s="4"/>
      <c r="Q391" s="4"/>
      <c r="R391" s="4"/>
      <c r="S391" s="4"/>
      <c r="T391" s="4"/>
      <c r="U391" s="4"/>
      <c r="V391" s="238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1"/>
      <c r="AL391" s="1"/>
      <c r="AM391" s="1"/>
      <c r="AN391" s="1"/>
      <c r="AO391" s="1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4"/>
      <c r="BY391" s="136"/>
      <c r="BZ391" s="136"/>
      <c r="CA391" s="136"/>
      <c r="CB391" s="136"/>
      <c r="CC391" s="136"/>
      <c r="CD391" s="136"/>
      <c r="CE391" s="136"/>
      <c r="CF391" s="136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DA391" s="379">
        <v>18</v>
      </c>
    </row>
    <row r="392" spans="1:105" ht="20.25" customHeight="1" x14ac:dyDescent="0.35">
      <c r="A392" s="95"/>
      <c r="B392" s="200" t="s">
        <v>1821</v>
      </c>
      <c r="C392" s="200" t="s">
        <v>299</v>
      </c>
      <c r="D392" s="239" t="s">
        <v>536</v>
      </c>
      <c r="E392" s="95" t="s">
        <v>478</v>
      </c>
      <c r="F392" s="95" t="s">
        <v>476</v>
      </c>
      <c r="G392" s="95" t="s">
        <v>130</v>
      </c>
      <c r="H392" s="237">
        <v>28</v>
      </c>
      <c r="I392" s="240">
        <v>32</v>
      </c>
      <c r="J392" s="4"/>
      <c r="K392" s="4"/>
      <c r="L392" s="4"/>
      <c r="M392" s="4"/>
      <c r="N392" s="108"/>
      <c r="O392" s="4"/>
      <c r="P392" s="4"/>
      <c r="Q392" s="4"/>
      <c r="R392" s="4"/>
      <c r="S392" s="4"/>
      <c r="T392" s="4"/>
      <c r="U392" s="4"/>
      <c r="V392" s="238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1"/>
      <c r="AL392" s="1"/>
      <c r="AM392" s="1"/>
      <c r="AN392" s="1"/>
      <c r="AO392" s="1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4"/>
      <c r="BY392" s="136"/>
      <c r="BZ392" s="136"/>
      <c r="CA392" s="136"/>
      <c r="CB392" s="136"/>
      <c r="CC392" s="136"/>
      <c r="CD392" s="136"/>
      <c r="CE392" s="136"/>
      <c r="CF392" s="136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DA392" s="379"/>
    </row>
    <row r="393" spans="1:105" ht="20.25" customHeight="1" x14ac:dyDescent="0.35">
      <c r="A393" s="95"/>
      <c r="B393" s="200" t="s">
        <v>1822</v>
      </c>
      <c r="C393" s="200" t="s">
        <v>299</v>
      </c>
      <c r="D393" s="239" t="s">
        <v>536</v>
      </c>
      <c r="E393" s="95" t="s">
        <v>480</v>
      </c>
      <c r="F393" s="95" t="s">
        <v>476</v>
      </c>
      <c r="G393" s="95" t="s">
        <v>130</v>
      </c>
      <c r="H393" s="237">
        <v>28</v>
      </c>
      <c r="I393" s="240">
        <v>32</v>
      </c>
      <c r="J393" s="4"/>
      <c r="K393" s="4"/>
      <c r="L393" s="4"/>
      <c r="M393" s="4"/>
      <c r="N393" s="108"/>
      <c r="O393" s="4"/>
      <c r="P393" s="4"/>
      <c r="Q393" s="4"/>
      <c r="R393" s="4"/>
      <c r="S393" s="4"/>
      <c r="T393" s="4"/>
      <c r="U393" s="4"/>
      <c r="V393" s="238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1"/>
      <c r="AL393" s="1"/>
      <c r="AM393" s="1"/>
      <c r="AN393" s="1"/>
      <c r="AO393" s="1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4"/>
      <c r="BY393" s="136"/>
      <c r="BZ393" s="136"/>
      <c r="CA393" s="136"/>
      <c r="CB393" s="136"/>
      <c r="CC393" s="136"/>
      <c r="CD393" s="136"/>
      <c r="CE393" s="136"/>
      <c r="CF393" s="136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DA393" s="379">
        <v>18</v>
      </c>
    </row>
    <row r="394" spans="1:105" ht="20.25" customHeight="1" x14ac:dyDescent="0.35">
      <c r="A394" s="6"/>
      <c r="B394" s="200" t="s">
        <v>1823</v>
      </c>
      <c r="C394" s="200" t="s">
        <v>299</v>
      </c>
      <c r="D394" s="200"/>
      <c r="E394" s="71" t="s">
        <v>600</v>
      </c>
      <c r="F394" s="95" t="s">
        <v>476</v>
      </c>
      <c r="G394" s="95" t="s">
        <v>130</v>
      </c>
      <c r="H394" s="237"/>
      <c r="I394" s="4"/>
      <c r="J394" s="4"/>
      <c r="K394" s="4"/>
      <c r="L394" s="4"/>
      <c r="M394" s="4"/>
      <c r="N394" s="108"/>
      <c r="O394" s="4"/>
      <c r="P394" s="4"/>
      <c r="Q394" s="4"/>
      <c r="R394" s="4"/>
      <c r="S394" s="4"/>
      <c r="T394" s="4"/>
      <c r="U394" s="4"/>
      <c r="V394" s="238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1"/>
      <c r="AL394" s="1"/>
      <c r="AM394" s="1"/>
      <c r="AN394" s="1"/>
      <c r="AO394" s="1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4"/>
      <c r="BY394" s="136"/>
      <c r="BZ394" s="136"/>
      <c r="CA394" s="136"/>
      <c r="CB394" s="136"/>
      <c r="CC394" s="136"/>
      <c r="CD394" s="136"/>
      <c r="CE394" s="136"/>
      <c r="CF394" s="136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DA394" s="379"/>
    </row>
    <row r="395" spans="1:105" ht="20.25" customHeight="1" x14ac:dyDescent="0.35">
      <c r="A395" s="6"/>
      <c r="B395" s="200" t="s">
        <v>1824</v>
      </c>
      <c r="C395" s="200" t="s">
        <v>616</v>
      </c>
      <c r="D395" s="6"/>
      <c r="E395" s="6" t="s">
        <v>617</v>
      </c>
      <c r="F395" s="6" t="s">
        <v>544</v>
      </c>
      <c r="G395" s="6" t="s">
        <v>38</v>
      </c>
      <c r="H395" s="237"/>
      <c r="I395" s="4"/>
      <c r="J395" s="4"/>
      <c r="K395" s="4"/>
      <c r="L395" s="4"/>
      <c r="M395" s="4"/>
      <c r="N395" s="108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1"/>
      <c r="AL395" s="1"/>
      <c r="AM395" s="1"/>
      <c r="AN395" s="1"/>
      <c r="AO395" s="1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4"/>
      <c r="BY395" s="136"/>
      <c r="BZ395" s="136"/>
      <c r="CA395" s="136"/>
      <c r="CB395" s="136"/>
      <c r="CC395" s="136"/>
      <c r="CD395" s="136"/>
      <c r="CE395" s="136"/>
      <c r="CF395" s="136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DA395" s="379"/>
    </row>
    <row r="396" spans="1:105" ht="20.25" customHeight="1" x14ac:dyDescent="0.35">
      <c r="A396" s="6"/>
      <c r="B396" s="200" t="s">
        <v>1825</v>
      </c>
      <c r="C396" s="200" t="s">
        <v>616</v>
      </c>
      <c r="D396" s="6"/>
      <c r="E396" s="6" t="s">
        <v>617</v>
      </c>
      <c r="F396" s="6" t="s">
        <v>880</v>
      </c>
      <c r="G396" s="6" t="s">
        <v>38</v>
      </c>
      <c r="H396" s="237"/>
      <c r="I396" s="4"/>
      <c r="J396" s="4"/>
      <c r="K396" s="4"/>
      <c r="L396" s="4"/>
      <c r="M396" s="4"/>
      <c r="N396" s="108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1"/>
      <c r="AL396" s="1"/>
      <c r="AM396" s="1"/>
      <c r="AN396" s="1"/>
      <c r="AO396" s="1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4"/>
      <c r="BY396" s="136"/>
      <c r="BZ396" s="136"/>
      <c r="CA396" s="136"/>
      <c r="CB396" s="136"/>
      <c r="CC396" s="136"/>
      <c r="CD396" s="136"/>
      <c r="CE396" s="136"/>
      <c r="CF396" s="136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DA396" s="379"/>
    </row>
    <row r="397" spans="1:105" ht="20.25" customHeight="1" x14ac:dyDescent="0.35">
      <c r="A397" s="6"/>
      <c r="B397" s="200" t="s">
        <v>1826</v>
      </c>
      <c r="C397" s="200" t="s">
        <v>299</v>
      </c>
      <c r="D397" s="200"/>
      <c r="E397" s="95" t="s">
        <v>2227</v>
      </c>
      <c r="F397" s="62" t="s">
        <v>1827</v>
      </c>
      <c r="G397" s="62" t="s">
        <v>1520</v>
      </c>
      <c r="H397" s="237"/>
      <c r="I397" s="4"/>
      <c r="J397" s="4"/>
      <c r="K397" s="4"/>
      <c r="L397" s="4"/>
      <c r="M397" s="4"/>
      <c r="N397" s="108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1"/>
      <c r="AL397" s="1"/>
      <c r="AM397" s="1"/>
      <c r="AN397" s="1"/>
      <c r="AO397" s="1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4"/>
      <c r="BY397" s="136"/>
      <c r="BZ397" s="136"/>
      <c r="CA397" s="136"/>
      <c r="CB397" s="136"/>
      <c r="CC397" s="136"/>
      <c r="CD397" s="136"/>
      <c r="CE397" s="136"/>
      <c r="CF397" s="136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DA397" s="379">
        <v>12</v>
      </c>
    </row>
    <row r="398" spans="1:105" ht="20.25" customHeight="1" x14ac:dyDescent="0.35">
      <c r="A398" s="95"/>
      <c r="B398" s="200" t="s">
        <v>1828</v>
      </c>
      <c r="C398" s="200" t="s">
        <v>299</v>
      </c>
      <c r="D398" s="200"/>
      <c r="E398" s="95" t="s">
        <v>1829</v>
      </c>
      <c r="F398" s="62" t="s">
        <v>1827</v>
      </c>
      <c r="G398" s="62" t="s">
        <v>1520</v>
      </c>
      <c r="H398" s="248"/>
      <c r="I398" s="240"/>
      <c r="J398" s="4"/>
      <c r="K398" s="4"/>
      <c r="L398" s="4"/>
      <c r="M398" s="4"/>
      <c r="N398" s="108"/>
      <c r="O398" s="4"/>
      <c r="P398" s="4"/>
      <c r="Q398" s="4"/>
      <c r="R398" s="4"/>
      <c r="S398" s="4"/>
      <c r="T398" s="4"/>
      <c r="U398" s="4"/>
      <c r="V398" s="211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1"/>
      <c r="AL398" s="1"/>
      <c r="AM398" s="1"/>
      <c r="AN398" s="1"/>
      <c r="AO398" s="1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4"/>
      <c r="BY398" s="136"/>
      <c r="BZ398" s="136"/>
      <c r="CA398" s="136"/>
      <c r="CB398" s="136"/>
      <c r="CC398" s="136"/>
      <c r="CD398" s="136"/>
      <c r="CE398" s="136"/>
      <c r="CF398" s="136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DA398" s="379"/>
    </row>
    <row r="399" spans="1:105" ht="20.25" customHeight="1" x14ac:dyDescent="0.35">
      <c r="A399" s="6"/>
      <c r="B399" s="200" t="s">
        <v>1830</v>
      </c>
      <c r="C399" s="200" t="s">
        <v>299</v>
      </c>
      <c r="D399" s="200"/>
      <c r="E399" s="95" t="s">
        <v>599</v>
      </c>
      <c r="F399" s="62" t="s">
        <v>1831</v>
      </c>
      <c r="G399" s="62" t="s">
        <v>1520</v>
      </c>
      <c r="H399" s="237">
        <f>AVERAGE(I399:BC399)</f>
        <v>0</v>
      </c>
      <c r="I399" s="4">
        <v>0</v>
      </c>
      <c r="J399" s="4"/>
      <c r="K399" s="4"/>
      <c r="L399" s="4"/>
      <c r="M399" s="4"/>
      <c r="N399" s="108"/>
      <c r="O399" s="4"/>
      <c r="P399" s="4"/>
      <c r="Q399" s="4"/>
      <c r="R399" s="4"/>
      <c r="S399" s="4"/>
      <c r="T399" s="4"/>
      <c r="U399" s="4"/>
      <c r="V399" s="238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1"/>
      <c r="AL399" s="1"/>
      <c r="AM399" s="1"/>
      <c r="AN399" s="1"/>
      <c r="AO399" s="1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4"/>
      <c r="BY399" s="136"/>
      <c r="BZ399" s="136"/>
      <c r="CA399" s="136"/>
      <c r="CB399" s="136"/>
      <c r="CC399" s="136"/>
      <c r="CD399" s="136"/>
      <c r="CE399" s="136"/>
      <c r="CF399" s="136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DA399" s="379"/>
    </row>
    <row r="400" spans="1:105" ht="20.25" customHeight="1" x14ac:dyDescent="0.35">
      <c r="A400" s="406"/>
      <c r="B400" s="200" t="s">
        <v>2349</v>
      </c>
      <c r="C400" s="200" t="s">
        <v>2350</v>
      </c>
      <c r="D400" s="95" t="s">
        <v>846</v>
      </c>
      <c r="E400" s="95" t="s">
        <v>2351</v>
      </c>
      <c r="F400" s="6" t="s">
        <v>2352</v>
      </c>
      <c r="G400" s="62" t="s">
        <v>38</v>
      </c>
      <c r="H400" s="293">
        <v>22.8</v>
      </c>
      <c r="I400" s="296"/>
      <c r="J400" s="296"/>
      <c r="K400" s="296"/>
      <c r="L400" s="296"/>
      <c r="M400" s="296"/>
      <c r="N400" s="368"/>
      <c r="O400" s="296"/>
      <c r="P400" s="296"/>
      <c r="Q400" s="296"/>
      <c r="R400" s="296"/>
      <c r="S400" s="296"/>
      <c r="T400" s="296"/>
      <c r="U400" s="296"/>
      <c r="V400" s="369"/>
      <c r="W400" s="296"/>
      <c r="X400" s="296"/>
      <c r="Y400" s="296"/>
      <c r="Z400" s="296"/>
      <c r="AA400" s="296"/>
      <c r="AB400" s="296"/>
      <c r="AC400" s="296"/>
      <c r="AD400" s="296"/>
      <c r="AE400" s="296">
        <v>26.4</v>
      </c>
      <c r="AF400" s="296"/>
      <c r="AG400" s="296"/>
      <c r="AH400" s="296"/>
      <c r="AI400" s="296"/>
      <c r="AJ400" s="296"/>
      <c r="AK400" s="297"/>
      <c r="AL400" s="297"/>
      <c r="AM400" s="297"/>
      <c r="AN400" s="297"/>
      <c r="AO400" s="297"/>
      <c r="AP400" s="296"/>
      <c r="AQ400" s="296"/>
      <c r="AR400" s="296"/>
      <c r="AS400" s="296"/>
      <c r="AT400" s="296"/>
      <c r="AU400" s="296"/>
      <c r="AV400" s="296"/>
      <c r="AW400" s="296"/>
      <c r="AX400" s="296"/>
      <c r="AY400" s="296"/>
      <c r="AZ400" s="296"/>
      <c r="BA400" s="296"/>
      <c r="BB400" s="296"/>
      <c r="BC400" s="296"/>
      <c r="BD400" s="297"/>
      <c r="BE400" s="297"/>
      <c r="BF400" s="297"/>
      <c r="BG400" s="297"/>
      <c r="BH400" s="297"/>
      <c r="BI400" s="297"/>
      <c r="BJ400" s="297"/>
      <c r="BK400" s="297"/>
      <c r="BL400" s="297"/>
      <c r="BM400" s="297"/>
      <c r="BN400" s="297"/>
      <c r="BO400" s="297"/>
      <c r="BP400" s="297"/>
      <c r="BQ400" s="297"/>
      <c r="BR400" s="297"/>
      <c r="BS400" s="297"/>
      <c r="BT400" s="297"/>
      <c r="BU400" s="297"/>
      <c r="BV400" s="297"/>
      <c r="BW400" s="297"/>
      <c r="BX400" s="296"/>
      <c r="BY400" s="302"/>
      <c r="BZ400" s="302"/>
      <c r="CA400" s="302"/>
      <c r="CB400" s="302"/>
      <c r="CC400" s="302"/>
      <c r="CD400" s="302"/>
      <c r="CE400" s="302"/>
      <c r="CF400" s="302"/>
      <c r="CG400" s="297"/>
      <c r="CH400" s="297"/>
      <c r="CI400" s="297"/>
      <c r="CJ400" s="297"/>
      <c r="CK400" s="297"/>
      <c r="CL400" s="297"/>
      <c r="DA400" s="379">
        <v>22.8</v>
      </c>
    </row>
    <row r="401" spans="1:105" ht="20.25" customHeight="1" x14ac:dyDescent="0.35">
      <c r="A401" s="406"/>
      <c r="B401" s="355" t="s">
        <v>1832</v>
      </c>
      <c r="C401" s="355" t="s">
        <v>1908</v>
      </c>
      <c r="D401" s="356" t="s">
        <v>846</v>
      </c>
      <c r="E401" s="366" t="s">
        <v>61</v>
      </c>
      <c r="F401" s="356" t="s">
        <v>1155</v>
      </c>
      <c r="G401" s="356" t="s">
        <v>864</v>
      </c>
      <c r="H401" s="367">
        <v>7.7</v>
      </c>
      <c r="I401" s="296"/>
      <c r="J401" s="296"/>
      <c r="K401" s="296"/>
      <c r="L401" s="296"/>
      <c r="M401" s="296"/>
      <c r="N401" s="368"/>
      <c r="O401" s="296"/>
      <c r="P401" s="296"/>
      <c r="Q401" s="296"/>
      <c r="R401" s="296"/>
      <c r="S401" s="296"/>
      <c r="T401" s="296"/>
      <c r="U401" s="296"/>
      <c r="V401" s="369"/>
      <c r="W401" s="296"/>
      <c r="X401" s="296"/>
      <c r="Y401" s="296"/>
      <c r="Z401" s="296"/>
      <c r="AA401" s="296"/>
      <c r="AB401" s="296"/>
      <c r="AC401" s="296"/>
      <c r="AD401" s="296"/>
      <c r="AE401" s="296"/>
      <c r="AF401" s="296"/>
      <c r="AG401" s="370"/>
      <c r="AH401" s="296"/>
      <c r="AI401" s="296"/>
      <c r="AJ401" s="296"/>
      <c r="AK401" s="297"/>
      <c r="AL401" s="297"/>
      <c r="AM401" s="297"/>
      <c r="AN401" s="297"/>
      <c r="AO401" s="297"/>
      <c r="AP401" s="296"/>
      <c r="AQ401" s="296"/>
      <c r="AR401" s="296"/>
      <c r="AS401" s="296"/>
      <c r="AT401" s="296"/>
      <c r="AU401" s="296"/>
      <c r="AV401" s="296"/>
      <c r="AW401" s="296"/>
      <c r="AX401" s="296"/>
      <c r="AY401" s="296"/>
      <c r="AZ401" s="296"/>
      <c r="BA401" s="296"/>
      <c r="BB401" s="296"/>
      <c r="BC401" s="296"/>
      <c r="BD401" s="297"/>
      <c r="BE401" s="297"/>
      <c r="BF401" s="297"/>
      <c r="BG401" s="297"/>
      <c r="BH401" s="297"/>
      <c r="BI401" s="297"/>
      <c r="BJ401" s="297"/>
      <c r="BK401" s="297"/>
      <c r="BL401" s="297"/>
      <c r="BM401" s="297"/>
      <c r="BN401" s="297"/>
      <c r="BO401" s="297"/>
      <c r="BP401" s="297"/>
      <c r="BQ401" s="297"/>
      <c r="BR401" s="297"/>
      <c r="BS401" s="297"/>
      <c r="BT401" s="297"/>
      <c r="BU401" s="297"/>
      <c r="BV401" s="297"/>
      <c r="BW401" s="297"/>
      <c r="BX401" s="296"/>
      <c r="BY401" s="302"/>
      <c r="BZ401" s="302"/>
      <c r="CA401" s="302">
        <v>9.6999999999999993</v>
      </c>
      <c r="CB401" s="302"/>
      <c r="CC401" s="302"/>
      <c r="CD401" s="302"/>
      <c r="CE401" s="302"/>
      <c r="CF401" s="302"/>
      <c r="CG401" s="297"/>
      <c r="CH401" s="297"/>
      <c r="CI401" s="297"/>
      <c r="CJ401" s="297"/>
      <c r="CK401" s="297"/>
      <c r="CL401" s="297"/>
      <c r="DA401" s="379"/>
    </row>
    <row r="402" spans="1:105" ht="20.25" customHeight="1" x14ac:dyDescent="0.35">
      <c r="A402" s="6"/>
      <c r="B402" s="200" t="s">
        <v>1921</v>
      </c>
      <c r="C402" s="200" t="s">
        <v>1909</v>
      </c>
      <c r="D402" s="95" t="s">
        <v>846</v>
      </c>
      <c r="E402" s="71" t="s">
        <v>61</v>
      </c>
      <c r="F402" s="95" t="s">
        <v>1155</v>
      </c>
      <c r="G402" s="95" t="s">
        <v>864</v>
      </c>
      <c r="H402" s="237"/>
      <c r="I402" s="4"/>
      <c r="J402" s="4"/>
      <c r="K402" s="4"/>
      <c r="L402" s="4"/>
      <c r="M402" s="4"/>
      <c r="N402" s="108"/>
      <c r="O402" s="4"/>
      <c r="P402" s="4"/>
      <c r="Q402" s="4"/>
      <c r="R402" s="4"/>
      <c r="S402" s="4"/>
      <c r="T402" s="4"/>
      <c r="U402" s="4"/>
      <c r="V402" s="238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211"/>
      <c r="AH402" s="4"/>
      <c r="AI402" s="4"/>
      <c r="AJ402" s="4"/>
      <c r="AK402" s="1"/>
      <c r="AL402" s="1"/>
      <c r="AM402" s="1"/>
      <c r="AN402" s="1"/>
      <c r="AO402" s="1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4"/>
      <c r="BY402" s="136"/>
      <c r="BZ402" s="136"/>
      <c r="CA402" s="136">
        <v>9.6999999999999993</v>
      </c>
      <c r="CB402" s="136"/>
      <c r="CC402" s="136"/>
      <c r="CD402" s="136"/>
      <c r="CE402" s="136"/>
      <c r="CF402" s="136"/>
      <c r="CG402" s="1"/>
      <c r="CH402" s="1"/>
      <c r="CI402" s="1"/>
      <c r="CJ402" s="1"/>
      <c r="CK402" s="1"/>
      <c r="CL402" s="1"/>
      <c r="DA402" s="379"/>
    </row>
    <row r="403" spans="1:105" ht="20.25" customHeight="1" x14ac:dyDescent="0.35">
      <c r="A403" s="6"/>
      <c r="B403" s="200" t="s">
        <v>1922</v>
      </c>
      <c r="C403" s="200" t="s">
        <v>1910</v>
      </c>
      <c r="D403" s="95" t="s">
        <v>846</v>
      </c>
      <c r="E403" s="71" t="s">
        <v>61</v>
      </c>
      <c r="F403" s="95" t="s">
        <v>1155</v>
      </c>
      <c r="G403" s="95" t="s">
        <v>864</v>
      </c>
      <c r="H403" s="237"/>
      <c r="I403" s="4"/>
      <c r="J403" s="4"/>
      <c r="K403" s="4"/>
      <c r="L403" s="4"/>
      <c r="M403" s="4"/>
      <c r="N403" s="108"/>
      <c r="O403" s="4"/>
      <c r="P403" s="4"/>
      <c r="Q403" s="4"/>
      <c r="R403" s="4"/>
      <c r="S403" s="4"/>
      <c r="T403" s="4"/>
      <c r="U403" s="4"/>
      <c r="V403" s="238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211"/>
      <c r="AH403" s="4"/>
      <c r="AI403" s="4"/>
      <c r="AJ403" s="4"/>
      <c r="AK403" s="1"/>
      <c r="AL403" s="1"/>
      <c r="AM403" s="1"/>
      <c r="AN403" s="1"/>
      <c r="AO403" s="1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4"/>
      <c r="BY403" s="136"/>
      <c r="BZ403" s="136"/>
      <c r="CA403" s="136">
        <v>9.6999999999999993</v>
      </c>
      <c r="CB403" s="136"/>
      <c r="CC403" s="136"/>
      <c r="CD403" s="136"/>
      <c r="CE403" s="136"/>
      <c r="CF403" s="136"/>
      <c r="CG403" s="1"/>
      <c r="CH403" s="1"/>
      <c r="CI403" s="1"/>
      <c r="CJ403" s="1"/>
      <c r="CK403" s="1"/>
      <c r="CL403" s="1"/>
      <c r="DA403" s="379"/>
    </row>
    <row r="404" spans="1:105" ht="20.25" customHeight="1" x14ac:dyDescent="0.35">
      <c r="A404" s="6"/>
      <c r="B404" s="200" t="s">
        <v>1923</v>
      </c>
      <c r="C404" s="200" t="s">
        <v>1924</v>
      </c>
      <c r="D404" s="95" t="s">
        <v>846</v>
      </c>
      <c r="E404" s="71" t="s">
        <v>61</v>
      </c>
      <c r="F404" s="95" t="s">
        <v>1155</v>
      </c>
      <c r="G404" s="95" t="s">
        <v>864</v>
      </c>
      <c r="H404" s="237"/>
      <c r="I404" s="4"/>
      <c r="J404" s="4"/>
      <c r="K404" s="4"/>
      <c r="L404" s="4"/>
      <c r="M404" s="4"/>
      <c r="N404" s="108"/>
      <c r="O404" s="4"/>
      <c r="P404" s="4"/>
      <c r="Q404" s="4"/>
      <c r="R404" s="4"/>
      <c r="S404" s="4"/>
      <c r="T404" s="4"/>
      <c r="U404" s="4"/>
      <c r="V404" s="238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211"/>
      <c r="AH404" s="4"/>
      <c r="AI404" s="4"/>
      <c r="AJ404" s="4"/>
      <c r="AK404" s="1"/>
      <c r="AL404" s="1"/>
      <c r="AM404" s="1"/>
      <c r="AN404" s="1"/>
      <c r="AO404" s="1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4"/>
      <c r="BY404" s="136"/>
      <c r="BZ404" s="136"/>
      <c r="CA404" s="136">
        <v>9.6999999999999993</v>
      </c>
      <c r="CB404" s="136"/>
      <c r="CC404" s="136"/>
      <c r="CD404" s="136"/>
      <c r="CE404" s="136"/>
      <c r="CF404" s="136"/>
      <c r="CG404" s="1"/>
      <c r="CH404" s="1"/>
      <c r="CI404" s="1"/>
      <c r="CJ404" s="1"/>
      <c r="CK404" s="1"/>
      <c r="CL404" s="1"/>
      <c r="DA404" s="379"/>
    </row>
    <row r="405" spans="1:105" ht="20.25" customHeight="1" x14ac:dyDescent="0.35">
      <c r="A405" s="6"/>
      <c r="B405" s="200" t="s">
        <v>1926</v>
      </c>
      <c r="C405" s="200" t="s">
        <v>1925</v>
      </c>
      <c r="D405" s="95" t="s">
        <v>846</v>
      </c>
      <c r="E405" s="71" t="s">
        <v>61</v>
      </c>
      <c r="F405" s="95" t="s">
        <v>1155</v>
      </c>
      <c r="G405" s="95" t="s">
        <v>864</v>
      </c>
      <c r="H405" s="237"/>
      <c r="I405" s="4"/>
      <c r="J405" s="4"/>
      <c r="K405" s="4"/>
      <c r="L405" s="4"/>
      <c r="M405" s="4"/>
      <c r="N405" s="108"/>
      <c r="O405" s="4"/>
      <c r="P405" s="4"/>
      <c r="Q405" s="4"/>
      <c r="R405" s="4"/>
      <c r="S405" s="4"/>
      <c r="T405" s="4"/>
      <c r="U405" s="4"/>
      <c r="V405" s="238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211"/>
      <c r="AH405" s="4"/>
      <c r="AI405" s="4"/>
      <c r="AJ405" s="4"/>
      <c r="AK405" s="1"/>
      <c r="AL405" s="1"/>
      <c r="AM405" s="1"/>
      <c r="AN405" s="1"/>
      <c r="AO405" s="1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4"/>
      <c r="BY405" s="136"/>
      <c r="BZ405" s="136"/>
      <c r="CA405" s="136">
        <v>9.6999999999999993</v>
      </c>
      <c r="CB405" s="136"/>
      <c r="CC405" s="136"/>
      <c r="CD405" s="136"/>
      <c r="CE405" s="136"/>
      <c r="CF405" s="136"/>
      <c r="CG405" s="1"/>
      <c r="CH405" s="1"/>
      <c r="CI405" s="1"/>
      <c r="CJ405" s="1"/>
      <c r="CK405" s="1"/>
      <c r="CL405" s="1"/>
      <c r="DA405" s="379"/>
    </row>
    <row r="406" spans="1:105" ht="20.25" customHeight="1" x14ac:dyDescent="0.35">
      <c r="A406" s="6"/>
      <c r="B406" s="200" t="s">
        <v>1927</v>
      </c>
      <c r="C406" s="200" t="s">
        <v>1928</v>
      </c>
      <c r="D406" s="95" t="s">
        <v>846</v>
      </c>
      <c r="E406" s="71" t="s">
        <v>61</v>
      </c>
      <c r="F406" s="95" t="s">
        <v>1155</v>
      </c>
      <c r="G406" s="95" t="s">
        <v>864</v>
      </c>
      <c r="H406" s="237"/>
      <c r="I406" s="4"/>
      <c r="J406" s="4"/>
      <c r="K406" s="4"/>
      <c r="L406" s="4"/>
      <c r="M406" s="4"/>
      <c r="N406" s="108"/>
      <c r="O406" s="4"/>
      <c r="P406" s="4"/>
      <c r="Q406" s="4"/>
      <c r="R406" s="4"/>
      <c r="S406" s="4"/>
      <c r="T406" s="4"/>
      <c r="U406" s="4"/>
      <c r="V406" s="238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211"/>
      <c r="AH406" s="4"/>
      <c r="AI406" s="4"/>
      <c r="AJ406" s="4"/>
      <c r="AK406" s="1"/>
      <c r="AL406" s="1"/>
      <c r="AM406" s="1"/>
      <c r="AN406" s="1"/>
      <c r="AO406" s="1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4"/>
      <c r="BY406" s="136"/>
      <c r="BZ406" s="136"/>
      <c r="CA406" s="136">
        <v>9.6999999999999993</v>
      </c>
      <c r="CB406" s="136"/>
      <c r="CC406" s="136"/>
      <c r="CD406" s="136"/>
      <c r="CE406" s="136"/>
      <c r="CF406" s="136"/>
      <c r="CG406" s="1"/>
      <c r="CH406" s="1"/>
      <c r="CI406" s="1"/>
      <c r="CJ406" s="1"/>
      <c r="CK406" s="1"/>
      <c r="CL406" s="1"/>
      <c r="DA406" s="379"/>
    </row>
    <row r="407" spans="1:105" ht="20.25" customHeight="1" x14ac:dyDescent="0.35">
      <c r="A407" s="6"/>
      <c r="B407" s="200" t="s">
        <v>1929</v>
      </c>
      <c r="C407" s="200" t="s">
        <v>1930</v>
      </c>
      <c r="D407" s="95" t="s">
        <v>846</v>
      </c>
      <c r="E407" s="71" t="s">
        <v>61</v>
      </c>
      <c r="F407" s="95" t="s">
        <v>1933</v>
      </c>
      <c r="G407" s="95" t="s">
        <v>267</v>
      </c>
      <c r="H407" s="237"/>
      <c r="I407" s="4"/>
      <c r="J407" s="4"/>
      <c r="K407" s="4"/>
      <c r="L407" s="4"/>
      <c r="M407" s="4"/>
      <c r="N407" s="108"/>
      <c r="O407" s="4"/>
      <c r="P407" s="4"/>
      <c r="Q407" s="4"/>
      <c r="R407" s="4"/>
      <c r="S407" s="4"/>
      <c r="T407" s="4"/>
      <c r="U407" s="4"/>
      <c r="V407" s="238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211"/>
      <c r="AH407" s="4"/>
      <c r="AI407" s="4"/>
      <c r="AJ407" s="4"/>
      <c r="AK407" s="1"/>
      <c r="AL407" s="1"/>
      <c r="AM407" s="1"/>
      <c r="AN407" s="1"/>
      <c r="AO407" s="1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4"/>
      <c r="BY407" s="136"/>
      <c r="BZ407" s="136"/>
      <c r="CA407" s="136">
        <v>6</v>
      </c>
      <c r="CB407" s="136"/>
      <c r="CC407" s="136"/>
      <c r="CD407" s="136"/>
      <c r="CE407" s="136"/>
      <c r="CF407" s="136"/>
      <c r="CG407" s="1"/>
      <c r="CH407" s="1"/>
      <c r="CI407" s="1"/>
      <c r="CJ407" s="1"/>
      <c r="CK407" s="1"/>
      <c r="CL407" s="1"/>
      <c r="DA407" s="379"/>
    </row>
    <row r="408" spans="1:105" ht="20.25" customHeight="1" x14ac:dyDescent="0.35">
      <c r="A408" s="6"/>
      <c r="B408" s="200" t="s">
        <v>1931</v>
      </c>
      <c r="C408" s="200" t="s">
        <v>1932</v>
      </c>
      <c r="D408" s="95" t="s">
        <v>846</v>
      </c>
      <c r="E408" s="71" t="s">
        <v>61</v>
      </c>
      <c r="F408" s="95" t="s">
        <v>34</v>
      </c>
      <c r="G408" s="95" t="s">
        <v>267</v>
      </c>
      <c r="H408" s="237"/>
      <c r="I408" s="4"/>
      <c r="J408" s="4"/>
      <c r="K408" s="4"/>
      <c r="L408" s="4"/>
      <c r="M408" s="4"/>
      <c r="N408" s="108"/>
      <c r="O408" s="4"/>
      <c r="P408" s="4"/>
      <c r="Q408" s="4"/>
      <c r="R408" s="4"/>
      <c r="S408" s="4"/>
      <c r="T408" s="4"/>
      <c r="U408" s="4"/>
      <c r="V408" s="238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211"/>
      <c r="AH408" s="4"/>
      <c r="AI408" s="4"/>
      <c r="AJ408" s="4"/>
      <c r="AK408" s="1"/>
      <c r="AL408" s="1"/>
      <c r="AM408" s="1"/>
      <c r="AN408" s="1"/>
      <c r="AO408" s="1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4"/>
      <c r="BY408" s="136"/>
      <c r="BZ408" s="136"/>
      <c r="CA408" s="136">
        <v>4</v>
      </c>
      <c r="CB408" s="136"/>
      <c r="CC408" s="136"/>
      <c r="CD408" s="136"/>
      <c r="CE408" s="136"/>
      <c r="CF408" s="136"/>
      <c r="CG408" s="1"/>
      <c r="CH408" s="1"/>
      <c r="CI408" s="1"/>
      <c r="CJ408" s="1"/>
      <c r="CK408" s="1"/>
      <c r="CL408" s="1"/>
      <c r="DA408" s="379"/>
    </row>
    <row r="409" spans="1:105" ht="20.25" customHeight="1" x14ac:dyDescent="0.35">
      <c r="A409" s="6"/>
      <c r="B409" s="200" t="s">
        <v>1944</v>
      </c>
      <c r="C409" s="200" t="s">
        <v>1327</v>
      </c>
      <c r="D409" s="95" t="s">
        <v>846</v>
      </c>
      <c r="E409" s="71" t="s">
        <v>36</v>
      </c>
      <c r="F409" s="95" t="s">
        <v>108</v>
      </c>
      <c r="G409" s="95" t="s">
        <v>40</v>
      </c>
      <c r="H409" s="237"/>
      <c r="I409" s="4"/>
      <c r="J409" s="4"/>
      <c r="K409" s="4"/>
      <c r="L409" s="4">
        <v>6</v>
      </c>
      <c r="M409" s="4"/>
      <c r="N409" s="108"/>
      <c r="O409" s="4"/>
      <c r="P409" s="4"/>
      <c r="Q409" s="4"/>
      <c r="R409" s="4"/>
      <c r="S409" s="4"/>
      <c r="T409" s="4"/>
      <c r="U409" s="4"/>
      <c r="V409" s="238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211"/>
      <c r="AH409" s="4"/>
      <c r="AI409" s="4"/>
      <c r="AJ409" s="4"/>
      <c r="AK409" s="1"/>
      <c r="AL409" s="1"/>
      <c r="AM409" s="1"/>
      <c r="AN409" s="1"/>
      <c r="AO409" s="1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4"/>
      <c r="BY409" s="136"/>
      <c r="BZ409" s="136"/>
      <c r="CA409" s="136"/>
      <c r="CB409" s="136"/>
      <c r="CC409" s="136"/>
      <c r="CD409" s="136"/>
      <c r="CE409" s="136"/>
      <c r="CF409" s="136"/>
      <c r="CG409" s="1"/>
      <c r="CH409" s="1"/>
      <c r="CI409" s="1"/>
      <c r="CJ409" s="1"/>
      <c r="CK409" s="1"/>
      <c r="CL409" s="1"/>
      <c r="DA409" s="379"/>
    </row>
    <row r="410" spans="1:105" ht="20.149999999999999" customHeight="1" x14ac:dyDescent="0.35">
      <c r="A410" s="1"/>
      <c r="B410" s="200"/>
      <c r="C410" s="200"/>
      <c r="D410" s="95"/>
      <c r="E410" s="71"/>
      <c r="F410" s="95"/>
      <c r="G410" s="95"/>
      <c r="H410" s="237"/>
      <c r="I410" s="4"/>
      <c r="J410" s="4"/>
      <c r="K410" s="4"/>
      <c r="L410" s="4"/>
      <c r="M410" s="4"/>
      <c r="N410" s="108"/>
      <c r="O410" s="4"/>
      <c r="P410" s="4"/>
      <c r="Q410" s="4"/>
      <c r="R410" s="4"/>
      <c r="S410" s="4"/>
      <c r="T410" s="4"/>
      <c r="U410" s="4"/>
      <c r="V410" s="238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211"/>
      <c r="AH410" s="4"/>
      <c r="AI410" s="4"/>
      <c r="AJ410" s="4"/>
      <c r="AK410" s="1"/>
      <c r="AL410" s="1"/>
      <c r="AM410" s="1"/>
      <c r="AN410" s="1"/>
      <c r="AO410" s="1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4"/>
      <c r="BY410" s="136"/>
      <c r="BZ410" s="136"/>
      <c r="CA410" s="136"/>
      <c r="CB410" s="136"/>
      <c r="CC410" s="136"/>
      <c r="CD410" s="136"/>
      <c r="CE410" s="136"/>
      <c r="CF410" s="136"/>
      <c r="CG410" s="1"/>
      <c r="CH410" s="1"/>
      <c r="CI410" s="1"/>
      <c r="CJ410" s="1"/>
      <c r="CK410" s="1"/>
      <c r="CL410" s="1"/>
      <c r="DA410" s="379"/>
    </row>
    <row r="411" spans="1:105" ht="20.149999999999999" customHeight="1" x14ac:dyDescent="0.35">
      <c r="A411" s="1"/>
      <c r="B411" s="200"/>
      <c r="C411" s="200"/>
      <c r="D411" s="95"/>
      <c r="E411" s="71"/>
      <c r="F411" s="95"/>
      <c r="G411" s="95"/>
      <c r="H411" s="237"/>
      <c r="I411" s="4"/>
      <c r="J411" s="4"/>
      <c r="K411" s="4"/>
      <c r="L411" s="4"/>
      <c r="M411" s="4"/>
      <c r="N411" s="108"/>
      <c r="O411" s="4"/>
      <c r="P411" s="4"/>
      <c r="Q411" s="4"/>
      <c r="R411" s="4"/>
      <c r="S411" s="4"/>
      <c r="T411" s="4"/>
      <c r="U411" s="4"/>
      <c r="V411" s="238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211"/>
      <c r="AH411" s="4"/>
      <c r="AI411" s="4"/>
      <c r="AJ411" s="4"/>
      <c r="AK411" s="1"/>
      <c r="AL411" s="1"/>
      <c r="AM411" s="1"/>
      <c r="AN411" s="1"/>
      <c r="AO411" s="1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4"/>
      <c r="BY411" s="136"/>
      <c r="BZ411" s="136"/>
      <c r="CA411" s="136"/>
      <c r="CB411" s="136"/>
      <c r="CC411" s="136"/>
      <c r="CD411" s="136"/>
      <c r="CE411" s="136"/>
      <c r="CF411" s="136"/>
      <c r="CG411" s="1"/>
      <c r="CH411" s="1"/>
      <c r="CI411" s="1"/>
      <c r="CJ411" s="1"/>
      <c r="CK411" s="1"/>
      <c r="CL411" s="1"/>
      <c r="DA411" s="379"/>
    </row>
    <row r="412" spans="1:105" ht="20.149999999999999" customHeight="1" x14ac:dyDescent="0.35">
      <c r="A412" s="1"/>
      <c r="B412" s="200"/>
      <c r="C412" s="200"/>
      <c r="D412" s="95"/>
      <c r="E412" s="71"/>
      <c r="F412" s="95"/>
      <c r="G412" s="95"/>
      <c r="H412" s="237"/>
      <c r="I412" s="4"/>
      <c r="J412" s="4"/>
      <c r="K412" s="4"/>
      <c r="L412" s="4"/>
      <c r="M412" s="4"/>
      <c r="N412" s="108"/>
      <c r="O412" s="4"/>
      <c r="P412" s="4"/>
      <c r="Q412" s="4"/>
      <c r="R412" s="4"/>
      <c r="S412" s="4"/>
      <c r="T412" s="4"/>
      <c r="U412" s="4"/>
      <c r="V412" s="238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211"/>
      <c r="AH412" s="4"/>
      <c r="AI412" s="4"/>
      <c r="AJ412" s="4"/>
      <c r="AK412" s="1"/>
      <c r="AL412" s="1"/>
      <c r="AM412" s="1"/>
      <c r="AN412" s="1"/>
      <c r="AO412" s="1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4"/>
      <c r="BY412" s="136"/>
      <c r="BZ412" s="136"/>
      <c r="CA412" s="136"/>
      <c r="CB412" s="136"/>
      <c r="CC412" s="136"/>
      <c r="CD412" s="136"/>
      <c r="CE412" s="136"/>
      <c r="CF412" s="136"/>
      <c r="CG412" s="1"/>
      <c r="CH412" s="1"/>
      <c r="CI412" s="1"/>
      <c r="CJ412" s="1"/>
      <c r="CK412" s="1"/>
      <c r="CL412" s="1"/>
      <c r="DA412" s="379"/>
    </row>
    <row r="413" spans="1:105" ht="20.149999999999999" customHeight="1" x14ac:dyDescent="0.35">
      <c r="A413" s="1"/>
      <c r="B413" s="200"/>
      <c r="C413" s="200"/>
      <c r="D413" s="95"/>
      <c r="E413" s="71"/>
      <c r="F413" s="95"/>
      <c r="G413" s="95"/>
      <c r="H413" s="237"/>
      <c r="I413" s="4"/>
      <c r="J413" s="4"/>
      <c r="K413" s="4"/>
      <c r="L413" s="4"/>
      <c r="M413" s="4"/>
      <c r="N413" s="108"/>
      <c r="O413" s="4"/>
      <c r="P413" s="4"/>
      <c r="Q413" s="4"/>
      <c r="R413" s="4"/>
      <c r="S413" s="4"/>
      <c r="T413" s="4"/>
      <c r="U413" s="4"/>
      <c r="V413" s="238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211"/>
      <c r="AH413" s="4"/>
      <c r="AI413" s="4"/>
      <c r="AJ413" s="4"/>
      <c r="AK413" s="1"/>
      <c r="AL413" s="1"/>
      <c r="AM413" s="1"/>
      <c r="AN413" s="1"/>
      <c r="AO413" s="1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4"/>
      <c r="BY413" s="136"/>
      <c r="BZ413" s="136"/>
      <c r="CA413" s="136"/>
      <c r="CB413" s="136"/>
      <c r="CC413" s="136"/>
      <c r="CD413" s="136"/>
      <c r="CE413" s="136"/>
      <c r="CF413" s="136"/>
      <c r="CG413" s="1"/>
      <c r="CH413" s="1"/>
      <c r="CI413" s="1"/>
      <c r="CJ413" s="1"/>
      <c r="CK413" s="1"/>
      <c r="CL413" s="1"/>
      <c r="DA413" s="379"/>
    </row>
    <row r="414" spans="1:105" ht="20.149999999999999" customHeight="1" x14ac:dyDescent="0.35">
      <c r="A414" s="1"/>
      <c r="B414" s="200"/>
      <c r="C414" s="200"/>
      <c r="D414" s="95"/>
      <c r="E414" s="71"/>
      <c r="F414" s="95"/>
      <c r="G414" s="95"/>
      <c r="H414" s="237"/>
      <c r="I414" s="4"/>
      <c r="J414" s="4"/>
      <c r="K414" s="4"/>
      <c r="L414" s="4"/>
      <c r="M414" s="4"/>
      <c r="N414" s="108"/>
      <c r="O414" s="4"/>
      <c r="P414" s="4"/>
      <c r="Q414" s="4"/>
      <c r="R414" s="4"/>
      <c r="S414" s="4"/>
      <c r="T414" s="4"/>
      <c r="U414" s="4"/>
      <c r="V414" s="238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211"/>
      <c r="AH414" s="4"/>
      <c r="AI414" s="4"/>
      <c r="AJ414" s="4"/>
      <c r="AK414" s="1"/>
      <c r="AL414" s="1"/>
      <c r="AM414" s="1"/>
      <c r="AN414" s="1"/>
      <c r="AO414" s="1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4"/>
      <c r="BY414" s="136"/>
      <c r="BZ414" s="136"/>
      <c r="CA414" s="136"/>
      <c r="CB414" s="136"/>
      <c r="CC414" s="136"/>
      <c r="CD414" s="136"/>
      <c r="CE414" s="136"/>
      <c r="CF414" s="136"/>
      <c r="CG414" s="1"/>
      <c r="CH414" s="1"/>
      <c r="CI414" s="1"/>
      <c r="CJ414" s="1"/>
      <c r="CK414" s="1"/>
      <c r="CL414" s="1"/>
      <c r="DA414" s="379"/>
    </row>
    <row r="415" spans="1:105" ht="20.149999999999999" customHeight="1" x14ac:dyDescent="0.35">
      <c r="A415" s="1"/>
      <c r="B415" s="200"/>
      <c r="C415" s="200"/>
      <c r="D415" s="95"/>
      <c r="E415" s="71"/>
      <c r="F415" s="95"/>
      <c r="G415" s="95"/>
      <c r="H415" s="237"/>
      <c r="I415" s="4"/>
      <c r="J415" s="4"/>
      <c r="K415" s="4"/>
      <c r="L415" s="4"/>
      <c r="M415" s="4"/>
      <c r="N415" s="108"/>
      <c r="O415" s="4"/>
      <c r="P415" s="4"/>
      <c r="Q415" s="4"/>
      <c r="R415" s="4"/>
      <c r="S415" s="4"/>
      <c r="T415" s="4"/>
      <c r="U415" s="4"/>
      <c r="V415" s="238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211"/>
      <c r="AH415" s="4"/>
      <c r="AI415" s="4"/>
      <c r="AJ415" s="4"/>
      <c r="AK415" s="1"/>
      <c r="AL415" s="1"/>
      <c r="AM415" s="1"/>
      <c r="AN415" s="1"/>
      <c r="AO415" s="1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4"/>
      <c r="BY415" s="136"/>
      <c r="BZ415" s="136"/>
      <c r="CA415" s="136"/>
      <c r="CB415" s="136"/>
      <c r="CC415" s="136"/>
      <c r="CD415" s="136"/>
      <c r="CE415" s="136"/>
      <c r="CF415" s="136"/>
      <c r="CG415" s="1"/>
      <c r="CH415" s="1"/>
      <c r="CI415" s="1"/>
      <c r="CJ415" s="1"/>
      <c r="CK415" s="1"/>
      <c r="CL415" s="1"/>
      <c r="DA415" s="379"/>
    </row>
    <row r="416" spans="1:105" ht="20.149999999999999" customHeight="1" x14ac:dyDescent="0.35">
      <c r="A416" s="1"/>
      <c r="B416" s="200"/>
      <c r="C416" s="200"/>
      <c r="D416" s="95"/>
      <c r="E416" s="71"/>
      <c r="F416" s="95"/>
      <c r="G416" s="95"/>
      <c r="H416" s="237"/>
      <c r="I416" s="4"/>
      <c r="J416" s="4"/>
      <c r="K416" s="4"/>
      <c r="L416" s="4"/>
      <c r="M416" s="4"/>
      <c r="N416" s="108"/>
      <c r="O416" s="4"/>
      <c r="P416" s="4"/>
      <c r="Q416" s="4"/>
      <c r="R416" s="4"/>
      <c r="S416" s="4"/>
      <c r="T416" s="4"/>
      <c r="U416" s="4"/>
      <c r="V416" s="238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211"/>
      <c r="AH416" s="4"/>
      <c r="AI416" s="4"/>
      <c r="AJ416" s="4"/>
      <c r="AK416" s="1"/>
      <c r="AL416" s="1"/>
      <c r="AM416" s="1"/>
      <c r="AN416" s="1"/>
      <c r="AO416" s="1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4"/>
      <c r="BY416" s="136"/>
      <c r="BZ416" s="136"/>
      <c r="CA416" s="136"/>
      <c r="CB416" s="136"/>
      <c r="CC416" s="136"/>
      <c r="CD416" s="136"/>
      <c r="CE416" s="136"/>
      <c r="CF416" s="136"/>
      <c r="CG416" s="1"/>
      <c r="CH416" s="1"/>
      <c r="CI416" s="1"/>
      <c r="CJ416" s="1"/>
      <c r="CK416" s="1"/>
      <c r="CL416" s="1"/>
      <c r="DA416" s="379"/>
    </row>
    <row r="417" spans="1:105" ht="20.149999999999999" customHeight="1" x14ac:dyDescent="0.35">
      <c r="A417" s="1"/>
      <c r="B417" s="200"/>
      <c r="C417" s="200"/>
      <c r="D417" s="95"/>
      <c r="E417" s="71"/>
      <c r="F417" s="95"/>
      <c r="G417" s="95"/>
      <c r="H417" s="237"/>
      <c r="I417" s="4"/>
      <c r="J417" s="4"/>
      <c r="K417" s="4"/>
      <c r="L417" s="4"/>
      <c r="M417" s="4"/>
      <c r="N417" s="108"/>
      <c r="O417" s="4"/>
      <c r="P417" s="4"/>
      <c r="Q417" s="4"/>
      <c r="R417" s="4"/>
      <c r="S417" s="4"/>
      <c r="T417" s="4"/>
      <c r="U417" s="4"/>
      <c r="V417" s="238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211"/>
      <c r="AH417" s="4"/>
      <c r="AI417" s="4"/>
      <c r="AJ417" s="4"/>
      <c r="AK417" s="1"/>
      <c r="AL417" s="1"/>
      <c r="AM417" s="1"/>
      <c r="AN417" s="1"/>
      <c r="AO417" s="1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4"/>
      <c r="BY417" s="136"/>
      <c r="BZ417" s="136"/>
      <c r="CA417" s="136"/>
      <c r="CB417" s="136"/>
      <c r="CC417" s="136"/>
      <c r="CD417" s="136"/>
      <c r="CE417" s="136"/>
      <c r="CF417" s="136"/>
      <c r="CG417" s="1"/>
      <c r="CH417" s="1"/>
      <c r="CI417" s="1"/>
      <c r="CJ417" s="1"/>
      <c r="CK417" s="1"/>
      <c r="CL417" s="1"/>
      <c r="DA417" s="379"/>
    </row>
    <row r="418" spans="1:105" ht="20.149999999999999" customHeight="1" x14ac:dyDescent="0.35">
      <c r="A418" s="1"/>
      <c r="B418" s="200"/>
      <c r="C418" s="200"/>
      <c r="D418" s="95"/>
      <c r="E418" s="71"/>
      <c r="F418" s="95"/>
      <c r="G418" s="95"/>
      <c r="H418" s="237"/>
      <c r="I418" s="4"/>
      <c r="J418" s="4"/>
      <c r="K418" s="4"/>
      <c r="L418" s="4"/>
      <c r="M418" s="4"/>
      <c r="N418" s="108"/>
      <c r="O418" s="4"/>
      <c r="P418" s="4"/>
      <c r="Q418" s="4"/>
      <c r="R418" s="4"/>
      <c r="S418" s="4"/>
      <c r="T418" s="4"/>
      <c r="U418" s="4"/>
      <c r="V418" s="238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211"/>
      <c r="AH418" s="4"/>
      <c r="AI418" s="4"/>
      <c r="AJ418" s="4"/>
      <c r="AK418" s="1"/>
      <c r="AL418" s="1"/>
      <c r="AM418" s="1"/>
      <c r="AN418" s="1"/>
      <c r="AO418" s="1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4"/>
      <c r="BY418" s="136"/>
      <c r="BZ418" s="136"/>
      <c r="CA418" s="136"/>
      <c r="CB418" s="136"/>
      <c r="CC418" s="136"/>
      <c r="CD418" s="136"/>
      <c r="CE418" s="136"/>
      <c r="CF418" s="136"/>
      <c r="CG418" s="1"/>
      <c r="CH418" s="1"/>
      <c r="CI418" s="1"/>
      <c r="CJ418" s="1"/>
      <c r="CK418" s="1"/>
      <c r="CL418" s="1"/>
      <c r="DA418" s="379"/>
    </row>
    <row r="419" spans="1:105" ht="20.149999999999999" customHeight="1" x14ac:dyDescent="0.35">
      <c r="A419" s="1"/>
      <c r="B419" s="200"/>
      <c r="C419" s="200"/>
      <c r="D419" s="95"/>
      <c r="E419" s="71"/>
      <c r="F419" s="95"/>
      <c r="G419" s="95"/>
      <c r="H419" s="237"/>
      <c r="I419" s="4"/>
      <c r="J419" s="4"/>
      <c r="K419" s="4"/>
      <c r="L419" s="4"/>
      <c r="M419" s="4"/>
      <c r="N419" s="108"/>
      <c r="O419" s="4"/>
      <c r="P419" s="4"/>
      <c r="Q419" s="4"/>
      <c r="R419" s="4"/>
      <c r="S419" s="4"/>
      <c r="T419" s="4"/>
      <c r="U419" s="4"/>
      <c r="V419" s="238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211"/>
      <c r="AH419" s="4"/>
      <c r="AI419" s="4"/>
      <c r="AJ419" s="4"/>
      <c r="AK419" s="1"/>
      <c r="AL419" s="1"/>
      <c r="AM419" s="1"/>
      <c r="AN419" s="1"/>
      <c r="AO419" s="1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4"/>
      <c r="BY419" s="136"/>
      <c r="BZ419" s="136"/>
      <c r="CA419" s="136"/>
      <c r="CB419" s="136"/>
      <c r="CC419" s="136"/>
      <c r="CD419" s="136"/>
      <c r="CE419" s="136"/>
      <c r="CF419" s="136"/>
      <c r="CG419" s="1"/>
      <c r="CH419" s="1"/>
      <c r="CI419" s="1"/>
      <c r="CJ419" s="1"/>
      <c r="CK419" s="1"/>
      <c r="CL419" s="1"/>
      <c r="DA419" s="379"/>
    </row>
    <row r="420" spans="1:105" ht="20.149999999999999" customHeight="1" x14ac:dyDescent="0.35">
      <c r="A420" s="1"/>
      <c r="B420" s="200" t="s">
        <v>1328</v>
      </c>
      <c r="C420" s="200" t="s">
        <v>1329</v>
      </c>
      <c r="D420" s="95" t="s">
        <v>846</v>
      </c>
      <c r="E420" s="71" t="s">
        <v>61</v>
      </c>
      <c r="F420" s="95" t="s">
        <v>1330</v>
      </c>
      <c r="G420" s="95" t="s">
        <v>174</v>
      </c>
      <c r="H420" s="237"/>
      <c r="I420" s="4"/>
      <c r="J420" s="4"/>
      <c r="K420" s="4"/>
      <c r="L420" s="4"/>
      <c r="M420" s="4"/>
      <c r="N420" s="108"/>
      <c r="O420" s="4"/>
      <c r="P420" s="4"/>
      <c r="Q420" s="4"/>
      <c r="R420" s="4"/>
      <c r="S420" s="4"/>
      <c r="T420" s="4"/>
      <c r="U420" s="4"/>
      <c r="V420" s="238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1"/>
      <c r="AL420" s="1"/>
      <c r="AM420" s="1"/>
      <c r="AN420" s="1"/>
      <c r="AO420" s="1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>
        <v>7.5</v>
      </c>
      <c r="BR420" s="1"/>
      <c r="BS420" s="1"/>
      <c r="BT420" s="1"/>
      <c r="BU420" s="1"/>
      <c r="BV420" s="1"/>
      <c r="BW420" s="1"/>
      <c r="BX420" s="4"/>
      <c r="BY420" s="136"/>
      <c r="BZ420" s="136"/>
      <c r="CA420" s="136"/>
      <c r="CB420" s="136"/>
      <c r="CC420" s="136"/>
      <c r="CD420" s="136"/>
      <c r="CE420" s="136"/>
      <c r="CF420" s="136"/>
      <c r="CG420" s="1"/>
      <c r="CH420" s="1"/>
      <c r="CI420" s="1"/>
      <c r="CJ420" s="1"/>
      <c r="CK420" s="1"/>
      <c r="CL420" s="1"/>
      <c r="DA420" s="379"/>
    </row>
    <row r="421" spans="1:105" ht="20.149999999999999" customHeight="1" x14ac:dyDescent="0.35">
      <c r="A421" s="1"/>
      <c r="B421" s="200" t="s">
        <v>1360</v>
      </c>
      <c r="C421" s="200" t="s">
        <v>1327</v>
      </c>
      <c r="D421" s="95" t="s">
        <v>846</v>
      </c>
      <c r="E421" s="71" t="s">
        <v>36</v>
      </c>
      <c r="F421" s="95" t="s">
        <v>803</v>
      </c>
      <c r="G421" s="95" t="s">
        <v>864</v>
      </c>
      <c r="H421" s="237"/>
      <c r="I421" s="4"/>
      <c r="J421" s="4"/>
      <c r="K421" s="4"/>
      <c r="L421" s="4"/>
      <c r="M421" s="4"/>
      <c r="N421" s="108"/>
      <c r="O421" s="4"/>
      <c r="P421" s="4"/>
      <c r="Q421" s="4"/>
      <c r="R421" s="4"/>
      <c r="S421" s="4"/>
      <c r="T421" s="4"/>
      <c r="U421" s="4"/>
      <c r="V421" s="238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1"/>
      <c r="AL421" s="1"/>
      <c r="AM421" s="1"/>
      <c r="AN421" s="1"/>
      <c r="AO421" s="1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>
        <v>10</v>
      </c>
      <c r="BR421" s="1"/>
      <c r="BS421" s="1"/>
      <c r="BT421" s="1"/>
      <c r="BU421" s="1"/>
      <c r="BV421" s="1"/>
      <c r="BW421" s="1"/>
      <c r="BX421" s="4"/>
      <c r="BY421" s="136"/>
      <c r="BZ421" s="136"/>
      <c r="CA421" s="136"/>
      <c r="CB421" s="136"/>
      <c r="CC421" s="136"/>
      <c r="CD421" s="136"/>
      <c r="CE421" s="136"/>
      <c r="CF421" s="136"/>
      <c r="CG421" s="1"/>
      <c r="CH421" s="1"/>
      <c r="CI421" s="1"/>
      <c r="CJ421" s="1"/>
      <c r="CK421" s="1"/>
      <c r="CL421" s="1"/>
      <c r="DA421" s="379"/>
    </row>
    <row r="422" spans="1:105" ht="20.149999999999999" customHeight="1" x14ac:dyDescent="0.35">
      <c r="A422" s="1"/>
      <c r="B422" s="200"/>
      <c r="C422" s="200"/>
      <c r="D422" s="95"/>
      <c r="E422" s="71"/>
      <c r="F422" s="95"/>
      <c r="G422" s="95"/>
      <c r="H422" s="237"/>
      <c r="I422" s="4"/>
      <c r="J422" s="4"/>
      <c r="K422" s="4"/>
      <c r="L422" s="4"/>
      <c r="M422" s="4"/>
      <c r="N422" s="240"/>
      <c r="O422" s="4"/>
      <c r="P422" s="4"/>
      <c r="Q422" s="4"/>
      <c r="R422" s="4"/>
      <c r="S422" s="4"/>
      <c r="T422" s="4"/>
      <c r="U422" s="4"/>
      <c r="V422" s="238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1"/>
      <c r="AL422" s="1"/>
      <c r="AM422" s="1"/>
      <c r="AN422" s="1"/>
      <c r="AO422" s="1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4"/>
      <c r="BY422" s="136"/>
      <c r="BZ422" s="136"/>
      <c r="CA422" s="136"/>
      <c r="CB422" s="136"/>
      <c r="CC422" s="136"/>
      <c r="CD422" s="136"/>
      <c r="CE422" s="136"/>
      <c r="CF422" s="136"/>
      <c r="CG422" s="1"/>
      <c r="CH422" s="1"/>
      <c r="CI422" s="1"/>
      <c r="CJ422" s="1"/>
      <c r="CK422" s="1"/>
      <c r="CL422" s="1"/>
      <c r="DA422" s="379"/>
    </row>
    <row r="423" spans="1:105" ht="20.149999999999999" customHeight="1" x14ac:dyDescent="0.35">
      <c r="A423" s="1"/>
      <c r="B423" s="200"/>
      <c r="C423" s="200"/>
      <c r="D423" s="95"/>
      <c r="E423" s="71"/>
      <c r="F423" s="95"/>
      <c r="G423" s="95"/>
      <c r="H423" s="237"/>
      <c r="I423" s="4"/>
      <c r="J423" s="4"/>
      <c r="K423" s="4"/>
      <c r="L423" s="4"/>
      <c r="M423" s="4"/>
      <c r="N423" s="108"/>
      <c r="O423" s="4"/>
      <c r="P423" s="4"/>
      <c r="Q423" s="4"/>
      <c r="R423" s="4"/>
      <c r="S423" s="4"/>
      <c r="T423" s="4"/>
      <c r="U423" s="4"/>
      <c r="V423" s="238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1"/>
      <c r="AL423" s="1"/>
      <c r="AM423" s="1"/>
      <c r="AN423" s="1"/>
      <c r="AO423" s="1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4"/>
      <c r="BY423" s="136"/>
      <c r="BZ423" s="136"/>
      <c r="CA423" s="136"/>
      <c r="CB423" s="136"/>
      <c r="CC423" s="136"/>
      <c r="CD423" s="136"/>
      <c r="CE423" s="136"/>
      <c r="CF423" s="136"/>
      <c r="CG423" s="1"/>
      <c r="CH423" s="1"/>
      <c r="CI423" s="1"/>
      <c r="CJ423" s="1"/>
      <c r="CK423" s="1"/>
      <c r="CL423" s="1"/>
      <c r="DA423" s="379"/>
    </row>
    <row r="424" spans="1:105" ht="20.149999999999999" customHeight="1" x14ac:dyDescent="0.35">
      <c r="A424" s="1"/>
      <c r="B424" s="200"/>
      <c r="C424" s="200"/>
      <c r="D424" s="95"/>
      <c r="E424" s="71"/>
      <c r="F424" s="95"/>
      <c r="G424" s="95"/>
      <c r="H424" s="237"/>
      <c r="I424" s="4"/>
      <c r="J424" s="4"/>
      <c r="K424" s="4"/>
      <c r="L424" s="4"/>
      <c r="M424" s="4"/>
      <c r="N424" s="108"/>
      <c r="O424" s="4"/>
      <c r="P424" s="4"/>
      <c r="Q424" s="4"/>
      <c r="R424" s="4"/>
      <c r="S424" s="4"/>
      <c r="T424" s="4"/>
      <c r="U424" s="4"/>
      <c r="V424" s="238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1"/>
      <c r="AL424" s="1"/>
      <c r="AM424" s="1"/>
      <c r="AN424" s="1"/>
      <c r="AO424" s="1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4"/>
      <c r="BY424" s="136"/>
      <c r="BZ424" s="136"/>
      <c r="CA424" s="136"/>
      <c r="CB424" s="136"/>
      <c r="CC424" s="136"/>
      <c r="CD424" s="136"/>
      <c r="CE424" s="136"/>
      <c r="CF424" s="136"/>
      <c r="CG424" s="1"/>
      <c r="CH424" s="1"/>
      <c r="CI424" s="1"/>
      <c r="CJ424" s="1"/>
      <c r="CK424" s="1"/>
      <c r="CL424" s="1"/>
      <c r="DA424" s="379"/>
    </row>
    <row r="425" spans="1:105" ht="20.149999999999999" customHeight="1" x14ac:dyDescent="0.35">
      <c r="A425" s="1"/>
      <c r="B425" s="200"/>
      <c r="C425" s="200"/>
      <c r="D425" s="95"/>
      <c r="E425" s="71"/>
      <c r="F425" s="95"/>
      <c r="G425" s="95"/>
      <c r="H425" s="237"/>
      <c r="I425" s="4"/>
      <c r="J425" s="4"/>
      <c r="K425" s="4"/>
      <c r="L425" s="4"/>
      <c r="M425" s="4"/>
      <c r="N425" s="108"/>
      <c r="O425" s="4"/>
      <c r="P425" s="4"/>
      <c r="Q425" s="4"/>
      <c r="R425" s="4"/>
      <c r="S425" s="4"/>
      <c r="T425" s="4"/>
      <c r="U425" s="4"/>
      <c r="V425" s="238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1"/>
      <c r="AL425" s="1"/>
      <c r="AM425" s="1"/>
      <c r="AN425" s="1"/>
      <c r="AO425" s="1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4"/>
      <c r="BY425" s="136"/>
      <c r="BZ425" s="136"/>
      <c r="CA425" s="136"/>
      <c r="CB425" s="136"/>
      <c r="CC425" s="136"/>
      <c r="CD425" s="136"/>
      <c r="CE425" s="136"/>
      <c r="CF425" s="136"/>
      <c r="CG425" s="1"/>
      <c r="CH425" s="1"/>
      <c r="CI425" s="1"/>
      <c r="CJ425" s="1"/>
      <c r="CK425" s="1"/>
      <c r="CL425" s="1"/>
      <c r="DA425" s="379"/>
    </row>
    <row r="426" spans="1:105" ht="20.149999999999999" customHeight="1" x14ac:dyDescent="0.35">
      <c r="A426" s="1"/>
      <c r="B426" s="200"/>
      <c r="C426" s="200"/>
      <c r="D426" s="95"/>
      <c r="E426" s="71"/>
      <c r="F426" s="95"/>
      <c r="G426" s="95"/>
      <c r="H426" s="237"/>
      <c r="I426" s="4"/>
      <c r="J426" s="4"/>
      <c r="K426" s="4"/>
      <c r="L426" s="4"/>
      <c r="M426" s="4"/>
      <c r="N426" s="108"/>
      <c r="O426" s="4"/>
      <c r="P426" s="4"/>
      <c r="Q426" s="4"/>
      <c r="R426" s="4"/>
      <c r="S426" s="4"/>
      <c r="T426" s="4"/>
      <c r="U426" s="4"/>
      <c r="V426" s="238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1"/>
      <c r="AL426" s="1"/>
      <c r="AM426" s="1"/>
      <c r="AN426" s="1"/>
      <c r="AO426" s="1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4"/>
      <c r="BY426" s="136"/>
      <c r="BZ426" s="136"/>
      <c r="CA426" s="136"/>
      <c r="CB426" s="136"/>
      <c r="CC426" s="136"/>
      <c r="CD426" s="136"/>
      <c r="CE426" s="136"/>
      <c r="CF426" s="136"/>
      <c r="CG426" s="1"/>
      <c r="CH426" s="1"/>
      <c r="CI426" s="1"/>
      <c r="CJ426" s="1"/>
      <c r="CK426" s="1"/>
      <c r="CL426" s="1"/>
      <c r="DA426" s="379"/>
    </row>
    <row r="427" spans="1:105" ht="20.149999999999999" customHeight="1" x14ac:dyDescent="0.35">
      <c r="A427" s="291"/>
      <c r="B427" s="292"/>
      <c r="C427" s="292"/>
      <c r="D427" s="291"/>
      <c r="E427" s="291"/>
      <c r="F427" s="291"/>
      <c r="G427" s="291"/>
      <c r="H427" s="293"/>
      <c r="I427" s="294"/>
      <c r="J427" s="296"/>
      <c r="K427" s="294"/>
      <c r="L427" s="294"/>
      <c r="M427" s="294"/>
      <c r="N427" s="294"/>
      <c r="O427" s="294"/>
      <c r="P427" s="294"/>
      <c r="Q427" s="294"/>
      <c r="R427" s="294"/>
      <c r="S427" s="294"/>
      <c r="T427" s="294"/>
      <c r="U427" s="294"/>
      <c r="V427" s="295"/>
      <c r="W427" s="294"/>
      <c r="X427" s="294"/>
      <c r="Y427" s="294"/>
      <c r="Z427" s="294"/>
      <c r="AA427" s="294"/>
      <c r="AB427" s="294"/>
      <c r="AC427" s="294"/>
      <c r="AD427" s="294"/>
      <c r="AE427" s="296"/>
      <c r="AF427" s="294"/>
      <c r="AG427" s="294"/>
      <c r="AH427" s="294"/>
      <c r="AI427" s="294"/>
      <c r="AJ427" s="296"/>
      <c r="AK427" s="297"/>
      <c r="AL427" s="297"/>
      <c r="AM427" s="297"/>
      <c r="AN427" s="297"/>
      <c r="AO427" s="297"/>
      <c r="AP427" s="294"/>
      <c r="AQ427" s="294"/>
      <c r="AR427" s="294"/>
      <c r="AS427" s="294"/>
      <c r="AT427" s="294"/>
      <c r="AU427" s="294"/>
      <c r="AV427" s="294"/>
      <c r="AW427" s="294"/>
      <c r="AX427" s="294"/>
      <c r="AY427" s="294"/>
      <c r="AZ427" s="294"/>
      <c r="BA427" s="294"/>
      <c r="BB427" s="294"/>
      <c r="BC427" s="294"/>
      <c r="BD427" s="297"/>
      <c r="BE427" s="297"/>
      <c r="BF427" s="297"/>
      <c r="BG427" s="297"/>
      <c r="BH427" s="297"/>
      <c r="BI427" s="297"/>
      <c r="BJ427" s="297"/>
      <c r="BK427" s="297"/>
      <c r="BL427" s="297"/>
      <c r="BM427" s="297"/>
      <c r="BN427" s="297"/>
      <c r="BO427" s="297"/>
      <c r="BP427" s="297"/>
      <c r="BQ427" s="297"/>
      <c r="BR427" s="297"/>
      <c r="BS427" s="297"/>
      <c r="BT427" s="297"/>
      <c r="BU427" s="297"/>
      <c r="BV427" s="297"/>
      <c r="BW427" s="297"/>
      <c r="BX427" s="294"/>
      <c r="BY427" s="302"/>
      <c r="BZ427" s="302"/>
      <c r="CA427" s="214"/>
      <c r="CB427" s="214"/>
      <c r="CC427" s="214"/>
      <c r="CD427" s="214"/>
      <c r="CE427" s="214"/>
      <c r="CF427" s="214"/>
      <c r="DA427" s="379"/>
    </row>
    <row r="428" spans="1:105" ht="20.149999999999999" customHeight="1" x14ac:dyDescent="0.35">
      <c r="A428" s="95"/>
      <c r="B428" s="200" t="s">
        <v>389</v>
      </c>
      <c r="C428" s="200" t="s">
        <v>290</v>
      </c>
      <c r="D428" s="239" t="s">
        <v>1232</v>
      </c>
      <c r="E428" s="95" t="s">
        <v>48</v>
      </c>
      <c r="F428" s="95" t="s">
        <v>291</v>
      </c>
      <c r="G428" s="95" t="s">
        <v>33</v>
      </c>
      <c r="H428" s="237">
        <f>AVERAGE(I428:BC428)</f>
        <v>19</v>
      </c>
      <c r="I428" s="240">
        <v>19</v>
      </c>
      <c r="J428" s="4"/>
      <c r="K428" s="4"/>
      <c r="L428" s="4"/>
      <c r="M428" s="4"/>
      <c r="N428" s="108"/>
      <c r="O428" s="4"/>
      <c r="P428" s="4"/>
      <c r="Q428" s="4"/>
      <c r="R428" s="4"/>
      <c r="S428" s="4"/>
      <c r="T428" s="4"/>
      <c r="U428" s="4"/>
      <c r="V428" s="238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1"/>
      <c r="AL428" s="1"/>
      <c r="AM428" s="1"/>
      <c r="AN428" s="1"/>
      <c r="AO428" s="1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4"/>
      <c r="BY428" s="136"/>
      <c r="BZ428" s="136"/>
      <c r="CA428" s="214"/>
      <c r="CB428" s="214"/>
      <c r="CC428" s="214"/>
      <c r="CD428" s="214"/>
      <c r="CE428" s="214"/>
      <c r="CF428" s="214"/>
      <c r="DA428" s="379"/>
    </row>
    <row r="429" spans="1:105" ht="20.149999999999999" customHeight="1" x14ac:dyDescent="0.35">
      <c r="A429" s="95"/>
      <c r="B429" s="200" t="s">
        <v>390</v>
      </c>
      <c r="C429" s="200" t="s">
        <v>292</v>
      </c>
      <c r="D429" s="239" t="s">
        <v>1232</v>
      </c>
      <c r="E429" s="95" t="s">
        <v>49</v>
      </c>
      <c r="F429" s="95" t="s">
        <v>293</v>
      </c>
      <c r="G429" s="95" t="s">
        <v>33</v>
      </c>
      <c r="H429" s="237">
        <f>AVERAGE(I429:BC429)</f>
        <v>19</v>
      </c>
      <c r="I429" s="240">
        <v>19</v>
      </c>
      <c r="J429" s="4"/>
      <c r="K429" s="4"/>
      <c r="L429" s="4"/>
      <c r="M429" s="4"/>
      <c r="N429" s="108"/>
      <c r="O429" s="4"/>
      <c r="P429" s="4"/>
      <c r="Q429" s="4"/>
      <c r="R429" s="4"/>
      <c r="S429" s="4"/>
      <c r="T429" s="4"/>
      <c r="U429" s="4"/>
      <c r="V429" s="238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1"/>
      <c r="AL429" s="1"/>
      <c r="AM429" s="1"/>
      <c r="AN429" s="1"/>
      <c r="AO429" s="1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4"/>
      <c r="BY429" s="136"/>
      <c r="BZ429" s="136"/>
      <c r="CA429" s="214"/>
      <c r="CB429" s="214"/>
      <c r="CC429" s="214"/>
      <c r="CD429" s="214"/>
      <c r="CE429" s="214"/>
      <c r="CF429" s="214"/>
      <c r="DA429" s="379"/>
    </row>
    <row r="430" spans="1:105" ht="22" customHeight="1" x14ac:dyDescent="0.35">
      <c r="A430" s="1"/>
      <c r="B430" s="200" t="s">
        <v>391</v>
      </c>
      <c r="C430" s="492" t="s">
        <v>676</v>
      </c>
      <c r="D430" s="492"/>
      <c r="E430" s="6" t="s">
        <v>680</v>
      </c>
      <c r="F430" s="6" t="s">
        <v>678</v>
      </c>
      <c r="G430" s="95" t="s">
        <v>679</v>
      </c>
      <c r="H430" s="237">
        <f>AVERAGE(I430:BC430)</f>
        <v>0</v>
      </c>
      <c r="I430" s="4">
        <v>0</v>
      </c>
      <c r="J430" s="4"/>
      <c r="K430" s="4"/>
      <c r="L430" s="4"/>
      <c r="M430" s="4"/>
      <c r="N430" s="108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1"/>
      <c r="AL430" s="1"/>
      <c r="AM430" s="1"/>
      <c r="AN430" s="1"/>
      <c r="AO430" s="1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4"/>
      <c r="BY430" s="136"/>
      <c r="BZ430" s="136"/>
      <c r="CA430" s="214"/>
      <c r="CB430" s="214"/>
      <c r="CC430" s="214"/>
      <c r="CD430" s="214"/>
      <c r="CE430" s="214"/>
      <c r="CF430" s="214"/>
      <c r="DA430" s="379"/>
    </row>
    <row r="431" spans="1:105" ht="20.149999999999999" customHeight="1" x14ac:dyDescent="0.35">
      <c r="A431" s="95"/>
      <c r="B431" s="200" t="s">
        <v>392</v>
      </c>
      <c r="C431" s="492" t="s">
        <v>681</v>
      </c>
      <c r="D431" s="492"/>
      <c r="E431" s="6" t="s">
        <v>682</v>
      </c>
      <c r="F431" s="6" t="s">
        <v>683</v>
      </c>
      <c r="G431" s="95" t="s">
        <v>679</v>
      </c>
      <c r="H431" s="237"/>
      <c r="I431" s="4"/>
      <c r="J431" s="4"/>
      <c r="K431" s="4"/>
      <c r="L431" s="4"/>
      <c r="M431" s="4"/>
      <c r="N431" s="108"/>
      <c r="O431" s="4"/>
      <c r="P431" s="4"/>
      <c r="Q431" s="4"/>
      <c r="R431" s="4"/>
      <c r="S431" s="4"/>
      <c r="T431" s="4"/>
      <c r="U431" s="4"/>
      <c r="V431" s="238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1"/>
      <c r="AL431" s="1"/>
      <c r="AM431" s="1"/>
      <c r="AN431" s="1"/>
      <c r="AO431" s="1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4"/>
      <c r="BY431" s="136"/>
      <c r="BZ431" s="136"/>
      <c r="CA431" s="214"/>
      <c r="CB431" s="214"/>
      <c r="CC431" s="214"/>
      <c r="CD431" s="214"/>
      <c r="CE431" s="214"/>
      <c r="CF431" s="214"/>
      <c r="DA431" s="379"/>
    </row>
    <row r="432" spans="1:105" ht="20.149999999999999" customHeight="1" x14ac:dyDescent="0.35">
      <c r="A432" s="1"/>
      <c r="B432" s="200" t="s">
        <v>397</v>
      </c>
      <c r="C432" s="200" t="s">
        <v>608</v>
      </c>
      <c r="D432" s="245"/>
      <c r="E432" s="6" t="s">
        <v>36</v>
      </c>
      <c r="F432" s="95" t="s">
        <v>96</v>
      </c>
      <c r="G432" s="95" t="s">
        <v>33</v>
      </c>
      <c r="H432" s="237"/>
      <c r="I432" s="4"/>
      <c r="J432" s="4"/>
      <c r="K432" s="4"/>
      <c r="L432" s="4"/>
      <c r="M432" s="4"/>
      <c r="N432" s="108"/>
      <c r="O432" s="4"/>
      <c r="P432" s="4"/>
      <c r="Q432" s="4"/>
      <c r="R432" s="4"/>
      <c r="S432" s="4"/>
      <c r="T432" s="4"/>
      <c r="U432" s="4"/>
      <c r="V432" s="238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1"/>
      <c r="AL432" s="1"/>
      <c r="AM432" s="1"/>
      <c r="AN432" s="1"/>
      <c r="AO432" s="1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4"/>
      <c r="BY432" s="136"/>
      <c r="BZ432" s="136"/>
      <c r="CA432" s="214"/>
      <c r="CB432" s="214"/>
      <c r="CC432" s="214"/>
      <c r="CD432" s="214"/>
      <c r="CE432" s="214"/>
      <c r="CF432" s="214"/>
      <c r="DA432" s="379"/>
    </row>
    <row r="433" spans="1:105" ht="20.149999999999999" customHeight="1" x14ac:dyDescent="0.35">
      <c r="A433" s="1"/>
      <c r="B433" s="200" t="s">
        <v>399</v>
      </c>
      <c r="C433" s="200" t="s">
        <v>328</v>
      </c>
      <c r="D433" s="245"/>
      <c r="E433" s="6" t="s">
        <v>36</v>
      </c>
      <c r="F433" s="95" t="s">
        <v>34</v>
      </c>
      <c r="G433" s="95" t="s">
        <v>42</v>
      </c>
      <c r="H433" s="237"/>
      <c r="I433" s="4"/>
      <c r="J433" s="4"/>
      <c r="K433" s="4"/>
      <c r="L433" s="4"/>
      <c r="M433" s="4"/>
      <c r="N433" s="108"/>
      <c r="O433" s="4"/>
      <c r="P433" s="4"/>
      <c r="Q433" s="4"/>
      <c r="R433" s="4"/>
      <c r="S433" s="4"/>
      <c r="T433" s="4"/>
      <c r="U433" s="4"/>
      <c r="V433" s="238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1"/>
      <c r="AL433" s="1"/>
      <c r="AM433" s="1"/>
      <c r="AN433" s="1"/>
      <c r="AO433" s="1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4"/>
      <c r="BY433" s="136"/>
      <c r="BZ433" s="136"/>
      <c r="CA433" s="214"/>
      <c r="CB433" s="214"/>
      <c r="CC433" s="214"/>
      <c r="CD433" s="214"/>
      <c r="CE433" s="214"/>
      <c r="CF433" s="214"/>
      <c r="DA433" s="379"/>
    </row>
    <row r="434" spans="1:105" ht="20.149999999999999" customHeight="1" x14ac:dyDescent="0.35">
      <c r="A434" s="1"/>
      <c r="B434" s="254"/>
      <c r="C434" s="200" t="s">
        <v>1077</v>
      </c>
      <c r="D434" s="6"/>
      <c r="E434" s="95" t="s">
        <v>36</v>
      </c>
      <c r="F434" s="6" t="s">
        <v>1078</v>
      </c>
      <c r="G434" s="95" t="s">
        <v>864</v>
      </c>
      <c r="H434" s="237"/>
      <c r="I434" s="4"/>
      <c r="J434" s="4"/>
      <c r="K434" s="4"/>
      <c r="L434" s="4"/>
      <c r="M434" s="4"/>
      <c r="N434" s="108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1"/>
      <c r="AL434" s="1"/>
      <c r="AM434" s="1"/>
      <c r="AN434" s="1"/>
      <c r="AO434" s="1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>
        <v>10</v>
      </c>
      <c r="BP434" s="1"/>
      <c r="BQ434" s="1"/>
      <c r="BR434" s="1"/>
      <c r="BS434" s="1"/>
      <c r="BT434" s="1"/>
      <c r="BU434" s="1"/>
      <c r="BV434" s="1"/>
      <c r="BW434" s="1"/>
      <c r="BX434" s="4"/>
      <c r="BY434" s="136"/>
      <c r="BZ434" s="136"/>
      <c r="CA434" s="214"/>
      <c r="CB434" s="214"/>
      <c r="CC434" s="214"/>
      <c r="CD434" s="214"/>
      <c r="CE434" s="214"/>
      <c r="CF434" s="214"/>
      <c r="DA434" s="379"/>
    </row>
    <row r="435" spans="1:105" ht="20.149999999999999" customHeight="1" x14ac:dyDescent="0.35">
      <c r="A435" s="1"/>
      <c r="B435" s="253"/>
      <c r="C435" s="200"/>
      <c r="D435" s="95"/>
      <c r="E435" s="95"/>
      <c r="F435" s="95"/>
      <c r="G435" s="95"/>
      <c r="H435" s="237"/>
      <c r="I435" s="4"/>
      <c r="J435" s="4"/>
      <c r="K435" s="4"/>
      <c r="L435" s="4"/>
      <c r="M435" s="4"/>
      <c r="N435" s="108"/>
      <c r="O435" s="4"/>
      <c r="P435" s="4"/>
      <c r="Q435" s="4"/>
      <c r="R435" s="4"/>
      <c r="S435" s="4"/>
      <c r="T435" s="4"/>
      <c r="U435" s="4"/>
      <c r="V435" s="238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1"/>
      <c r="AL435" s="1"/>
      <c r="AM435" s="1"/>
      <c r="AN435" s="1"/>
      <c r="AO435" s="1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4"/>
      <c r="BY435" s="136"/>
      <c r="BZ435" s="136"/>
      <c r="CA435" s="214"/>
      <c r="CB435" s="214"/>
      <c r="CC435" s="214"/>
      <c r="CD435" s="214"/>
      <c r="CE435" s="214"/>
      <c r="CF435" s="214"/>
      <c r="DA435" s="379"/>
    </row>
    <row r="436" spans="1:105" ht="20.149999999999999" customHeight="1" x14ac:dyDescent="0.35">
      <c r="A436" s="1"/>
      <c r="B436" s="253" t="s">
        <v>1200</v>
      </c>
      <c r="C436" s="200" t="s">
        <v>1163</v>
      </c>
      <c r="D436" s="95"/>
      <c r="E436" s="95"/>
      <c r="F436" s="95" t="s">
        <v>1164</v>
      </c>
      <c r="G436" s="95"/>
      <c r="H436" s="237">
        <f>40/25*1.3</f>
        <v>2.08</v>
      </c>
      <c r="I436" s="4"/>
      <c r="J436" s="4"/>
      <c r="K436" s="4"/>
      <c r="L436" s="4"/>
      <c r="M436" s="4"/>
      <c r="N436" s="108"/>
      <c r="O436" s="4"/>
      <c r="P436" s="4"/>
      <c r="Q436" s="4"/>
      <c r="R436" s="4"/>
      <c r="S436" s="4"/>
      <c r="T436" s="4"/>
      <c r="U436" s="4"/>
      <c r="V436" s="238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1"/>
      <c r="AL436" s="1"/>
      <c r="AM436" s="1"/>
      <c r="AN436" s="1"/>
      <c r="AO436" s="1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>
        <v>0.65</v>
      </c>
      <c r="BP436" s="1"/>
      <c r="BQ436" s="1"/>
      <c r="BR436" s="1"/>
      <c r="BS436" s="1"/>
      <c r="BT436" s="1"/>
      <c r="BU436" s="1"/>
      <c r="BV436" s="1"/>
      <c r="BW436" s="1"/>
      <c r="BX436" s="4"/>
      <c r="BY436" s="136"/>
      <c r="BZ436" s="136"/>
      <c r="CA436" s="214"/>
      <c r="CB436" s="214"/>
      <c r="CC436" s="214"/>
      <c r="CD436" s="214"/>
      <c r="CE436" s="214"/>
      <c r="CF436" s="214"/>
      <c r="DA436" s="379"/>
    </row>
    <row r="437" spans="1:105" ht="20.149999999999999" customHeight="1" x14ac:dyDescent="0.35">
      <c r="A437" s="1"/>
      <c r="B437" s="200"/>
      <c r="C437" s="492"/>
      <c r="D437" s="492"/>
      <c r="E437" s="95"/>
      <c r="F437" s="95"/>
      <c r="G437" s="95"/>
      <c r="H437" s="237"/>
      <c r="I437" s="4"/>
      <c r="J437" s="4"/>
      <c r="K437" s="4"/>
      <c r="L437" s="4"/>
      <c r="M437" s="4"/>
      <c r="N437" s="108"/>
      <c r="O437" s="4"/>
      <c r="P437" s="4"/>
      <c r="Q437" s="4"/>
      <c r="R437" s="4"/>
      <c r="S437" s="4"/>
      <c r="T437" s="4"/>
      <c r="U437" s="4"/>
      <c r="V437" s="238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1"/>
      <c r="AL437" s="1"/>
      <c r="AM437" s="1"/>
      <c r="AN437" s="1"/>
      <c r="AO437" s="1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4"/>
      <c r="BY437" s="136"/>
      <c r="BZ437" s="136"/>
      <c r="CA437" s="214"/>
      <c r="CB437" s="214"/>
      <c r="CC437" s="214"/>
      <c r="CD437" s="214"/>
      <c r="CE437" s="214"/>
      <c r="CF437" s="214"/>
      <c r="DA437" s="379"/>
    </row>
    <row r="438" spans="1:105" ht="20.149999999999999" customHeight="1" x14ac:dyDescent="0.35">
      <c r="A438" s="1"/>
      <c r="B438" s="200"/>
      <c r="C438" s="200"/>
      <c r="D438" s="6"/>
      <c r="E438" s="95"/>
      <c r="F438" s="95"/>
      <c r="G438" s="6"/>
      <c r="H438" s="237"/>
      <c r="I438" s="4"/>
      <c r="J438" s="4"/>
      <c r="K438" s="4"/>
      <c r="L438" s="4"/>
      <c r="M438" s="4"/>
      <c r="N438" s="108"/>
      <c r="O438" s="4"/>
      <c r="P438" s="4"/>
      <c r="Q438" s="4"/>
      <c r="R438" s="4"/>
      <c r="S438" s="4"/>
      <c r="T438" s="4"/>
      <c r="U438" s="4"/>
      <c r="V438" s="238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1"/>
      <c r="AL438" s="1"/>
      <c r="AM438" s="1"/>
      <c r="AN438" s="1"/>
      <c r="AO438" s="1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4"/>
      <c r="BY438" s="136"/>
      <c r="BZ438" s="136"/>
      <c r="CA438" s="214"/>
      <c r="CB438" s="214"/>
      <c r="CC438" s="214"/>
      <c r="CD438" s="214"/>
      <c r="CE438" s="214"/>
      <c r="CF438" s="214"/>
      <c r="DA438" s="379"/>
    </row>
    <row r="439" spans="1:105" ht="20.149999999999999" customHeight="1" x14ac:dyDescent="0.35">
      <c r="A439" s="1"/>
      <c r="B439" s="200"/>
      <c r="C439" s="200"/>
      <c r="D439" s="245"/>
      <c r="E439" s="95"/>
      <c r="F439" s="95"/>
      <c r="G439" s="6"/>
      <c r="H439" s="237"/>
      <c r="I439" s="4"/>
      <c r="J439" s="4"/>
      <c r="K439" s="4"/>
      <c r="L439" s="4"/>
      <c r="M439" s="4"/>
      <c r="N439" s="108"/>
      <c r="O439" s="4"/>
      <c r="P439" s="4"/>
      <c r="Q439" s="4"/>
      <c r="R439" s="154"/>
      <c r="S439" s="4"/>
      <c r="T439" s="4"/>
      <c r="U439" s="4"/>
      <c r="V439" s="238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1"/>
      <c r="AL439" s="1"/>
      <c r="AM439" s="1"/>
      <c r="AN439" s="1"/>
      <c r="AO439" s="1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4"/>
      <c r="BY439" s="136"/>
      <c r="BZ439" s="136"/>
      <c r="CA439" s="214"/>
      <c r="CB439" s="214"/>
      <c r="CC439" s="214"/>
      <c r="CD439" s="214"/>
      <c r="CE439" s="214"/>
      <c r="CF439" s="214"/>
      <c r="DA439" s="379"/>
    </row>
    <row r="440" spans="1:105" ht="20.149999999999999" customHeight="1" x14ac:dyDescent="0.35">
      <c r="A440" s="1"/>
      <c r="B440" s="200" t="s">
        <v>1075</v>
      </c>
      <c r="C440" s="200" t="s">
        <v>1153</v>
      </c>
      <c r="D440" s="245" t="s">
        <v>1229</v>
      </c>
      <c r="E440" s="95" t="s">
        <v>1085</v>
      </c>
      <c r="F440" s="95" t="s">
        <v>1222</v>
      </c>
      <c r="G440" s="6" t="s">
        <v>40</v>
      </c>
      <c r="H440" s="306">
        <f>42/30</f>
        <v>1.4</v>
      </c>
      <c r="I440" s="4"/>
      <c r="J440" s="4"/>
      <c r="K440" s="4"/>
      <c r="L440" s="4"/>
      <c r="M440" s="4"/>
      <c r="N440" s="108"/>
      <c r="O440" s="4"/>
      <c r="P440" s="4"/>
      <c r="Q440" s="4"/>
      <c r="R440" s="154"/>
      <c r="S440" s="4"/>
      <c r="T440" s="4"/>
      <c r="U440" s="4"/>
      <c r="V440" s="238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1"/>
      <c r="AL440" s="1"/>
      <c r="AM440" s="1"/>
      <c r="AN440" s="1"/>
      <c r="AO440" s="1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>
        <v>0.85</v>
      </c>
      <c r="BP440" s="1"/>
      <c r="BQ440" s="1"/>
      <c r="BR440" s="1"/>
      <c r="BS440" s="1"/>
      <c r="BT440" s="1"/>
      <c r="BU440" s="1"/>
      <c r="BV440" s="1"/>
      <c r="BW440" s="1"/>
      <c r="BX440" s="4"/>
      <c r="BY440" s="136"/>
      <c r="BZ440" s="136"/>
      <c r="CA440" s="214"/>
      <c r="CB440" s="214"/>
      <c r="CC440" s="214"/>
      <c r="CD440" s="214"/>
      <c r="CE440" s="214"/>
      <c r="CF440" s="214"/>
      <c r="DA440" s="379"/>
    </row>
    <row r="441" spans="1:105" ht="20.149999999999999" customHeight="1" x14ac:dyDescent="0.35">
      <c r="A441" s="200"/>
      <c r="B441" s="200" t="s">
        <v>1076</v>
      </c>
      <c r="C441" s="200" t="s">
        <v>1203</v>
      </c>
      <c r="D441" s="239" t="s">
        <v>1232</v>
      </c>
      <c r="E441" s="95" t="s">
        <v>36</v>
      </c>
      <c r="F441" s="95" t="s">
        <v>1230</v>
      </c>
      <c r="G441" s="95" t="s">
        <v>42</v>
      </c>
      <c r="H441" s="237"/>
      <c r="I441" s="240">
        <v>1.7</v>
      </c>
      <c r="J441" s="4"/>
      <c r="K441" s="4"/>
      <c r="L441" s="4"/>
      <c r="M441" s="4"/>
      <c r="N441" s="108"/>
      <c r="O441" s="4"/>
      <c r="P441" s="4"/>
      <c r="Q441" s="4"/>
      <c r="R441" s="154"/>
      <c r="S441" s="4"/>
      <c r="T441" s="4"/>
      <c r="U441" s="4"/>
      <c r="V441" s="238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1"/>
      <c r="AL441" s="1"/>
      <c r="AM441" s="1"/>
      <c r="AN441" s="1"/>
      <c r="AO441" s="1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>
        <v>1.65</v>
      </c>
      <c r="BP441" s="1"/>
      <c r="BQ441" s="1"/>
      <c r="BR441" s="1"/>
      <c r="BS441" s="1"/>
      <c r="BT441" s="1"/>
      <c r="BU441" s="1"/>
      <c r="BV441" s="1"/>
      <c r="BW441" s="1"/>
      <c r="BX441" s="4"/>
      <c r="BY441" s="136"/>
      <c r="BZ441" s="136"/>
      <c r="CA441" s="214"/>
      <c r="CB441" s="214"/>
      <c r="CC441" s="214"/>
      <c r="CD441" s="214"/>
      <c r="CE441" s="214"/>
      <c r="CF441" s="214"/>
      <c r="DA441" s="379"/>
    </row>
    <row r="442" spans="1:105" ht="20.149999999999999" customHeight="1" x14ac:dyDescent="0.35">
      <c r="A442" s="200"/>
      <c r="B442" s="200" t="s">
        <v>1201</v>
      </c>
      <c r="C442" s="200" t="s">
        <v>1202</v>
      </c>
      <c r="D442" s="239" t="s">
        <v>846</v>
      </c>
      <c r="E442" s="95" t="s">
        <v>36</v>
      </c>
      <c r="F442" s="95" t="s">
        <v>1222</v>
      </c>
      <c r="G442" s="95" t="s">
        <v>42</v>
      </c>
      <c r="H442" s="237"/>
      <c r="I442" s="240">
        <v>5.5</v>
      </c>
      <c r="J442" s="4"/>
      <c r="K442" s="4"/>
      <c r="L442" s="4"/>
      <c r="M442" s="4"/>
      <c r="N442" s="108"/>
      <c r="O442" s="4"/>
      <c r="P442" s="4"/>
      <c r="Q442" s="4"/>
      <c r="R442" s="154"/>
      <c r="S442" s="4"/>
      <c r="T442" s="4"/>
      <c r="U442" s="4"/>
      <c r="V442" s="238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1"/>
      <c r="AL442" s="1"/>
      <c r="AM442" s="1"/>
      <c r="AN442" s="1"/>
      <c r="AO442" s="1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>
        <v>5</v>
      </c>
      <c r="BP442" s="1"/>
      <c r="BQ442" s="1"/>
      <c r="BR442" s="1"/>
      <c r="BS442" s="1"/>
      <c r="BT442" s="1"/>
      <c r="BU442" s="1"/>
      <c r="BV442" s="1"/>
      <c r="BW442" s="1"/>
      <c r="BX442" s="4"/>
      <c r="BY442" s="136"/>
      <c r="BZ442" s="136"/>
      <c r="CA442" s="214"/>
      <c r="CB442" s="214"/>
      <c r="CC442" s="214"/>
      <c r="CD442" s="214"/>
      <c r="CE442" s="214"/>
      <c r="CF442" s="214"/>
      <c r="DA442" s="379"/>
    </row>
    <row r="443" spans="1:105" ht="20.149999999999999" customHeight="1" x14ac:dyDescent="0.35">
      <c r="A443" s="1"/>
      <c r="B443" s="200" t="s">
        <v>1216</v>
      </c>
      <c r="C443" s="200" t="s">
        <v>1217</v>
      </c>
      <c r="D443" s="245"/>
      <c r="E443" s="95"/>
      <c r="F443" s="95" t="s">
        <v>1080</v>
      </c>
      <c r="G443" s="6" t="s">
        <v>864</v>
      </c>
      <c r="H443" s="237"/>
      <c r="I443" s="4"/>
      <c r="J443" s="4"/>
      <c r="K443" s="4"/>
      <c r="L443" s="4"/>
      <c r="M443" s="4"/>
      <c r="N443" s="108"/>
      <c r="O443" s="4"/>
      <c r="P443" s="4"/>
      <c r="Q443" s="4"/>
      <c r="R443" s="154"/>
      <c r="S443" s="4"/>
      <c r="T443" s="4"/>
      <c r="U443" s="4"/>
      <c r="V443" s="238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1"/>
      <c r="AL443" s="1"/>
      <c r="AM443" s="1"/>
      <c r="AN443" s="1"/>
      <c r="AO443" s="1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>
        <v>1.7</v>
      </c>
      <c r="BP443" s="1"/>
      <c r="BQ443" s="1"/>
      <c r="BR443" s="1"/>
      <c r="BS443" s="1"/>
      <c r="BT443" s="1"/>
      <c r="BU443" s="1"/>
      <c r="BV443" s="1"/>
      <c r="BW443" s="1"/>
      <c r="BX443" s="4"/>
      <c r="BY443" s="136"/>
      <c r="BZ443" s="136"/>
      <c r="CA443" s="214"/>
      <c r="CB443" s="214"/>
      <c r="CC443" s="214"/>
      <c r="CD443" s="214"/>
      <c r="CE443" s="214"/>
      <c r="CF443" s="214"/>
      <c r="DA443" s="379"/>
    </row>
    <row r="444" spans="1:105" ht="20.149999999999999" customHeight="1" x14ac:dyDescent="0.35">
      <c r="A444" s="1"/>
      <c r="B444" s="200" t="s">
        <v>1219</v>
      </c>
      <c r="C444" s="200" t="s">
        <v>297</v>
      </c>
      <c r="D444" s="95" t="s">
        <v>1101</v>
      </c>
      <c r="E444" s="95" t="s">
        <v>36</v>
      </c>
      <c r="F444" s="95" t="s">
        <v>1220</v>
      </c>
      <c r="G444" s="95" t="s">
        <v>51</v>
      </c>
      <c r="H444" s="237"/>
      <c r="I444" s="4"/>
      <c r="J444" s="4"/>
      <c r="K444" s="4"/>
      <c r="L444" s="4"/>
      <c r="M444" s="4"/>
      <c r="N444" s="108"/>
      <c r="O444" s="4"/>
      <c r="P444" s="4"/>
      <c r="Q444" s="4"/>
      <c r="R444" s="154"/>
      <c r="S444" s="4"/>
      <c r="T444" s="4"/>
      <c r="U444" s="4"/>
      <c r="V444" s="238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1"/>
      <c r="AL444" s="1"/>
      <c r="AM444" s="1">
        <v>1.8</v>
      </c>
      <c r="AN444" s="1"/>
      <c r="AO444" s="1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>
        <v>1.3</v>
      </c>
      <c r="BP444" s="1"/>
      <c r="BQ444" s="1"/>
      <c r="BR444" s="1"/>
      <c r="BS444" s="1"/>
      <c r="BT444" s="1"/>
      <c r="BU444" s="1"/>
      <c r="BV444" s="1"/>
      <c r="BW444" s="1"/>
      <c r="BX444" s="4"/>
      <c r="BY444" s="136"/>
      <c r="BZ444" s="136"/>
      <c r="CA444" s="214"/>
      <c r="CB444" s="214"/>
      <c r="CC444" s="214"/>
      <c r="CD444" s="214"/>
      <c r="CE444" s="214"/>
      <c r="CF444" s="214"/>
      <c r="DA444" s="379"/>
    </row>
    <row r="445" spans="1:105" ht="20.149999999999999" customHeight="1" x14ac:dyDescent="0.35">
      <c r="A445" s="1"/>
      <c r="B445" s="200"/>
      <c r="C445" s="200"/>
      <c r="D445" s="245"/>
      <c r="E445" s="95"/>
      <c r="F445" s="95"/>
      <c r="G445" s="6"/>
      <c r="H445" s="237"/>
      <c r="I445" s="4"/>
      <c r="J445" s="4"/>
      <c r="K445" s="4"/>
      <c r="L445" s="4"/>
      <c r="M445" s="4"/>
      <c r="N445" s="108"/>
      <c r="O445" s="4"/>
      <c r="P445" s="4"/>
      <c r="Q445" s="4"/>
      <c r="R445" s="154"/>
      <c r="S445" s="4"/>
      <c r="T445" s="4"/>
      <c r="U445" s="4"/>
      <c r="V445" s="238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1"/>
      <c r="AL445" s="1"/>
      <c r="AM445" s="1"/>
      <c r="AN445" s="1"/>
      <c r="AO445" s="1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4"/>
      <c r="BY445" s="136"/>
      <c r="BZ445" s="136"/>
      <c r="CA445" s="214"/>
      <c r="CB445" s="214"/>
      <c r="CC445" s="214"/>
      <c r="CD445" s="214"/>
      <c r="CE445" s="214"/>
      <c r="CF445" s="214"/>
      <c r="DA445" s="379"/>
    </row>
    <row r="446" spans="1:105" ht="20.149999999999999" customHeight="1" x14ac:dyDescent="0.35">
      <c r="A446" s="1"/>
      <c r="B446" s="200"/>
      <c r="C446" s="200"/>
      <c r="D446" s="245"/>
      <c r="E446" s="6"/>
      <c r="F446" s="95"/>
      <c r="G446" s="95"/>
      <c r="H446" s="237"/>
      <c r="I446" s="4"/>
      <c r="J446" s="4"/>
      <c r="K446" s="4"/>
      <c r="L446" s="4"/>
      <c r="M446" s="4"/>
      <c r="N446" s="108"/>
      <c r="O446" s="4"/>
      <c r="P446" s="4"/>
      <c r="Q446" s="4"/>
      <c r="R446" s="4"/>
      <c r="S446" s="4"/>
      <c r="T446" s="4"/>
      <c r="U446" s="4"/>
      <c r="V446" s="238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1"/>
      <c r="AL446" s="1"/>
      <c r="AM446" s="1"/>
      <c r="AN446" s="1"/>
      <c r="AO446" s="1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4"/>
      <c r="BY446" s="136"/>
      <c r="BZ446" s="136"/>
      <c r="CA446" s="214"/>
      <c r="CB446" s="214"/>
      <c r="CC446" s="214"/>
      <c r="CD446" s="214"/>
      <c r="CE446" s="214"/>
      <c r="CF446" s="214"/>
      <c r="DA446" s="379"/>
    </row>
    <row r="447" spans="1:105" ht="20.149999999999999" customHeight="1" x14ac:dyDescent="0.35">
      <c r="A447" s="232"/>
      <c r="B447" s="254"/>
      <c r="C447" s="254"/>
      <c r="D447" s="232"/>
      <c r="E447" s="232"/>
      <c r="F447" s="232"/>
      <c r="G447" s="232"/>
      <c r="H447" s="237"/>
      <c r="I447" s="67"/>
      <c r="J447" s="4"/>
      <c r="K447" s="67"/>
      <c r="L447" s="67"/>
      <c r="M447" s="67"/>
      <c r="N447" s="108"/>
      <c r="O447" s="67"/>
      <c r="P447" s="67"/>
      <c r="Q447" s="67"/>
      <c r="R447" s="67"/>
      <c r="S447" s="67"/>
      <c r="T447" s="67"/>
      <c r="U447" s="67"/>
      <c r="V447" s="244"/>
      <c r="W447" s="67"/>
      <c r="X447" s="67"/>
      <c r="Y447" s="67"/>
      <c r="Z447" s="67"/>
      <c r="AA447" s="67"/>
      <c r="AB447" s="67"/>
      <c r="AC447" s="67"/>
      <c r="AD447" s="67"/>
      <c r="AE447" s="4"/>
      <c r="AF447" s="67"/>
      <c r="AG447" s="67"/>
      <c r="AH447" s="67"/>
      <c r="AI447" s="67"/>
      <c r="AJ447" s="4"/>
      <c r="AK447" s="1"/>
      <c r="AL447" s="1"/>
      <c r="AM447" s="1"/>
      <c r="AN447" s="1"/>
      <c r="AO447" s="1"/>
      <c r="AP447" s="67"/>
      <c r="AQ447" s="67"/>
      <c r="AR447" s="67"/>
      <c r="AS447" s="67"/>
      <c r="AT447" s="67"/>
      <c r="AU447" s="67"/>
      <c r="AV447" s="67"/>
      <c r="AW447" s="67"/>
      <c r="AX447" s="67"/>
      <c r="AY447" s="67"/>
      <c r="AZ447" s="67"/>
      <c r="BA447" s="67"/>
      <c r="BB447" s="67"/>
      <c r="BC447" s="67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67"/>
      <c r="BY447" s="136"/>
      <c r="BZ447" s="136"/>
      <c r="CA447" s="214"/>
      <c r="CB447" s="214"/>
      <c r="CC447" s="214"/>
      <c r="CD447" s="214"/>
      <c r="CE447" s="214"/>
      <c r="CF447" s="214"/>
      <c r="DA447" s="379"/>
    </row>
    <row r="448" spans="1:105" ht="20.149999999999999" customHeight="1" x14ac:dyDescent="0.35">
      <c r="A448" s="1"/>
      <c r="B448" s="200" t="s">
        <v>733</v>
      </c>
      <c r="C448" s="200" t="s">
        <v>463</v>
      </c>
      <c r="D448" s="6"/>
      <c r="E448" s="95"/>
      <c r="F448" s="95" t="s">
        <v>734</v>
      </c>
      <c r="G448" s="6" t="s">
        <v>35</v>
      </c>
      <c r="H448" s="237"/>
      <c r="I448" s="4"/>
      <c r="J448" s="4"/>
      <c r="K448" s="4"/>
      <c r="L448" s="4"/>
      <c r="M448" s="4"/>
      <c r="N448" s="108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1"/>
      <c r="AL448" s="1"/>
      <c r="AM448" s="1"/>
      <c r="AN448" s="1"/>
      <c r="AO448" s="1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4"/>
      <c r="BY448" s="136"/>
      <c r="BZ448" s="136"/>
      <c r="CA448" s="214"/>
      <c r="CB448" s="214"/>
      <c r="CC448" s="214"/>
      <c r="CD448" s="214"/>
      <c r="CE448" s="214"/>
      <c r="CF448" s="214"/>
      <c r="DA448" s="379"/>
    </row>
    <row r="449" spans="1:105" ht="20.149999999999999" customHeight="1" x14ac:dyDescent="0.35">
      <c r="A449" s="1"/>
      <c r="B449" s="200" t="s">
        <v>736</v>
      </c>
      <c r="C449" s="200" t="s">
        <v>464</v>
      </c>
      <c r="D449" s="6"/>
      <c r="E449" s="6" t="s">
        <v>735</v>
      </c>
      <c r="F449" s="6" t="s">
        <v>136</v>
      </c>
      <c r="G449" s="6" t="s">
        <v>37</v>
      </c>
      <c r="H449" s="248">
        <f>60*1.3</f>
        <v>78</v>
      </c>
      <c r="I449" s="4"/>
      <c r="J449" s="4"/>
      <c r="K449" s="4"/>
      <c r="L449" s="4">
        <v>80</v>
      </c>
      <c r="M449" s="4">
        <v>80</v>
      </c>
      <c r="N449" s="108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1"/>
      <c r="AL449" s="1"/>
      <c r="AM449" s="1"/>
      <c r="AN449" s="1"/>
      <c r="AO449" s="1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4"/>
      <c r="BY449" s="136"/>
      <c r="BZ449" s="136"/>
      <c r="CA449" s="214"/>
      <c r="CB449" s="214"/>
      <c r="CC449" s="214"/>
      <c r="CD449" s="214"/>
      <c r="CE449" s="214"/>
      <c r="CF449" s="214"/>
      <c r="DA449" s="379"/>
    </row>
    <row r="450" spans="1:105" ht="20.149999999999999" customHeight="1" x14ac:dyDescent="0.35">
      <c r="A450" s="1"/>
      <c r="B450" s="200" t="s">
        <v>744</v>
      </c>
      <c r="C450" s="492" t="s">
        <v>300</v>
      </c>
      <c r="D450" s="492"/>
      <c r="E450" s="6" t="s">
        <v>821</v>
      </c>
      <c r="F450" s="95" t="s">
        <v>838</v>
      </c>
      <c r="G450" s="95" t="s">
        <v>42</v>
      </c>
      <c r="H450" s="237">
        <f>23.5*1.3</f>
        <v>30.55</v>
      </c>
      <c r="I450" s="4"/>
      <c r="J450" s="4"/>
      <c r="K450" s="4">
        <v>30</v>
      </c>
      <c r="L450" s="4"/>
      <c r="M450" s="4"/>
      <c r="N450" s="108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>
        <v>30</v>
      </c>
      <c r="AH450" s="4"/>
      <c r="AI450" s="4"/>
      <c r="AJ450" s="4"/>
      <c r="AK450" s="1"/>
      <c r="AL450" s="1"/>
      <c r="AM450" s="1"/>
      <c r="AN450" s="1"/>
      <c r="AO450" s="1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4"/>
      <c r="BY450" s="136"/>
      <c r="BZ450" s="136"/>
      <c r="CA450" s="214"/>
      <c r="CB450" s="214"/>
      <c r="CC450" s="214"/>
      <c r="CD450" s="214"/>
      <c r="CE450" s="214"/>
      <c r="CF450" s="214"/>
      <c r="DA450" s="379"/>
    </row>
    <row r="451" spans="1:105" ht="20.149999999999999" customHeight="1" x14ac:dyDescent="0.35">
      <c r="A451" s="1"/>
      <c r="B451" s="200" t="s">
        <v>745</v>
      </c>
      <c r="C451" s="492" t="s">
        <v>286</v>
      </c>
      <c r="D451" s="492"/>
      <c r="E451" s="95" t="s">
        <v>867</v>
      </c>
      <c r="F451" s="95" t="s">
        <v>868</v>
      </c>
      <c r="G451" s="6" t="s">
        <v>38</v>
      </c>
      <c r="H451" s="237"/>
      <c r="I451" s="4"/>
      <c r="J451" s="4"/>
      <c r="K451" s="4"/>
      <c r="L451" s="4"/>
      <c r="M451" s="4"/>
      <c r="N451" s="108"/>
      <c r="O451" s="4"/>
      <c r="P451" s="4"/>
      <c r="Q451" s="4"/>
      <c r="R451" s="4"/>
      <c r="S451" s="4"/>
      <c r="T451" s="4"/>
      <c r="U451" s="4"/>
      <c r="V451" s="4"/>
      <c r="W451" s="4">
        <v>86</v>
      </c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1"/>
      <c r="AL451" s="1"/>
      <c r="AM451" s="1"/>
      <c r="AN451" s="1"/>
      <c r="AO451" s="1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1"/>
      <c r="BE451" s="1"/>
      <c r="BF451" s="1"/>
      <c r="BG451" s="1">
        <v>96</v>
      </c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4"/>
      <c r="BY451" s="136"/>
      <c r="BZ451" s="136"/>
      <c r="CA451" s="214"/>
      <c r="CB451" s="214"/>
      <c r="CC451" s="214"/>
      <c r="CD451" s="214"/>
      <c r="CE451" s="214"/>
      <c r="CF451" s="214"/>
      <c r="DA451" s="379"/>
    </row>
    <row r="452" spans="1:105" ht="20.149999999999999" customHeight="1" x14ac:dyDescent="0.35">
      <c r="A452" s="1"/>
      <c r="B452" s="200" t="s">
        <v>748</v>
      </c>
      <c r="C452" s="200" t="s">
        <v>1084</v>
      </c>
      <c r="D452" s="95"/>
      <c r="E452" s="6" t="s">
        <v>1085</v>
      </c>
      <c r="F452" s="6" t="s">
        <v>1086</v>
      </c>
      <c r="G452" s="6"/>
      <c r="H452" s="237"/>
      <c r="I452" s="4"/>
      <c r="J452" s="4"/>
      <c r="K452" s="4"/>
      <c r="L452" s="4"/>
      <c r="M452" s="4"/>
      <c r="N452" s="108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1"/>
      <c r="AL452" s="1"/>
      <c r="AM452" s="1"/>
      <c r="AN452" s="1"/>
      <c r="AO452" s="1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>
        <v>0.9</v>
      </c>
      <c r="BP452" s="1"/>
      <c r="BQ452" s="1"/>
      <c r="BR452" s="1"/>
      <c r="BS452" s="1"/>
      <c r="BT452" s="1"/>
      <c r="BU452" s="1"/>
      <c r="BV452" s="1"/>
      <c r="BW452" s="1"/>
      <c r="BX452" s="4"/>
      <c r="BY452" s="136"/>
      <c r="BZ452" s="136"/>
      <c r="CA452" s="214"/>
      <c r="CB452" s="214"/>
      <c r="CC452" s="214"/>
      <c r="CD452" s="214"/>
      <c r="CE452" s="214"/>
      <c r="CF452" s="214"/>
      <c r="DA452" s="379"/>
    </row>
    <row r="453" spans="1:105" ht="20.149999999999999" customHeight="1" x14ac:dyDescent="0.35">
      <c r="A453" s="1"/>
      <c r="B453" s="200" t="s">
        <v>1382</v>
      </c>
      <c r="C453" s="492" t="s">
        <v>1383</v>
      </c>
      <c r="D453" s="492"/>
      <c r="E453" s="95" t="s">
        <v>36</v>
      </c>
      <c r="F453" s="95" t="s">
        <v>1384</v>
      </c>
      <c r="G453" s="95" t="s">
        <v>1345</v>
      </c>
      <c r="H453" s="237"/>
      <c r="I453" s="4"/>
      <c r="J453" s="4"/>
      <c r="K453" s="4"/>
      <c r="L453" s="4"/>
      <c r="M453" s="4"/>
      <c r="N453" s="108"/>
      <c r="O453" s="4"/>
      <c r="P453" s="4"/>
      <c r="Q453" s="4"/>
      <c r="R453" s="4">
        <v>6.5</v>
      </c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1"/>
      <c r="AL453" s="1"/>
      <c r="AM453" s="1"/>
      <c r="AN453" s="1"/>
      <c r="AO453" s="1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4"/>
      <c r="BY453" s="136"/>
      <c r="BZ453" s="136"/>
      <c r="CA453" s="214"/>
      <c r="CB453" s="214"/>
      <c r="CC453" s="214"/>
      <c r="CD453" s="214"/>
      <c r="CE453" s="214"/>
      <c r="CF453" s="214"/>
      <c r="DA453" s="379"/>
    </row>
    <row r="454" spans="1:105" ht="20.149999999999999" customHeight="1" x14ac:dyDescent="0.35">
      <c r="A454" s="1"/>
      <c r="B454" s="200" t="s">
        <v>1099</v>
      </c>
      <c r="C454" s="200" t="s">
        <v>1100</v>
      </c>
      <c r="D454" s="95" t="s">
        <v>1101</v>
      </c>
      <c r="E454" s="6" t="s">
        <v>36</v>
      </c>
      <c r="F454" s="6" t="s">
        <v>268</v>
      </c>
      <c r="G454" s="6"/>
      <c r="H454" s="237"/>
      <c r="I454" s="4"/>
      <c r="J454" s="4"/>
      <c r="K454" s="4"/>
      <c r="L454" s="4"/>
      <c r="M454" s="4"/>
      <c r="N454" s="108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>
        <v>22</v>
      </c>
      <c r="AC454" s="4"/>
      <c r="AD454" s="4"/>
      <c r="AE454" s="4"/>
      <c r="AF454" s="4"/>
      <c r="AG454" s="4"/>
      <c r="AH454" s="4"/>
      <c r="AI454" s="4"/>
      <c r="AJ454" s="4"/>
      <c r="AK454" s="1"/>
      <c r="AL454" s="1"/>
      <c r="AM454" s="1"/>
      <c r="AN454" s="1"/>
      <c r="AO454" s="1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4"/>
      <c r="BY454" s="136"/>
      <c r="BZ454" s="136"/>
      <c r="CA454" s="214"/>
      <c r="CB454" s="214"/>
      <c r="CC454" s="214"/>
      <c r="CD454" s="214"/>
      <c r="CE454" s="214"/>
      <c r="CF454" s="214"/>
      <c r="DA454" s="379"/>
    </row>
    <row r="455" spans="1:105" ht="20.149999999999999" customHeight="1" x14ac:dyDescent="0.35">
      <c r="A455" s="200"/>
      <c r="B455" s="200" t="s">
        <v>1108</v>
      </c>
      <c r="C455" s="200" t="s">
        <v>1130</v>
      </c>
      <c r="D455" s="239" t="s">
        <v>1101</v>
      </c>
      <c r="E455" s="95" t="s">
        <v>546</v>
      </c>
      <c r="F455" s="95" t="s">
        <v>1152</v>
      </c>
      <c r="G455" s="95"/>
      <c r="H455" s="237"/>
      <c r="I455" s="240">
        <v>2</v>
      </c>
      <c r="J455" s="4"/>
      <c r="K455" s="4"/>
      <c r="L455" s="4"/>
      <c r="M455" s="4"/>
      <c r="N455" s="108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1"/>
      <c r="AL455" s="1"/>
      <c r="AM455" s="1"/>
      <c r="AN455" s="1"/>
      <c r="AO455" s="1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>
        <v>1.8</v>
      </c>
      <c r="BP455" s="1"/>
      <c r="BQ455" s="1"/>
      <c r="BR455" s="1"/>
      <c r="BS455" s="136"/>
      <c r="BT455" s="136"/>
      <c r="BU455" s="136"/>
      <c r="BV455" s="136"/>
      <c r="BW455" s="136"/>
      <c r="BX455" s="4"/>
      <c r="BY455" s="136"/>
      <c r="BZ455" s="136"/>
      <c r="CA455" s="214"/>
      <c r="CB455" s="214"/>
      <c r="CC455" s="214"/>
      <c r="CD455" s="214"/>
      <c r="CE455" s="214"/>
      <c r="CF455" s="214"/>
      <c r="CG455" s="214"/>
      <c r="CH455" s="214"/>
      <c r="CI455" s="214"/>
      <c r="CJ455" s="214"/>
      <c r="CK455" s="214"/>
      <c r="CL455" s="214"/>
      <c r="CM455" s="214"/>
      <c r="CN455" s="214"/>
      <c r="DA455" s="379"/>
    </row>
    <row r="456" spans="1:105" ht="20.149999999999999" customHeight="1" x14ac:dyDescent="0.35">
      <c r="A456" s="1"/>
      <c r="B456" s="200" t="s">
        <v>1109</v>
      </c>
      <c r="C456" s="200" t="s">
        <v>1131</v>
      </c>
      <c r="D456" s="95"/>
      <c r="E456" s="6"/>
      <c r="F456" s="6" t="s">
        <v>1124</v>
      </c>
      <c r="G456" s="6"/>
      <c r="H456" s="237"/>
      <c r="I456" s="4"/>
      <c r="J456" s="4"/>
      <c r="K456" s="4"/>
      <c r="L456" s="4"/>
      <c r="M456" s="4"/>
      <c r="N456" s="108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1"/>
      <c r="AL456" s="1"/>
      <c r="AM456" s="1"/>
      <c r="AN456" s="1"/>
      <c r="AO456" s="1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>
        <v>2.2999999999999998</v>
      </c>
      <c r="BP456" s="1"/>
      <c r="BQ456" s="1"/>
      <c r="BR456" s="1"/>
      <c r="BS456" s="136"/>
      <c r="BT456" s="136"/>
      <c r="BU456" s="136"/>
      <c r="BV456" s="136"/>
      <c r="BW456" s="136"/>
      <c r="BX456" s="4"/>
      <c r="BY456" s="136"/>
      <c r="BZ456" s="136"/>
      <c r="CA456" s="214"/>
      <c r="CB456" s="214"/>
      <c r="CC456" s="214"/>
      <c r="CD456" s="214"/>
      <c r="CE456" s="214"/>
      <c r="CF456" s="214"/>
      <c r="CG456" s="214"/>
      <c r="CH456" s="214"/>
      <c r="CI456" s="214"/>
      <c r="CJ456" s="214"/>
      <c r="CK456" s="214"/>
      <c r="CL456" s="214"/>
      <c r="CM456" s="214"/>
      <c r="CN456" s="214"/>
      <c r="DA456" s="379"/>
    </row>
    <row r="457" spans="1:105" ht="20.149999999999999" customHeight="1" x14ac:dyDescent="0.35">
      <c r="A457" s="1"/>
      <c r="B457" s="200" t="s">
        <v>1110</v>
      </c>
      <c r="C457" s="200" t="s">
        <v>1132</v>
      </c>
      <c r="D457" s="95"/>
      <c r="E457" s="6"/>
      <c r="F457" s="6" t="s">
        <v>1124</v>
      </c>
      <c r="G457" s="6"/>
      <c r="H457" s="237"/>
      <c r="I457" s="4"/>
      <c r="J457" s="4"/>
      <c r="K457" s="4"/>
      <c r="L457" s="4"/>
      <c r="M457" s="4"/>
      <c r="N457" s="108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1"/>
      <c r="AL457" s="1"/>
      <c r="AM457" s="1"/>
      <c r="AN457" s="1"/>
      <c r="AO457" s="1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>
        <v>1.5</v>
      </c>
      <c r="BP457" s="1"/>
      <c r="BQ457" s="1"/>
      <c r="BR457" s="1"/>
      <c r="BS457" s="136"/>
      <c r="BT457" s="136"/>
      <c r="BU457" s="136"/>
      <c r="BV457" s="136"/>
      <c r="BW457" s="136"/>
      <c r="BX457" s="4"/>
      <c r="BY457" s="136"/>
      <c r="BZ457" s="136"/>
      <c r="CA457" s="214"/>
      <c r="CB457" s="214"/>
      <c r="CC457" s="214"/>
      <c r="CD457" s="214"/>
      <c r="CE457" s="214"/>
      <c r="CF457" s="214"/>
      <c r="CG457" s="214"/>
      <c r="CH457" s="214"/>
      <c r="CI457" s="214"/>
      <c r="CJ457" s="214"/>
      <c r="CK457" s="214"/>
      <c r="CL457" s="214"/>
      <c r="CM457" s="214"/>
      <c r="CN457" s="214"/>
      <c r="DA457" s="379"/>
    </row>
    <row r="458" spans="1:105" ht="20.149999999999999" customHeight="1" x14ac:dyDescent="0.35">
      <c r="A458" s="1"/>
      <c r="B458" s="200" t="s">
        <v>1111</v>
      </c>
      <c r="C458" s="200" t="s">
        <v>1133</v>
      </c>
      <c r="D458" s="95"/>
      <c r="E458" s="6"/>
      <c r="F458" s="6" t="s">
        <v>1120</v>
      </c>
      <c r="G458" s="6"/>
      <c r="H458" s="237"/>
      <c r="I458" s="4"/>
      <c r="J458" s="4"/>
      <c r="K458" s="4"/>
      <c r="L458" s="4"/>
      <c r="M458" s="4"/>
      <c r="N458" s="108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1"/>
      <c r="AL458" s="1"/>
      <c r="AM458" s="1"/>
      <c r="AN458" s="1"/>
      <c r="AO458" s="1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>
        <v>29</v>
      </c>
      <c r="BP458" s="1"/>
      <c r="BQ458" s="1"/>
      <c r="BR458" s="1"/>
      <c r="BS458" s="136"/>
      <c r="BT458" s="136"/>
      <c r="BU458" s="136"/>
      <c r="BV458" s="136"/>
      <c r="BW458" s="136"/>
      <c r="BX458" s="4"/>
      <c r="BY458" s="136"/>
      <c r="BZ458" s="136"/>
      <c r="CA458" s="214"/>
      <c r="CB458" s="214"/>
      <c r="CC458" s="214"/>
      <c r="CD458" s="214"/>
      <c r="CE458" s="214"/>
      <c r="CF458" s="214"/>
      <c r="CG458" s="214"/>
      <c r="CH458" s="214"/>
      <c r="CI458" s="214"/>
      <c r="CJ458" s="214"/>
      <c r="CK458" s="214"/>
      <c r="CL458" s="214"/>
      <c r="CM458" s="214"/>
      <c r="CN458" s="214"/>
      <c r="DA458" s="379"/>
    </row>
    <row r="459" spans="1:105" ht="20.149999999999999" customHeight="1" x14ac:dyDescent="0.35">
      <c r="A459" s="1"/>
      <c r="B459" s="200" t="s">
        <v>1112</v>
      </c>
      <c r="C459" s="200" t="s">
        <v>1134</v>
      </c>
      <c r="D459" s="95"/>
      <c r="E459" s="6"/>
      <c r="F459" s="6" t="s">
        <v>1123</v>
      </c>
      <c r="G459" s="6"/>
      <c r="H459" s="237"/>
      <c r="I459" s="4"/>
      <c r="J459" s="4"/>
      <c r="K459" s="4"/>
      <c r="L459" s="4"/>
      <c r="M459" s="4"/>
      <c r="N459" s="108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1"/>
      <c r="AL459" s="1"/>
      <c r="AM459" s="1"/>
      <c r="AN459" s="1"/>
      <c r="AO459" s="1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>
        <v>23.5</v>
      </c>
      <c r="BP459" s="1"/>
      <c r="BQ459" s="1"/>
      <c r="BR459" s="1"/>
      <c r="BS459" s="136"/>
      <c r="BT459" s="136"/>
      <c r="BU459" s="136"/>
      <c r="BV459" s="136"/>
      <c r="BW459" s="136"/>
      <c r="BX459" s="4"/>
      <c r="BY459" s="136"/>
      <c r="BZ459" s="136"/>
      <c r="CA459" s="214"/>
      <c r="CB459" s="214"/>
      <c r="CC459" s="214"/>
      <c r="CD459" s="214"/>
      <c r="CE459" s="214"/>
      <c r="CF459" s="214"/>
      <c r="CG459" s="214"/>
      <c r="CH459" s="214"/>
      <c r="CI459" s="214"/>
      <c r="CJ459" s="214"/>
      <c r="CK459" s="214"/>
      <c r="CL459" s="214"/>
      <c r="CM459" s="214"/>
      <c r="CN459" s="214"/>
      <c r="DA459" s="379"/>
    </row>
    <row r="460" spans="1:105" ht="20.149999999999999" customHeight="1" x14ac:dyDescent="0.35">
      <c r="A460" s="1"/>
      <c r="B460" s="200" t="s">
        <v>1113</v>
      </c>
      <c r="C460" s="200" t="s">
        <v>1135</v>
      </c>
      <c r="D460" s="95"/>
      <c r="E460" s="6" t="s">
        <v>1118</v>
      </c>
      <c r="F460" s="6" t="s">
        <v>1122</v>
      </c>
      <c r="G460" s="6"/>
      <c r="H460" s="237"/>
      <c r="I460" s="4"/>
      <c r="J460" s="4"/>
      <c r="K460" s="4"/>
      <c r="L460" s="4"/>
      <c r="M460" s="4"/>
      <c r="N460" s="108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1"/>
      <c r="AL460" s="1"/>
      <c r="AM460" s="1"/>
      <c r="AN460" s="1"/>
      <c r="AO460" s="1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>
        <f>30*1.2</f>
        <v>36</v>
      </c>
      <c r="BP460" s="1"/>
      <c r="BQ460" s="1"/>
      <c r="BR460" s="1"/>
      <c r="BS460" s="136"/>
      <c r="BT460" s="136"/>
      <c r="BU460" s="136"/>
      <c r="BV460" s="136"/>
      <c r="BW460" s="136"/>
      <c r="BX460" s="4"/>
      <c r="BY460" s="136"/>
      <c r="BZ460" s="136"/>
      <c r="CA460" s="214"/>
      <c r="CB460" s="214"/>
      <c r="CC460" s="214"/>
      <c r="CD460" s="214"/>
      <c r="CE460" s="214"/>
      <c r="CF460" s="214"/>
      <c r="CG460" s="214"/>
      <c r="CH460" s="214"/>
      <c r="CI460" s="214"/>
      <c r="CJ460" s="214"/>
      <c r="CK460" s="214"/>
      <c r="CL460" s="214"/>
      <c r="CM460" s="214"/>
      <c r="CN460" s="214"/>
      <c r="DA460" s="379"/>
    </row>
    <row r="461" spans="1:105" ht="20.149999999999999" customHeight="1" x14ac:dyDescent="0.35">
      <c r="A461" s="1"/>
      <c r="B461" s="200" t="s">
        <v>1114</v>
      </c>
      <c r="C461" s="200" t="s">
        <v>1136</v>
      </c>
      <c r="D461" s="95"/>
      <c r="E461" s="6"/>
      <c r="F461" s="6" t="s">
        <v>1119</v>
      </c>
      <c r="G461" s="6"/>
      <c r="H461" s="237"/>
      <c r="I461" s="4"/>
      <c r="J461" s="4"/>
      <c r="K461" s="4"/>
      <c r="L461" s="4"/>
      <c r="M461" s="4"/>
      <c r="N461" s="108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1"/>
      <c r="AL461" s="1"/>
      <c r="AM461" s="1"/>
      <c r="AN461" s="1"/>
      <c r="AO461" s="1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>
        <v>22.5</v>
      </c>
      <c r="BP461" s="1"/>
      <c r="BQ461" s="1"/>
      <c r="BR461" s="1"/>
      <c r="BS461" s="136"/>
      <c r="BT461" s="136"/>
      <c r="BU461" s="136"/>
      <c r="BV461" s="136"/>
      <c r="BW461" s="136"/>
      <c r="BX461" s="4"/>
      <c r="BY461" s="136"/>
      <c r="BZ461" s="136"/>
      <c r="CA461" s="214"/>
      <c r="CB461" s="214"/>
      <c r="CC461" s="214"/>
      <c r="CD461" s="214"/>
      <c r="CE461" s="214"/>
      <c r="CF461" s="214"/>
      <c r="CG461" s="214"/>
      <c r="CH461" s="214"/>
      <c r="CI461" s="214"/>
      <c r="CJ461" s="214"/>
      <c r="CK461" s="214"/>
      <c r="CL461" s="214"/>
      <c r="CM461" s="214"/>
      <c r="CN461" s="214"/>
      <c r="DA461" s="379"/>
    </row>
    <row r="462" spans="1:105" ht="20.149999999999999" customHeight="1" x14ac:dyDescent="0.35">
      <c r="A462" s="1"/>
      <c r="B462" s="200" t="s">
        <v>1115</v>
      </c>
      <c r="C462" s="200" t="s">
        <v>1137</v>
      </c>
      <c r="D462" s="95"/>
      <c r="E462" s="6"/>
      <c r="F462" s="6" t="s">
        <v>1120</v>
      </c>
      <c r="G462" s="6"/>
      <c r="H462" s="237"/>
      <c r="I462" s="4"/>
      <c r="J462" s="4"/>
      <c r="K462" s="4"/>
      <c r="L462" s="4"/>
      <c r="M462" s="4"/>
      <c r="N462" s="108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1"/>
      <c r="AL462" s="1"/>
      <c r="AM462" s="1"/>
      <c r="AN462" s="1"/>
      <c r="AO462" s="1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>
        <v>21.5</v>
      </c>
      <c r="BP462" s="1"/>
      <c r="BQ462" s="1"/>
      <c r="BR462" s="1"/>
      <c r="BS462" s="136"/>
      <c r="BT462" s="136"/>
      <c r="BU462" s="136"/>
      <c r="BV462" s="136"/>
      <c r="BW462" s="136"/>
      <c r="BX462" s="4"/>
      <c r="BY462" s="136"/>
      <c r="BZ462" s="136"/>
      <c r="CA462" s="214"/>
      <c r="CB462" s="214"/>
      <c r="CC462" s="214"/>
      <c r="CD462" s="214"/>
      <c r="CE462" s="214"/>
      <c r="CF462" s="214"/>
      <c r="CG462" s="214"/>
      <c r="CH462" s="214"/>
      <c r="CI462" s="214"/>
      <c r="CJ462" s="214"/>
      <c r="CK462" s="214"/>
      <c r="CL462" s="214"/>
      <c r="CM462" s="214"/>
      <c r="CN462" s="214"/>
      <c r="DA462" s="379"/>
    </row>
    <row r="463" spans="1:105" ht="20.149999999999999" customHeight="1" x14ac:dyDescent="0.35">
      <c r="A463" s="1"/>
      <c r="B463" s="200" t="s">
        <v>1116</v>
      </c>
      <c r="C463" s="200" t="s">
        <v>1138</v>
      </c>
      <c r="D463" s="95"/>
      <c r="E463" s="6"/>
      <c r="F463" s="6" t="s">
        <v>1121</v>
      </c>
      <c r="G463" s="6"/>
      <c r="H463" s="237"/>
      <c r="I463" s="4"/>
      <c r="J463" s="4"/>
      <c r="K463" s="4"/>
      <c r="L463" s="4"/>
      <c r="M463" s="4"/>
      <c r="N463" s="108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1"/>
      <c r="AL463" s="1"/>
      <c r="AM463" s="1"/>
      <c r="AN463" s="1"/>
      <c r="AO463" s="1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>
        <v>50</v>
      </c>
      <c r="BP463" s="1"/>
      <c r="BQ463" s="1"/>
      <c r="BR463" s="1"/>
      <c r="BS463" s="136"/>
      <c r="BT463" s="136"/>
      <c r="BU463" s="136"/>
      <c r="BV463" s="136"/>
      <c r="BW463" s="136"/>
      <c r="BX463" s="4"/>
      <c r="BY463" s="136"/>
      <c r="BZ463" s="136"/>
      <c r="CA463" s="214"/>
      <c r="CB463" s="214"/>
      <c r="CC463" s="214"/>
      <c r="CD463" s="214"/>
      <c r="CE463" s="214"/>
      <c r="CF463" s="214"/>
      <c r="CG463" s="214"/>
      <c r="CH463" s="214"/>
      <c r="CI463" s="214"/>
      <c r="CJ463" s="214"/>
      <c r="CK463" s="214"/>
      <c r="CL463" s="214"/>
      <c r="CM463" s="214"/>
      <c r="CN463" s="214"/>
      <c r="DA463" s="379"/>
    </row>
    <row r="464" spans="1:105" ht="20.149999999999999" customHeight="1" x14ac:dyDescent="0.35">
      <c r="A464" s="1"/>
      <c r="B464" s="200" t="s">
        <v>1140</v>
      </c>
      <c r="C464" s="1" t="s">
        <v>1139</v>
      </c>
      <c r="D464" s="95"/>
      <c r="E464" s="6"/>
      <c r="F464" s="6" t="s">
        <v>1141</v>
      </c>
      <c r="G464" s="6"/>
      <c r="H464" s="237"/>
      <c r="I464" s="4"/>
      <c r="J464" s="4"/>
      <c r="K464" s="4"/>
      <c r="L464" s="4"/>
      <c r="M464" s="4"/>
      <c r="N464" s="108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1"/>
      <c r="AL464" s="1"/>
      <c r="AM464" s="1"/>
      <c r="AN464" s="1"/>
      <c r="AO464" s="1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>
        <v>58</v>
      </c>
      <c r="BP464" s="1"/>
      <c r="BQ464" s="1"/>
      <c r="BR464" s="1"/>
      <c r="BS464" s="1"/>
      <c r="BT464" s="1"/>
      <c r="BU464" s="1"/>
      <c r="BV464" s="1"/>
      <c r="BW464" s="1"/>
      <c r="BX464" s="4"/>
      <c r="BY464" s="136"/>
      <c r="BZ464" s="136"/>
      <c r="CA464" s="214"/>
      <c r="CB464" s="214"/>
      <c r="CC464" s="214"/>
      <c r="CD464" s="214"/>
      <c r="CE464" s="214"/>
      <c r="CF464" s="214"/>
      <c r="DA464" s="379"/>
    </row>
    <row r="465" spans="1:105" ht="20.149999999999999" customHeight="1" x14ac:dyDescent="0.35">
      <c r="A465" s="1"/>
      <c r="B465" s="200" t="s">
        <v>1142</v>
      </c>
      <c r="C465" s="200" t="s">
        <v>1146</v>
      </c>
      <c r="D465" s="95"/>
      <c r="E465" s="6"/>
      <c r="F465" s="6" t="s">
        <v>1145</v>
      </c>
      <c r="G465" s="6"/>
      <c r="H465" s="237"/>
      <c r="I465" s="4"/>
      <c r="J465" s="4"/>
      <c r="K465" s="4"/>
      <c r="L465" s="4"/>
      <c r="M465" s="4"/>
      <c r="N465" s="108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1"/>
      <c r="AL465" s="1"/>
      <c r="AM465" s="1"/>
      <c r="AN465" s="1"/>
      <c r="AO465" s="1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>
        <v>1.2</v>
      </c>
      <c r="BP465" s="1"/>
      <c r="BQ465" s="1"/>
      <c r="BR465" s="1"/>
      <c r="BS465" s="1"/>
      <c r="BT465" s="1"/>
      <c r="BU465" s="1"/>
      <c r="BV465" s="1"/>
      <c r="BW465" s="1"/>
      <c r="BX465" s="4"/>
      <c r="BY465" s="136"/>
      <c r="BZ465" s="136"/>
      <c r="CA465" s="214"/>
      <c r="CB465" s="214"/>
      <c r="CC465" s="214"/>
      <c r="CD465" s="214"/>
      <c r="CE465" s="214"/>
      <c r="CF465" s="214"/>
      <c r="DA465" s="379"/>
    </row>
    <row r="466" spans="1:105" ht="20.149999999999999" customHeight="1" x14ac:dyDescent="0.35">
      <c r="A466" s="1"/>
      <c r="B466" s="200" t="s">
        <v>1143</v>
      </c>
      <c r="C466" s="200" t="s">
        <v>1147</v>
      </c>
      <c r="D466" s="95"/>
      <c r="E466" s="6"/>
      <c r="F466" s="6" t="s">
        <v>1082</v>
      </c>
      <c r="G466" s="6"/>
      <c r="H466" s="237"/>
      <c r="I466" s="4"/>
      <c r="J466" s="4"/>
      <c r="K466" s="4"/>
      <c r="L466" s="4"/>
      <c r="M466" s="4"/>
      <c r="N466" s="108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1"/>
      <c r="AL466" s="1"/>
      <c r="AM466" s="1"/>
      <c r="AN466" s="1"/>
      <c r="AO466" s="1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>
        <v>1.4</v>
      </c>
      <c r="BP466" s="1"/>
      <c r="BQ466" s="1"/>
      <c r="BR466" s="1"/>
      <c r="BS466" s="1"/>
      <c r="BT466" s="1"/>
      <c r="BU466" s="1"/>
      <c r="BV466" s="1"/>
      <c r="BW466" s="1"/>
      <c r="BX466" s="4"/>
      <c r="BY466" s="136"/>
      <c r="BZ466" s="136"/>
      <c r="CA466" s="214"/>
      <c r="CB466" s="214"/>
      <c r="CC466" s="214"/>
      <c r="CD466" s="214"/>
      <c r="CE466" s="214"/>
      <c r="CF466" s="214"/>
      <c r="DA466" s="379"/>
    </row>
    <row r="467" spans="1:105" ht="20.149999999999999" customHeight="1" x14ac:dyDescent="0.35">
      <c r="A467" s="1"/>
      <c r="B467" s="200" t="s">
        <v>1144</v>
      </c>
      <c r="C467" s="200" t="s">
        <v>1148</v>
      </c>
      <c r="D467" s="95"/>
      <c r="E467" s="6"/>
      <c r="F467" s="6" t="s">
        <v>1082</v>
      </c>
      <c r="G467" s="6"/>
      <c r="H467" s="237"/>
      <c r="I467" s="4"/>
      <c r="J467" s="4"/>
      <c r="K467" s="4"/>
      <c r="L467" s="4"/>
      <c r="M467" s="4"/>
      <c r="N467" s="108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1"/>
      <c r="AL467" s="1"/>
      <c r="AM467" s="1"/>
      <c r="AN467" s="1"/>
      <c r="AO467" s="1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>
        <v>1.2</v>
      </c>
      <c r="BP467" s="1"/>
      <c r="BQ467" s="1"/>
      <c r="BR467" s="1"/>
      <c r="BS467" s="1"/>
      <c r="BT467" s="1"/>
      <c r="BU467" s="1"/>
      <c r="BV467" s="1"/>
      <c r="BW467" s="1"/>
      <c r="BX467" s="4"/>
      <c r="BY467" s="136"/>
      <c r="BZ467" s="136"/>
      <c r="CA467" s="214"/>
      <c r="CB467" s="214"/>
      <c r="CC467" s="214"/>
      <c r="CD467" s="214"/>
      <c r="CE467" s="214"/>
      <c r="CF467" s="214"/>
      <c r="DA467" s="379"/>
    </row>
    <row r="468" spans="1:105" ht="20.149999999999999" customHeight="1" x14ac:dyDescent="0.35">
      <c r="A468" s="1"/>
      <c r="B468" s="200" t="s">
        <v>1204</v>
      </c>
      <c r="C468" s="200" t="s">
        <v>1136</v>
      </c>
      <c r="D468" s="95"/>
      <c r="E468" s="6"/>
      <c r="F468" s="6" t="s">
        <v>1391</v>
      </c>
      <c r="G468" s="6" t="s">
        <v>51</v>
      </c>
      <c r="H468" s="237"/>
      <c r="I468" s="4"/>
      <c r="J468" s="4"/>
      <c r="K468" s="4"/>
      <c r="L468" s="4"/>
      <c r="M468" s="4"/>
      <c r="N468" s="108"/>
      <c r="O468" s="4"/>
      <c r="P468" s="4">
        <v>3</v>
      </c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1"/>
      <c r="AL468" s="1"/>
      <c r="AM468" s="1"/>
      <c r="AN468" s="1"/>
      <c r="AO468" s="1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>
        <v>3</v>
      </c>
      <c r="BP468" s="1"/>
      <c r="BQ468" s="1"/>
      <c r="BR468" s="1"/>
      <c r="BS468" s="1"/>
      <c r="BT468" s="1"/>
      <c r="BU468" s="1"/>
      <c r="BV468" s="1"/>
      <c r="BW468" s="1"/>
      <c r="BX468" s="4"/>
      <c r="BY468" s="136"/>
      <c r="BZ468" s="136"/>
      <c r="CA468" s="214"/>
      <c r="CB468" s="214"/>
      <c r="CC468" s="214"/>
      <c r="CD468" s="214"/>
      <c r="CE468" s="214"/>
      <c r="CF468" s="214"/>
      <c r="DA468" s="379"/>
    </row>
    <row r="469" spans="1:105" ht="20.149999999999999" customHeight="1" x14ac:dyDescent="0.35">
      <c r="A469" s="1"/>
      <c r="B469" s="200" t="s">
        <v>1212</v>
      </c>
      <c r="C469" s="200" t="s">
        <v>1213</v>
      </c>
      <c r="D469" s="95"/>
      <c r="E469" s="6"/>
      <c r="F469" s="6" t="s">
        <v>1214</v>
      </c>
      <c r="G469" s="6" t="s">
        <v>174</v>
      </c>
      <c r="H469" s="237"/>
      <c r="I469" s="4"/>
      <c r="J469" s="4"/>
      <c r="K469" s="4"/>
      <c r="L469" s="4"/>
      <c r="M469" s="4"/>
      <c r="N469" s="108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1"/>
      <c r="AL469" s="1"/>
      <c r="AM469" s="1"/>
      <c r="AN469" s="1"/>
      <c r="AO469" s="1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>
        <f>14</f>
        <v>14</v>
      </c>
      <c r="BP469" s="1"/>
      <c r="BQ469" s="1"/>
      <c r="BR469" s="1"/>
      <c r="BS469" s="1"/>
      <c r="BT469" s="1"/>
      <c r="BU469" s="1"/>
      <c r="BV469" s="1"/>
      <c r="BW469" s="1"/>
      <c r="BX469" s="4"/>
      <c r="BY469" s="136"/>
      <c r="BZ469" s="136"/>
      <c r="CA469" s="214"/>
      <c r="CB469" s="214"/>
      <c r="CC469" s="214"/>
      <c r="CD469" s="214"/>
      <c r="CE469" s="214"/>
      <c r="CF469" s="214"/>
      <c r="DA469" s="379"/>
    </row>
    <row r="470" spans="1:105" ht="20.149999999999999" customHeight="1" x14ac:dyDescent="0.35">
      <c r="A470" s="200"/>
      <c r="B470" s="200" t="s">
        <v>1421</v>
      </c>
      <c r="C470" s="200" t="s">
        <v>1422</v>
      </c>
      <c r="D470" s="239" t="s">
        <v>1229</v>
      </c>
      <c r="E470" s="95" t="s">
        <v>36</v>
      </c>
      <c r="F470" s="95" t="s">
        <v>34</v>
      </c>
      <c r="G470" s="95" t="s">
        <v>40</v>
      </c>
      <c r="H470" s="237"/>
      <c r="I470" s="240"/>
      <c r="J470" s="4"/>
      <c r="K470" s="4"/>
      <c r="L470" s="4"/>
      <c r="M470" s="4"/>
      <c r="N470" s="108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1"/>
      <c r="AL470" s="1"/>
      <c r="AM470" s="1"/>
      <c r="AN470" s="1"/>
      <c r="AO470" s="1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36">
        <v>20</v>
      </c>
      <c r="BV470" s="1"/>
      <c r="BW470" s="1"/>
      <c r="BX470" s="4"/>
      <c r="BY470" s="136"/>
      <c r="BZ470" s="136"/>
      <c r="CA470" s="214"/>
      <c r="CB470" s="214"/>
      <c r="CC470" s="214"/>
      <c r="CD470" s="214"/>
      <c r="CE470" s="214"/>
      <c r="CF470" s="214"/>
      <c r="DA470" s="379"/>
    </row>
    <row r="471" spans="1:105" ht="20.149999999999999" customHeight="1" x14ac:dyDescent="0.35">
      <c r="A471" s="95"/>
      <c r="B471" s="200" t="s">
        <v>1337</v>
      </c>
      <c r="C471" s="200" t="s">
        <v>321</v>
      </c>
      <c r="D471" s="239" t="s">
        <v>1229</v>
      </c>
      <c r="E471" s="95" t="s">
        <v>1151</v>
      </c>
      <c r="F471" s="95" t="s">
        <v>1413</v>
      </c>
      <c r="G471" s="95" t="s">
        <v>864</v>
      </c>
      <c r="H471" s="237"/>
      <c r="I471" s="240">
        <v>2.2000000000000002</v>
      </c>
      <c r="J471" s="4">
        <v>2.2000000000000002</v>
      </c>
      <c r="K471" s="4"/>
      <c r="L471" s="4">
        <v>2.4</v>
      </c>
      <c r="M471" s="4"/>
      <c r="N471" s="108"/>
      <c r="O471" s="4"/>
      <c r="P471" s="4"/>
      <c r="Q471" s="4"/>
      <c r="R471" s="4"/>
      <c r="S471" s="4"/>
      <c r="T471" s="4"/>
      <c r="U471" s="4"/>
      <c r="V471" s="238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1"/>
      <c r="AL471" s="1"/>
      <c r="AM471" s="1"/>
      <c r="AN471" s="1"/>
      <c r="AO471" s="1">
        <v>2.2000000000000002</v>
      </c>
      <c r="AP471" s="4">
        <v>2.2000000000000002</v>
      </c>
      <c r="AQ471" s="4">
        <v>2.2000000000000002</v>
      </c>
      <c r="AR471" s="4">
        <v>2.2000000000000002</v>
      </c>
      <c r="AS471" s="4">
        <v>2.2000000000000002</v>
      </c>
      <c r="AT471" s="4">
        <v>2.2000000000000002</v>
      </c>
      <c r="AU471" s="4">
        <v>2.2000000000000002</v>
      </c>
      <c r="AV471" s="4">
        <v>2.2000000000000002</v>
      </c>
      <c r="AW471" s="4">
        <v>2.2000000000000002</v>
      </c>
      <c r="AX471" s="4">
        <v>2.2000000000000002</v>
      </c>
      <c r="AY471" s="4">
        <v>2.2000000000000002</v>
      </c>
      <c r="AZ471" s="4">
        <v>2.2000000000000002</v>
      </c>
      <c r="BA471" s="4">
        <v>2.2000000000000002</v>
      </c>
      <c r="BB471" s="4">
        <v>2.2000000000000002</v>
      </c>
      <c r="BC471" s="4">
        <v>2.2000000000000002</v>
      </c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>
        <v>2.2000000000000002</v>
      </c>
      <c r="BP471" s="1"/>
      <c r="BQ471" s="1"/>
      <c r="BR471" s="1"/>
      <c r="BS471" s="1"/>
      <c r="BT471" s="1"/>
      <c r="BU471" s="1"/>
      <c r="BV471" s="1"/>
      <c r="BW471" s="1"/>
      <c r="BX471" s="4">
        <v>2.2000000000000002</v>
      </c>
      <c r="BY471" s="136"/>
      <c r="BZ471" s="136"/>
      <c r="CA471" s="214"/>
      <c r="CB471" s="214"/>
      <c r="CC471" s="214"/>
      <c r="CD471" s="214"/>
      <c r="CE471" s="214"/>
      <c r="CF471" s="214"/>
      <c r="DA471" s="379"/>
    </row>
    <row r="472" spans="1:105" ht="20.149999999999999" customHeight="1" x14ac:dyDescent="0.35">
      <c r="A472" s="95"/>
      <c r="B472" s="200" t="s">
        <v>1349</v>
      </c>
      <c r="C472" s="492" t="s">
        <v>1350</v>
      </c>
      <c r="D472" s="492"/>
      <c r="E472" s="95" t="s">
        <v>36</v>
      </c>
      <c r="F472" s="95" t="s">
        <v>135</v>
      </c>
      <c r="G472" s="95" t="s">
        <v>42</v>
      </c>
      <c r="H472" s="237">
        <v>28</v>
      </c>
      <c r="I472" s="4"/>
      <c r="J472" s="4"/>
      <c r="K472" s="4"/>
      <c r="L472" s="4"/>
      <c r="M472" s="4"/>
      <c r="N472" s="108"/>
      <c r="O472" s="4"/>
      <c r="P472" s="4"/>
      <c r="Q472" s="4"/>
      <c r="R472" s="4"/>
      <c r="S472" s="4"/>
      <c r="T472" s="4"/>
      <c r="U472" s="4"/>
      <c r="V472" s="238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1"/>
      <c r="AL472" s="1"/>
      <c r="AM472" s="1"/>
      <c r="AN472" s="1"/>
      <c r="AO472" s="1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>
        <v>33.6</v>
      </c>
      <c r="BU472" s="1"/>
      <c r="BV472" s="1"/>
      <c r="BW472" s="1"/>
      <c r="BX472" s="4"/>
      <c r="BY472" s="136"/>
      <c r="BZ472" s="136"/>
      <c r="CA472" s="214"/>
      <c r="CB472" s="214"/>
      <c r="CC472" s="214"/>
      <c r="CD472" s="214"/>
      <c r="CE472" s="214"/>
      <c r="CF472" s="214"/>
      <c r="DA472" s="379"/>
    </row>
    <row r="473" spans="1:105" ht="20.149999999999999" customHeight="1" x14ac:dyDescent="0.35">
      <c r="A473" s="95"/>
      <c r="B473" s="200" t="s">
        <v>469</v>
      </c>
      <c r="C473" s="200" t="s">
        <v>312</v>
      </c>
      <c r="D473" s="245"/>
      <c r="E473" s="95" t="s">
        <v>643</v>
      </c>
      <c r="F473" s="95" t="s">
        <v>663</v>
      </c>
      <c r="G473" s="95" t="s">
        <v>35</v>
      </c>
      <c r="H473" s="237">
        <v>120</v>
      </c>
      <c r="I473" s="4"/>
      <c r="J473" s="4">
        <f>12*10</f>
        <v>120</v>
      </c>
      <c r="K473" s="4"/>
      <c r="L473" s="4"/>
      <c r="M473" s="4"/>
      <c r="N473" s="108"/>
      <c r="O473" s="4"/>
      <c r="P473" s="4"/>
      <c r="Q473" s="4"/>
      <c r="R473" s="4">
        <v>120</v>
      </c>
      <c r="S473" s="4"/>
      <c r="T473" s="4"/>
      <c r="U473" s="4"/>
      <c r="V473" s="238"/>
      <c r="W473" s="4"/>
      <c r="X473" s="4"/>
      <c r="Y473" s="4"/>
      <c r="Z473" s="4"/>
      <c r="AA473" s="4"/>
      <c r="AB473" s="4"/>
      <c r="AC473" s="4">
        <v>120</v>
      </c>
      <c r="AD473" s="4"/>
      <c r="AE473" s="4"/>
      <c r="AF473" s="4"/>
      <c r="AG473" s="4"/>
      <c r="AH473" s="4"/>
      <c r="AI473" s="4"/>
      <c r="AJ473" s="4"/>
      <c r="AK473" s="1"/>
      <c r="AL473" s="1"/>
      <c r="AM473" s="1"/>
      <c r="AN473" s="1"/>
      <c r="AO473" s="1"/>
      <c r="AP473" s="4">
        <f>12*10</f>
        <v>120</v>
      </c>
      <c r="AQ473" s="4">
        <f>12*10</f>
        <v>120</v>
      </c>
      <c r="AR473" s="4">
        <f>12*10</f>
        <v>120</v>
      </c>
      <c r="AS473" s="4"/>
      <c r="AT473" s="4">
        <f t="shared" ref="AT473:BA473" si="1">12*10</f>
        <v>120</v>
      </c>
      <c r="AU473" s="4">
        <f t="shared" si="1"/>
        <v>120</v>
      </c>
      <c r="AV473" s="4">
        <f t="shared" si="1"/>
        <v>120</v>
      </c>
      <c r="AW473" s="4">
        <f t="shared" si="1"/>
        <v>120</v>
      </c>
      <c r="AX473" s="4">
        <f t="shared" si="1"/>
        <v>120</v>
      </c>
      <c r="AY473" s="4">
        <f t="shared" si="1"/>
        <v>120</v>
      </c>
      <c r="AZ473" s="4">
        <f t="shared" si="1"/>
        <v>120</v>
      </c>
      <c r="BA473" s="4">
        <f t="shared" si="1"/>
        <v>120</v>
      </c>
      <c r="BB473" s="4"/>
      <c r="BC473" s="4">
        <f>12*10</f>
        <v>120</v>
      </c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4">
        <f>12*10</f>
        <v>120</v>
      </c>
      <c r="BY473" s="136"/>
      <c r="BZ473" s="136"/>
      <c r="CA473" s="214"/>
      <c r="CB473" s="214"/>
      <c r="CC473" s="214"/>
      <c r="CD473" s="214"/>
      <c r="CE473" s="214"/>
      <c r="CF473" s="214"/>
      <c r="DA473" s="379"/>
    </row>
    <row r="474" spans="1:105" ht="20.149999999999999" customHeight="1" x14ac:dyDescent="0.35">
      <c r="A474" s="1"/>
      <c r="B474" s="200" t="s">
        <v>519</v>
      </c>
      <c r="C474" s="200" t="s">
        <v>1437</v>
      </c>
      <c r="D474" s="95" t="s">
        <v>1177</v>
      </c>
      <c r="E474" s="6" t="s">
        <v>36</v>
      </c>
      <c r="F474" s="95" t="s">
        <v>529</v>
      </c>
      <c r="G474" s="95" t="s">
        <v>43</v>
      </c>
      <c r="H474" s="237">
        <v>11</v>
      </c>
      <c r="I474" s="4"/>
      <c r="J474" s="4"/>
      <c r="K474" s="4"/>
      <c r="L474" s="4"/>
      <c r="M474" s="4"/>
      <c r="N474" s="108"/>
      <c r="O474" s="4"/>
      <c r="P474" s="4"/>
      <c r="Q474" s="4"/>
      <c r="R474" s="4"/>
      <c r="S474" s="4"/>
      <c r="T474" s="4"/>
      <c r="U474" s="4"/>
      <c r="V474" s="238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1"/>
      <c r="AL474" s="1"/>
      <c r="AM474" s="1"/>
      <c r="AN474" s="1"/>
      <c r="AO474" s="1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>
        <v>18</v>
      </c>
      <c r="BV474" s="1"/>
      <c r="BW474" s="1"/>
      <c r="BX474" s="4"/>
      <c r="BY474" s="136"/>
      <c r="BZ474" s="136"/>
      <c r="CA474" s="214"/>
      <c r="CB474" s="214"/>
      <c r="CC474" s="214"/>
      <c r="CD474" s="214"/>
      <c r="CE474" s="214"/>
      <c r="CF474" s="214"/>
      <c r="DA474" s="379"/>
    </row>
    <row r="475" spans="1:105" ht="20.149999999999999" customHeight="1" x14ac:dyDescent="0.35">
      <c r="A475" s="200"/>
      <c r="B475" s="200"/>
      <c r="C475" s="200"/>
      <c r="D475" s="239"/>
      <c r="E475" s="95"/>
      <c r="F475" s="95"/>
      <c r="G475" s="95"/>
      <c r="H475" s="251"/>
      <c r="I475" s="240"/>
      <c r="J475" s="4"/>
      <c r="K475" s="67"/>
      <c r="L475" s="67"/>
      <c r="M475" s="67"/>
      <c r="N475" s="108"/>
      <c r="O475" s="67"/>
      <c r="P475" s="67"/>
      <c r="Q475" s="67"/>
      <c r="R475" s="67"/>
      <c r="S475" s="67"/>
      <c r="T475" s="67"/>
      <c r="U475" s="67"/>
      <c r="V475" s="67"/>
      <c r="W475" s="67"/>
      <c r="X475" s="67"/>
      <c r="Y475" s="67"/>
      <c r="Z475" s="67"/>
      <c r="AA475" s="67"/>
      <c r="AB475" s="67"/>
      <c r="AC475" s="67"/>
      <c r="AD475" s="67"/>
      <c r="AE475" s="67"/>
      <c r="AF475" s="4"/>
      <c r="AG475" s="4"/>
      <c r="AH475" s="4"/>
      <c r="AI475" s="4"/>
      <c r="AJ475" s="4"/>
      <c r="AK475" s="1"/>
      <c r="AL475" s="1"/>
      <c r="AM475" s="1"/>
      <c r="AN475" s="1"/>
      <c r="AO475" s="1"/>
      <c r="AP475" s="67"/>
      <c r="AQ475" s="67"/>
      <c r="AR475" s="67"/>
      <c r="AS475" s="67"/>
      <c r="AT475" s="67"/>
      <c r="AU475" s="67"/>
      <c r="AV475" s="67"/>
      <c r="AW475" s="67"/>
      <c r="AX475" s="67"/>
      <c r="AY475" s="67"/>
      <c r="AZ475" s="67"/>
      <c r="BA475" s="67"/>
      <c r="BB475" s="67"/>
      <c r="BC475" s="67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67"/>
      <c r="BY475" s="136"/>
      <c r="BZ475" s="136"/>
      <c r="CA475" s="214"/>
      <c r="CB475" s="214"/>
      <c r="CC475" s="214"/>
      <c r="CD475" s="214"/>
      <c r="CE475" s="214"/>
      <c r="CF475" s="214"/>
      <c r="DA475" s="379"/>
    </row>
    <row r="476" spans="1:105" ht="20.149999999999999" customHeight="1" x14ac:dyDescent="0.35">
      <c r="A476" s="200"/>
      <c r="B476" s="200"/>
      <c r="C476" s="200"/>
      <c r="D476" s="239"/>
      <c r="E476" s="95"/>
      <c r="F476" s="95"/>
      <c r="G476" s="95"/>
      <c r="H476" s="251"/>
      <c r="I476" s="240"/>
      <c r="J476" s="4"/>
      <c r="K476" s="4"/>
      <c r="L476" s="4"/>
      <c r="M476" s="4"/>
      <c r="N476" s="108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1"/>
      <c r="AL476" s="1"/>
      <c r="AM476" s="1"/>
      <c r="AN476" s="1"/>
      <c r="AO476" s="1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4"/>
      <c r="BY476" s="136"/>
      <c r="BZ476" s="136"/>
      <c r="CA476" s="214"/>
      <c r="CB476" s="214"/>
      <c r="CC476" s="214"/>
      <c r="CD476" s="214"/>
      <c r="CE476" s="214"/>
      <c r="CF476" s="214"/>
      <c r="DA476" s="379"/>
    </row>
  </sheetData>
  <autoFilter ref="A2:DA371" xr:uid="{3704E0B5-B148-4711-9D8A-43230952AEE0}"/>
  <sortState xmlns:xlrd2="http://schemas.microsoft.com/office/spreadsheetml/2017/richdata2" ref="A3:H447">
    <sortCondition ref="A3:A447"/>
  </sortState>
  <mergeCells count="7">
    <mergeCell ref="C430:D430"/>
    <mergeCell ref="C437:D437"/>
    <mergeCell ref="C472:D472"/>
    <mergeCell ref="C453:D453"/>
    <mergeCell ref="C431:D431"/>
    <mergeCell ref="C451:D451"/>
    <mergeCell ref="C450:D450"/>
  </mergeCells>
  <phoneticPr fontId="11" type="noConversion"/>
  <pageMargins left="0.70866141732283505" right="0" top="1.5" bottom="0" header="0.31496062992126" footer="0.31496062992126"/>
  <pageSetup paperSize="9" scale="14" fitToHeight="0" orientation="landscape" horizontalDpi="300" verticalDpi="300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D74D6F-EE88-4B50-944C-C0A0ACF40B2B}">
  <sheetPr codeName="Sheet7">
    <pageSetUpPr fitToPage="1"/>
  </sheetPr>
  <dimension ref="A2:F23"/>
  <sheetViews>
    <sheetView topLeftCell="A14" workbookViewId="0">
      <selection activeCell="C18" sqref="C18"/>
    </sheetView>
  </sheetViews>
  <sheetFormatPr defaultRowHeight="14.5" x14ac:dyDescent="0.35"/>
  <cols>
    <col min="2" max="2" width="18.54296875" customWidth="1"/>
    <col min="3" max="3" width="111.453125" customWidth="1"/>
  </cols>
  <sheetData>
    <row r="2" spans="1:5" ht="22" customHeight="1" x14ac:dyDescent="0.35">
      <c r="A2" s="167" t="s">
        <v>921</v>
      </c>
      <c r="B2" s="167" t="s">
        <v>922</v>
      </c>
      <c r="C2" s="167" t="s">
        <v>923</v>
      </c>
      <c r="D2" s="167" t="s">
        <v>924</v>
      </c>
      <c r="E2" s="167" t="s">
        <v>925</v>
      </c>
    </row>
    <row r="3" spans="1:5" ht="22" customHeight="1" x14ac:dyDescent="0.35">
      <c r="A3" s="168">
        <v>1</v>
      </c>
      <c r="B3" s="1" t="s">
        <v>91</v>
      </c>
      <c r="C3" s="1" t="str">
        <f>VLOOKUP(B3,'Delivery Location'!$A$4:$N$4019,2,)</f>
        <v>Koufu Rasapura Masters                           2, Bayfront Avenue #B2-49A/50A Singapore 018972                              (Dessert)</v>
      </c>
      <c r="D3" s="6">
        <v>1</v>
      </c>
      <c r="E3" s="6">
        <v>1</v>
      </c>
    </row>
    <row r="4" spans="1:5" ht="22" customHeight="1" x14ac:dyDescent="0.35">
      <c r="A4" s="168">
        <v>2</v>
      </c>
      <c r="B4" s="1" t="s">
        <v>106</v>
      </c>
      <c r="C4" s="1" t="str">
        <f>VLOOKUP(B4,'Delivery Location'!$A$4:$N$4019,2,)</f>
        <v xml:space="preserve">Koufu - (Dessert)                                         6, Raffles Boulevard #04-101/102 Marina Square Singapore 039594              </v>
      </c>
      <c r="D4" s="6">
        <v>1</v>
      </c>
      <c r="E4" s="6">
        <v>1</v>
      </c>
    </row>
    <row r="5" spans="1:5" ht="22" customHeight="1" x14ac:dyDescent="0.35">
      <c r="A5" s="168">
        <v>3</v>
      </c>
      <c r="B5" s="1" t="s">
        <v>152</v>
      </c>
      <c r="C5" s="1" t="str">
        <f>VLOOKUP(B5,'Delivery Location'!$A$4:$N$4019,2,)</f>
        <v xml:space="preserve">Fork &amp; Spoon - Dessert                             10, Sinaran Drive #04-14 to 19,56 to 73. Novena Square 2 Singapore 307506                                            </v>
      </c>
      <c r="D5" s="6">
        <v>1</v>
      </c>
      <c r="E5" s="6">
        <v>1</v>
      </c>
    </row>
    <row r="6" spans="1:5" ht="22" customHeight="1" x14ac:dyDescent="0.35">
      <c r="A6" s="168">
        <v>4</v>
      </c>
      <c r="B6" s="1" t="s">
        <v>164</v>
      </c>
      <c r="C6" s="1" t="str">
        <f>VLOOKUP(B6,'Delivery Location'!$A$4:$N$4019,2,)</f>
        <v xml:space="preserve">Koufu- Dessert                                                         Block 500, Toa Payoh Centre. Lorong 6     #02-30   Singapore 310500                                         </v>
      </c>
      <c r="D6" s="6">
        <v>1</v>
      </c>
      <c r="E6" s="6">
        <v>1</v>
      </c>
    </row>
    <row r="7" spans="1:5" ht="22" customHeight="1" x14ac:dyDescent="0.35">
      <c r="A7" s="168">
        <v>5</v>
      </c>
      <c r="B7" s="1" t="s">
        <v>199</v>
      </c>
      <c r="C7" s="1" t="str">
        <f>VLOOKUP(B7,'Delivery Location'!$A$4:$N$4019,2,)</f>
        <v>Fusionoplis one                                            1 Fusionopolis Way Basement 2 #B2-02 Singapore 138632                                    (Dessert)</v>
      </c>
      <c r="D7" s="6">
        <v>1</v>
      </c>
      <c r="E7" s="6">
        <v>1</v>
      </c>
    </row>
    <row r="8" spans="1:5" ht="22" customHeight="1" x14ac:dyDescent="0.35">
      <c r="A8" s="168">
        <v>6</v>
      </c>
      <c r="B8" s="1" t="s">
        <v>204</v>
      </c>
      <c r="C8" s="1" t="str">
        <f>VLOOKUP(B8,'Delivery Location'!$A$4:$N$4019,2,)</f>
        <v xml:space="preserve">Koufu - Dessert                                      535 Clementi Road Block 51, Level 2 Ngee Ann Polythenic NIC Singapore 599489                  </v>
      </c>
      <c r="D8" s="6">
        <v>1</v>
      </c>
      <c r="E8" s="6">
        <v>1</v>
      </c>
    </row>
    <row r="9" spans="1:5" ht="22" customHeight="1" x14ac:dyDescent="0.35">
      <c r="A9" s="168">
        <v>7</v>
      </c>
      <c r="B9" s="1" t="s">
        <v>207</v>
      </c>
      <c r="C9" s="1" t="str">
        <f>VLOOKUP(B9,'Delivery Location'!$A$4:$N$4019,2,)</f>
        <v>Jem cook House                                                  50, Jurong Gateway Road #05-01 JEMS Singapore 608549                                          (Dessert)</v>
      </c>
      <c r="D9" s="6">
        <v>1</v>
      </c>
      <c r="E9" s="6">
        <v>2</v>
      </c>
    </row>
    <row r="10" spans="1:5" ht="22" customHeight="1" x14ac:dyDescent="0.35">
      <c r="A10" s="168">
        <v>8</v>
      </c>
      <c r="B10" s="1" t="s">
        <v>208</v>
      </c>
      <c r="C10" s="1" t="str">
        <f>VLOOKUP(B10,'Delivery Location'!$A$4:$N$4019,2,)</f>
        <v>Happy Hawker                                                   Block 132 Jurong East  #01-271      Singapore 600132                                               (Dessert)</v>
      </c>
      <c r="D10" s="6">
        <v>1</v>
      </c>
      <c r="E10" s="6">
        <v>2</v>
      </c>
    </row>
    <row r="11" spans="1:5" ht="22" customHeight="1" x14ac:dyDescent="0.35">
      <c r="A11" s="168">
        <v>9</v>
      </c>
      <c r="B11" s="1" t="s">
        <v>210</v>
      </c>
      <c r="C11" s="1" t="str">
        <f>VLOOKUP(B11,'Delivery Location'!$A$4:$N$4019,2,)</f>
        <v xml:space="preserve">Koufu - Dessert                                        632, Bukit Batok Central #01-132 Singapore 650632                                                </v>
      </c>
      <c r="D11" s="6">
        <v>1</v>
      </c>
      <c r="E11" s="6">
        <v>1</v>
      </c>
    </row>
    <row r="12" spans="1:5" ht="22" customHeight="1" x14ac:dyDescent="0.35">
      <c r="A12" s="168">
        <v>10</v>
      </c>
      <c r="B12" s="1" t="s">
        <v>212</v>
      </c>
      <c r="C12" s="1" t="str">
        <f>VLOOKUP(B12,'Delivery Location'!$A$4:$N$4019,2,)</f>
        <v xml:space="preserve">Koufu - Dessert                                             1, Bukit Batok Central Link.                     #04-01 West Mall Singapore 658713                                                          </v>
      </c>
      <c r="D12" s="6">
        <v>1</v>
      </c>
      <c r="E12" s="6">
        <v>2</v>
      </c>
    </row>
    <row r="13" spans="1:5" ht="22" customHeight="1" x14ac:dyDescent="0.35">
      <c r="A13" s="168">
        <v>11</v>
      </c>
      <c r="B13" s="1" t="s">
        <v>219</v>
      </c>
      <c r="C13" s="1" t="str">
        <f>VLOOKUP(B13,'Delivery Location'!$A$4:$N$4019,2,)</f>
        <v xml:space="preserve"> Fork &amp; Spoon                                               Block 768 Woodlands Ave 6 #01-30/31 Singapore 730768                                         (Dessert)</v>
      </c>
      <c r="D13" s="6">
        <v>1</v>
      </c>
      <c r="E13" s="6">
        <v>2</v>
      </c>
    </row>
    <row r="14" spans="1:5" ht="22" customHeight="1" x14ac:dyDescent="0.35">
      <c r="A14" s="168">
        <v>12</v>
      </c>
      <c r="B14" s="1" t="s">
        <v>243</v>
      </c>
      <c r="C14" s="1" t="str">
        <f>VLOOKUP(B14,'Delivery Location'!$A$4:$N$4019,2,)</f>
        <v xml:space="preserve">Koufu - Dessert                                    Sengkang General Community Hospital. 1 Anchorvale Street #01-21 S'pore 544835                                                                   </v>
      </c>
      <c r="D14" s="6">
        <v>1</v>
      </c>
      <c r="E14" s="6">
        <v>1</v>
      </c>
    </row>
    <row r="15" spans="1:5" ht="22" customHeight="1" x14ac:dyDescent="0.35">
      <c r="A15" s="168">
        <v>13</v>
      </c>
      <c r="B15" s="1" t="s">
        <v>262</v>
      </c>
      <c r="C15" s="1" t="str">
        <f>VLOOKUP(B15,'Delivery Location'!$A$4:$N$4019,2,)</f>
        <v xml:space="preserve"> Punggol OASIS (Gourmet Paradise)                                                          681 Punggol Drive                                                    #04-01 OASIS Terraces                   Singapore 820681</v>
      </c>
      <c r="D15" s="6">
        <v>1</v>
      </c>
      <c r="E15" s="6">
        <v>1</v>
      </c>
    </row>
    <row r="16" spans="1:5" ht="22" customHeight="1" x14ac:dyDescent="0.35">
      <c r="A16" s="168">
        <v>14</v>
      </c>
      <c r="B16" s="1" t="s">
        <v>263</v>
      </c>
      <c r="C16" s="1" t="str">
        <f>VLOOKUP(B16,'Delivery Location'!$A$4:$N$4019,2,)</f>
        <v xml:space="preserve">Koufu - Dessert                                              Block 168 Punggol Field #01-01      Punggol Plaza Singapore 820168               </v>
      </c>
      <c r="D16" s="6">
        <v>1</v>
      </c>
      <c r="E16" s="6">
        <v>2</v>
      </c>
    </row>
    <row r="17" spans="1:6" ht="22" customHeight="1" x14ac:dyDescent="0.35">
      <c r="A17" s="168">
        <v>15</v>
      </c>
      <c r="B17" s="1" t="s">
        <v>264</v>
      </c>
      <c r="C17" s="1" t="str">
        <f>VLOOKUP(B17,'Delivery Location'!$A$4:$N$4019,2,)</f>
        <v>WaterWay Point                                            83 Punggol Central #02-20/21 Singapore 828761                               (Dessert)</v>
      </c>
      <c r="D17" s="167">
        <v>2</v>
      </c>
      <c r="E17" s="6">
        <v>0</v>
      </c>
    </row>
    <row r="18" spans="1:6" ht="22" customHeight="1" x14ac:dyDescent="0.35">
      <c r="A18" s="168">
        <v>16</v>
      </c>
      <c r="B18" s="1" t="s">
        <v>765</v>
      </c>
      <c r="C18" s="1" t="str">
        <f>VLOOKUP(B18,'Delivery Location'!$A$4:$N$4019,2,)</f>
        <v>Koufu -喜多福                                                 Blk 267 Compassvale Link                           #01-02 Singapore 540267</v>
      </c>
      <c r="D18" s="6">
        <v>1</v>
      </c>
      <c r="E18" s="6">
        <v>1</v>
      </c>
    </row>
    <row r="19" spans="1:6" ht="22" customHeight="1" x14ac:dyDescent="0.35">
      <c r="A19" s="168">
        <v>17</v>
      </c>
      <c r="B19" s="1" t="s">
        <v>798</v>
      </c>
      <c r="C19" s="1" t="str">
        <f>VLOOKUP(B19,'Delivery Location'!$A$4:$N$4019,2,)</f>
        <v xml:space="preserve">Koufu - WoodGrove                                30, Woodlands Ave 1 #01-11 Singapore 739065     (Dim Sum)                               </v>
      </c>
      <c r="D19" s="6">
        <v>1</v>
      </c>
      <c r="E19" s="6">
        <v>1</v>
      </c>
    </row>
    <row r="20" spans="1:6" ht="22" customHeight="1" x14ac:dyDescent="0.35">
      <c r="A20" s="168">
        <v>18</v>
      </c>
      <c r="B20" s="170" t="s">
        <v>167</v>
      </c>
      <c r="C20" s="170" t="str">
        <f>VLOOKUP(B20,'Delivery Location'!$A$4:$N$4019,2,)</f>
        <v xml:space="preserve">Koufu - (Dessert)                                     180, Ang Mo Kio Ave 8. Block A unit 235 Nanyang Polythenic Singapore 569830                                      </v>
      </c>
      <c r="D20" s="171">
        <v>1</v>
      </c>
      <c r="E20" s="171">
        <v>1</v>
      </c>
    </row>
    <row r="21" spans="1:6" ht="22" customHeight="1" x14ac:dyDescent="0.35">
      <c r="A21" s="167"/>
      <c r="B21" s="169"/>
      <c r="C21" s="169"/>
      <c r="D21" s="167">
        <f>SUM(D3:D20)</f>
        <v>19</v>
      </c>
      <c r="E21" s="167">
        <f>SUM(E3:E20)</f>
        <v>22</v>
      </c>
    </row>
    <row r="22" spans="1:6" x14ac:dyDescent="0.35">
      <c r="D22" s="172">
        <v>9.0500000000000007</v>
      </c>
      <c r="E22" s="172">
        <v>12.85</v>
      </c>
    </row>
    <row r="23" spans="1:6" x14ac:dyDescent="0.35">
      <c r="D23">
        <f>D21*D22</f>
        <v>171.95000000000002</v>
      </c>
      <c r="E23">
        <f>E21*E22</f>
        <v>282.7</v>
      </c>
      <c r="F23">
        <f>D23+E23</f>
        <v>454.65</v>
      </c>
    </row>
  </sheetData>
  <pageMargins left="0.7" right="0.7" top="0.75" bottom="0.75" header="0.3" footer="0.3"/>
  <pageSetup paperSize="9" scale="84" fitToHeight="0" orientation="landscape" verticalDpi="0"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E3A2BF-91DD-41D3-8862-39B36BC82EE1}">
  <sheetPr codeName="Sheet179">
    <tabColor rgb="FFFFFF00"/>
    <pageSetUpPr fitToPage="1"/>
  </sheetPr>
  <dimension ref="B1:P40"/>
  <sheetViews>
    <sheetView topLeftCell="E1" workbookViewId="0">
      <selection activeCell="R20" sqref="R20"/>
    </sheetView>
  </sheetViews>
  <sheetFormatPr defaultColWidth="12.54296875" defaultRowHeight="18.5" x14ac:dyDescent="0.45"/>
  <cols>
    <col min="1" max="1" width="12.54296875" style="24"/>
    <col min="2" max="3" width="12.54296875" style="24" customWidth="1"/>
    <col min="4" max="4" width="14.54296875" style="24" customWidth="1"/>
    <col min="5" max="5" width="1.54296875" style="24" customWidth="1"/>
    <col min="6" max="6" width="14.54296875" style="24" customWidth="1"/>
    <col min="7" max="7" width="8.54296875" style="24" customWidth="1"/>
    <col min="8" max="8" width="15.54296875" style="24" customWidth="1"/>
    <col min="9" max="9" width="2.54296875" style="81" customWidth="1"/>
    <col min="10" max="10" width="15.54296875" style="81" customWidth="1"/>
    <col min="11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894</v>
      </c>
      <c r="J10" s="82" t="s">
        <v>29</v>
      </c>
      <c r="K10" s="452">
        <v>202106409</v>
      </c>
      <c r="L10" s="453"/>
    </row>
    <row r="11" spans="2:12" ht="20.149999999999999" customHeight="1" x14ac:dyDescent="0.45">
      <c r="B11" s="569" t="s">
        <v>1002</v>
      </c>
      <c r="C11" s="570"/>
      <c r="D11" s="571"/>
      <c r="E11" s="30"/>
      <c r="F11" s="457" t="str">
        <f>VLOOKUP(H10,'Delivery Location'!A$4:N$416,2,0)</f>
        <v xml:space="preserve">Whampoa Soya Bean                            Blk 221B Boon Lay Hawker Centre. #01-133 </v>
      </c>
      <c r="G11" s="458"/>
      <c r="H11" s="459"/>
      <c r="J11" s="83" t="s">
        <v>11</v>
      </c>
      <c r="K11" s="551">
        <v>44375</v>
      </c>
      <c r="L11" s="472"/>
    </row>
    <row r="12" spans="2:12" ht="20.149999999999999" customHeight="1" x14ac:dyDescent="0.45">
      <c r="B12" s="468" t="s">
        <v>1003</v>
      </c>
      <c r="C12" s="469"/>
      <c r="D12" s="470"/>
      <c r="E12" s="30"/>
      <c r="F12" s="460"/>
      <c r="G12" s="461"/>
      <c r="H12" s="462"/>
      <c r="J12" s="83" t="s">
        <v>171</v>
      </c>
      <c r="K12" s="471" t="s">
        <v>533</v>
      </c>
      <c r="L12" s="472"/>
    </row>
    <row r="13" spans="2:12" ht="20.149999999999999" customHeight="1" x14ac:dyDescent="0.45">
      <c r="B13" s="468" t="s">
        <v>1004</v>
      </c>
      <c r="C13" s="469"/>
      <c r="D13" s="470"/>
      <c r="E13" s="30"/>
      <c r="F13" s="460"/>
      <c r="G13" s="461"/>
      <c r="H13" s="462"/>
      <c r="J13" s="83" t="s">
        <v>12</v>
      </c>
      <c r="K13" s="471" t="s">
        <v>688</v>
      </c>
      <c r="L13" s="472"/>
    </row>
    <row r="14" spans="2:12" ht="20.149999999999999" customHeight="1" x14ac:dyDescent="0.45">
      <c r="B14" s="468"/>
      <c r="C14" s="469"/>
      <c r="D14" s="470"/>
      <c r="E14" s="30"/>
      <c r="F14" s="460"/>
      <c r="G14" s="461"/>
      <c r="H14" s="462"/>
      <c r="J14" s="83" t="s">
        <v>30</v>
      </c>
      <c r="K14" s="471" t="s">
        <v>16</v>
      </c>
      <c r="L14" s="472"/>
    </row>
    <row r="15" spans="2:12" ht="18" customHeight="1" thickBot="1" x14ac:dyDescent="0.5">
      <c r="B15" s="55"/>
      <c r="C15" s="56"/>
      <c r="D15" s="57"/>
      <c r="E15" s="26"/>
      <c r="F15" s="463"/>
      <c r="G15" s="464"/>
      <c r="H15" s="465"/>
      <c r="J15" s="84" t="s">
        <v>13</v>
      </c>
      <c r="K15" s="476"/>
      <c r="L15" s="477"/>
    </row>
    <row r="16" spans="2:12" ht="19" thickBot="1" x14ac:dyDescent="0.5">
      <c r="J16" s="85"/>
    </row>
    <row r="17" spans="2:16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16" ht="20.149999999999999" customHeight="1" x14ac:dyDescent="0.45">
      <c r="B18" s="34"/>
      <c r="C18" s="22" t="s">
        <v>1498</v>
      </c>
      <c r="D18" s="508" t="str">
        <f>VLOOKUP(C18,'Sales Master'!B$3:D$499,2,)</f>
        <v>Jelly Powder "文头雪粉" (CARRAGEENAN)</v>
      </c>
      <c r="E18" s="508"/>
      <c r="F18" s="508"/>
      <c r="G18" s="90">
        <v>1</v>
      </c>
      <c r="H18" s="68" t="str">
        <f>VLOOKUP(C18,'Sales Master'!$B$3:$F$755,5,0)</f>
        <v>42gm x 10PKT/Bag</v>
      </c>
      <c r="I18" s="481" t="str">
        <f>VLOOKUP(C18,'Sales Master'!$B$3:$E$755,4,0)</f>
        <v>500/4000</v>
      </c>
      <c r="J18" s="481"/>
      <c r="K18" s="98">
        <f>VLOOKUP(C18,'Sales Master'!B3:$BG$3199,58,0)</f>
        <v>28</v>
      </c>
      <c r="L18" s="77">
        <f>K18*G18</f>
        <v>28</v>
      </c>
      <c r="M18" s="78"/>
      <c r="N18" s="225">
        <f>VLOOKUP(C18,'Sales Master'!$B$3:$DA$3038,104,0)</f>
        <v>10.5</v>
      </c>
      <c r="O18" s="225">
        <f>K18-N18</f>
        <v>17.5</v>
      </c>
      <c r="P18" s="225">
        <f>O18*G18</f>
        <v>17.5</v>
      </c>
    </row>
    <row r="19" spans="2:16" ht="20.149999999999999" customHeight="1" x14ac:dyDescent="0.45">
      <c r="B19" s="34"/>
      <c r="C19" s="22" t="s">
        <v>1773</v>
      </c>
      <c r="D19" s="508" t="str">
        <f>VLOOKUP(C19,'Sales Master'!B$3:D$499,2,)</f>
        <v>Fine Sugar 白糖</v>
      </c>
      <c r="E19" s="508"/>
      <c r="F19" s="508"/>
      <c r="G19" s="90">
        <v>3</v>
      </c>
      <c r="H19" s="68" t="str">
        <f>VLOOKUP(C19,'Sales Master'!$B$3:$F$755,5,0)</f>
        <v>5 kgs</v>
      </c>
      <c r="I19" s="481" t="str">
        <f>VLOOKUP(C19,'Sales Master'!$B$3:$E$755,4,0)</f>
        <v>SUN</v>
      </c>
      <c r="J19" s="481"/>
      <c r="K19" s="98">
        <f>VLOOKUP(C19,'Sales Master'!B4:$BG$3199,58,0)</f>
        <v>6</v>
      </c>
      <c r="L19" s="77">
        <f>K19*G19</f>
        <v>18</v>
      </c>
      <c r="M19" s="78"/>
      <c r="N19" s="225">
        <f>VLOOKUP(C19,'Sales Master'!$B$3:$DA$3038,104,0)</f>
        <v>4.8</v>
      </c>
      <c r="O19" s="225">
        <f>K19-N19</f>
        <v>1.2000000000000002</v>
      </c>
      <c r="P19" s="225">
        <f>O19*G19</f>
        <v>3.6000000000000005</v>
      </c>
    </row>
    <row r="20" spans="2:16" ht="20.149999999999999" customHeight="1" x14ac:dyDescent="0.45">
      <c r="B20" s="34"/>
      <c r="C20" s="22" t="s">
        <v>1779</v>
      </c>
      <c r="D20" s="508" t="str">
        <f>VLOOKUP(C20,'Sales Master'!B$3:D$499,2,)</f>
        <v>Coconut Sugar椰糖</v>
      </c>
      <c r="E20" s="508"/>
      <c r="F20" s="508"/>
      <c r="G20" s="90">
        <v>3</v>
      </c>
      <c r="H20" s="68" t="str">
        <f>VLOOKUP(C20,'Sales Master'!$B$3:$F$755,5,0)</f>
        <v>10kgs/ctn</v>
      </c>
      <c r="I20" s="481" t="str">
        <f>VLOOKUP(C20,'Sales Master'!$B$3:$E$755,4,0)</f>
        <v>Indonesia</v>
      </c>
      <c r="J20" s="481"/>
      <c r="K20" s="98">
        <f>VLOOKUP(C20,'Sales Master'!B5:$BG$3199,58,0)</f>
        <v>34</v>
      </c>
      <c r="L20" s="77">
        <f>K20*G20</f>
        <v>102</v>
      </c>
      <c r="M20" s="78"/>
      <c r="N20" s="225">
        <f>VLOOKUP(C20,'Sales Master'!$B$3:$DA$3038,104,0)</f>
        <v>28</v>
      </c>
      <c r="O20" s="225">
        <f>K20-N20</f>
        <v>6</v>
      </c>
      <c r="P20" s="225">
        <f>O20*G20</f>
        <v>18</v>
      </c>
    </row>
    <row r="21" spans="2:16" ht="20.149999999999999" customHeight="1" x14ac:dyDescent="0.45">
      <c r="B21" s="34"/>
      <c r="C21" s="22"/>
      <c r="D21" s="508"/>
      <c r="E21" s="508"/>
      <c r="F21" s="508"/>
      <c r="G21" s="90"/>
      <c r="H21" s="68"/>
      <c r="I21" s="481"/>
      <c r="J21" s="481"/>
      <c r="K21" s="98"/>
      <c r="L21" s="99"/>
      <c r="M21" s="78"/>
    </row>
    <row r="22" spans="2:16" ht="20.149999999999999" customHeight="1" x14ac:dyDescent="0.45">
      <c r="B22" s="80"/>
      <c r="C22" s="22"/>
      <c r="D22" s="508"/>
      <c r="E22" s="508"/>
      <c r="F22" s="508"/>
      <c r="G22" s="90"/>
      <c r="H22" s="68"/>
      <c r="I22" s="481"/>
      <c r="J22" s="481"/>
      <c r="K22" s="94"/>
      <c r="L22" s="77"/>
      <c r="M22" s="78"/>
    </row>
    <row r="23" spans="2:16" ht="20.149999999999999" customHeight="1" x14ac:dyDescent="0.45">
      <c r="B23" s="34"/>
      <c r="C23" s="22"/>
      <c r="D23" s="508"/>
      <c r="E23" s="508"/>
      <c r="F23" s="508"/>
      <c r="G23" s="91"/>
      <c r="H23" s="68"/>
      <c r="I23" s="604"/>
      <c r="J23" s="604"/>
      <c r="K23" s="35"/>
      <c r="L23" s="77"/>
      <c r="M23" s="78"/>
    </row>
    <row r="24" spans="2:16" ht="20.149999999999999" customHeight="1" x14ac:dyDescent="0.45">
      <c r="B24" s="34"/>
      <c r="C24" s="22"/>
      <c r="G24" s="91"/>
      <c r="H24" s="68"/>
      <c r="I24" s="604"/>
      <c r="J24" s="604"/>
      <c r="K24" s="35"/>
      <c r="L24" s="77"/>
      <c r="M24" s="78"/>
    </row>
    <row r="25" spans="2:16" ht="20.149999999999999" customHeight="1" x14ac:dyDescent="0.45">
      <c r="B25" s="34"/>
      <c r="C25" s="22"/>
      <c r="D25" s="508"/>
      <c r="E25" s="508"/>
      <c r="F25" s="508"/>
      <c r="G25" s="91"/>
      <c r="H25" s="68"/>
      <c r="I25" s="604"/>
      <c r="J25" s="604"/>
      <c r="K25" s="35"/>
      <c r="L25" s="77"/>
    </row>
    <row r="26" spans="2:16" ht="20.149999999999999" customHeight="1" thickBot="1" x14ac:dyDescent="0.5">
      <c r="B26" s="37"/>
      <c r="C26" s="38"/>
      <c r="D26" s="509"/>
      <c r="E26" s="509"/>
      <c r="F26" s="509"/>
      <c r="G26" s="38"/>
      <c r="H26" s="69"/>
      <c r="I26" s="588"/>
      <c r="J26" s="588"/>
      <c r="K26" s="39"/>
      <c r="L26" s="40"/>
    </row>
    <row r="27" spans="2:16" ht="20.149999999999999" customHeight="1" thickBot="1" x14ac:dyDescent="0.5">
      <c r="B27" s="41"/>
      <c r="L27" s="42"/>
    </row>
    <row r="28" spans="2:16" ht="20.149999999999999" customHeight="1" x14ac:dyDescent="0.45">
      <c r="B28" s="11" t="s">
        <v>18</v>
      </c>
      <c r="C28" s="7"/>
      <c r="D28" s="7"/>
      <c r="E28" s="7"/>
      <c r="F28" s="7"/>
      <c r="G28" s="7"/>
      <c r="H28" s="7"/>
      <c r="I28" s="86"/>
      <c r="J28" s="510" t="s">
        <v>15</v>
      </c>
      <c r="K28" s="511"/>
      <c r="L28" s="43">
        <f>SUM(L17:L26)</f>
        <v>148</v>
      </c>
      <c r="M28" s="76">
        <f>SUM(P18:P20)</f>
        <v>39.1</v>
      </c>
      <c r="N28" s="201">
        <f>M28/L28</f>
        <v>0.26418918918918921</v>
      </c>
    </row>
    <row r="29" spans="2:16" ht="20.149999999999999" customHeight="1" x14ac:dyDescent="0.45">
      <c r="B29" s="11" t="s">
        <v>19</v>
      </c>
      <c r="C29" s="7"/>
      <c r="D29" s="7"/>
      <c r="E29" s="7"/>
      <c r="F29" s="7"/>
      <c r="G29" s="7"/>
      <c r="H29" s="7"/>
      <c r="I29" s="86"/>
      <c r="J29" s="44" t="s">
        <v>22</v>
      </c>
      <c r="K29" s="45"/>
      <c r="L29" s="46">
        <f>L28*K29</f>
        <v>0</v>
      </c>
    </row>
    <row r="30" spans="2:16" ht="20.149999999999999" customHeight="1" x14ac:dyDescent="0.45">
      <c r="B30" s="11" t="s">
        <v>20</v>
      </c>
      <c r="C30" s="7"/>
      <c r="D30" s="7"/>
      <c r="E30" s="7"/>
      <c r="F30" s="7"/>
      <c r="G30" s="7"/>
      <c r="H30" s="7"/>
      <c r="I30" s="86"/>
      <c r="J30" s="486" t="s">
        <v>21</v>
      </c>
      <c r="K30" s="487"/>
      <c r="L30" s="46">
        <f>L28-L29</f>
        <v>148</v>
      </c>
    </row>
    <row r="31" spans="2:16" ht="20.149999999999999" customHeight="1" x14ac:dyDescent="0.45">
      <c r="B31" s="11" t="s">
        <v>24</v>
      </c>
      <c r="C31" s="7"/>
      <c r="D31" s="7"/>
      <c r="E31" s="7"/>
      <c r="F31" s="7"/>
      <c r="G31" s="7"/>
      <c r="H31" s="7"/>
      <c r="I31" s="86"/>
      <c r="J31" s="150" t="s">
        <v>17</v>
      </c>
      <c r="K31" s="151">
        <v>7.0000000000000007E-2</v>
      </c>
      <c r="L31" s="47">
        <f>L30*K31</f>
        <v>10.360000000000001</v>
      </c>
    </row>
    <row r="32" spans="2:16" ht="20.149999999999999" customHeight="1" thickBot="1" x14ac:dyDescent="0.5">
      <c r="B32" s="11" t="s">
        <v>25</v>
      </c>
      <c r="C32" s="7"/>
      <c r="D32" s="7"/>
      <c r="E32" s="7"/>
      <c r="F32" s="7"/>
      <c r="G32" s="7"/>
      <c r="H32" s="7"/>
      <c r="I32" s="86"/>
      <c r="J32" s="488" t="s">
        <v>23</v>
      </c>
      <c r="K32" s="489"/>
      <c r="L32" s="48">
        <f>L30+L31</f>
        <v>158.36000000000001</v>
      </c>
    </row>
    <row r="33" spans="2:12" ht="20.149999999999999" customHeight="1" x14ac:dyDescent="0.45">
      <c r="B33" s="11" t="s">
        <v>26</v>
      </c>
      <c r="C33" s="7"/>
      <c r="D33" s="7"/>
      <c r="E33" s="7"/>
      <c r="F33" s="7"/>
      <c r="G33" s="7"/>
      <c r="H33" s="7"/>
      <c r="I33" s="86"/>
      <c r="L33" s="42"/>
    </row>
    <row r="34" spans="2:12" ht="20.149999999999999" customHeight="1" x14ac:dyDescent="0.45">
      <c r="B34" s="41"/>
      <c r="L34" s="42"/>
    </row>
    <row r="35" spans="2:12" ht="20.149999999999999" customHeight="1" x14ac:dyDescent="0.45">
      <c r="B35" s="41"/>
      <c r="L35" s="42"/>
    </row>
    <row r="36" spans="2:12" ht="20.149999999999999" customHeight="1" x14ac:dyDescent="0.45">
      <c r="B36" s="41"/>
      <c r="L36" s="42"/>
    </row>
    <row r="37" spans="2:12" ht="20.149999999999999" customHeight="1" x14ac:dyDescent="0.45">
      <c r="B37" s="41"/>
      <c r="L37" s="42"/>
    </row>
    <row r="38" spans="2:12" ht="20.149999999999999" customHeight="1" x14ac:dyDescent="0.45">
      <c r="B38" s="49"/>
      <c r="C38" s="50"/>
      <c r="D38" s="50"/>
      <c r="J38" s="87"/>
      <c r="K38" s="50"/>
      <c r="L38" s="51"/>
    </row>
    <row r="39" spans="2:12" ht="20.149999999999999" customHeight="1" x14ac:dyDescent="0.45">
      <c r="B39" s="41" t="s">
        <v>27</v>
      </c>
      <c r="J39" s="81" t="s">
        <v>28</v>
      </c>
      <c r="L39" s="42"/>
    </row>
    <row r="40" spans="2:12" ht="19" thickBot="1" x14ac:dyDescent="0.5">
      <c r="B40" s="52"/>
      <c r="C40" s="53"/>
      <c r="D40" s="53"/>
      <c r="E40" s="53"/>
      <c r="F40" s="53"/>
      <c r="G40" s="53"/>
      <c r="H40" s="53"/>
      <c r="I40" s="88"/>
      <c r="J40" s="88"/>
      <c r="K40" s="53"/>
      <c r="L40" s="54"/>
    </row>
  </sheetData>
  <mergeCells count="34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D19:F19"/>
    <mergeCell ref="I19:J19"/>
    <mergeCell ref="D17:F17"/>
    <mergeCell ref="I17:J17"/>
    <mergeCell ref="D18:F18"/>
    <mergeCell ref="I18:J18"/>
    <mergeCell ref="D20:F20"/>
    <mergeCell ref="I20:J20"/>
    <mergeCell ref="D22:F22"/>
    <mergeCell ref="I22:J22"/>
    <mergeCell ref="D21:F21"/>
    <mergeCell ref="I21:J21"/>
    <mergeCell ref="D23:F23"/>
    <mergeCell ref="I23:J23"/>
    <mergeCell ref="J30:K30"/>
    <mergeCell ref="J32:K32"/>
    <mergeCell ref="I24:J24"/>
    <mergeCell ref="D25:F25"/>
    <mergeCell ref="I25:J25"/>
    <mergeCell ref="D26:F26"/>
    <mergeCell ref="I26:J26"/>
    <mergeCell ref="J28:K28"/>
  </mergeCells>
  <pageMargins left="0.70866141732283472" right="0.31496062992125984" top="0.59055118110236227" bottom="0" header="0.31496062992125984" footer="0.31496062992125984"/>
  <pageSetup paperSize="9" scale="74" orientation="portrait" verticalDpi="300" r:id="rId1"/>
  <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8A633A-AAAC-484D-A9F1-5D6E2C05A0CF}">
  <sheetPr codeName="Sheet180">
    <tabColor rgb="FFFF0000"/>
    <pageSetUpPr fitToPage="1"/>
  </sheetPr>
  <dimension ref="B5:O47"/>
  <sheetViews>
    <sheetView workbookViewId="0">
      <selection activeCell="H38" sqref="H38"/>
    </sheetView>
  </sheetViews>
  <sheetFormatPr defaultColWidth="12.54296875" defaultRowHeight="18.5" x14ac:dyDescent="0.45"/>
  <cols>
    <col min="1" max="1" width="12.54296875" style="24"/>
    <col min="2" max="3" width="12.54296875" style="24" customWidth="1"/>
    <col min="4" max="4" width="14.54296875" style="24" customWidth="1"/>
    <col min="5" max="5" width="1.54296875" style="24" customWidth="1"/>
    <col min="6" max="6" width="14.54296875" style="24" customWidth="1"/>
    <col min="7" max="7" width="8.54296875" style="24" customWidth="1"/>
    <col min="8" max="8" width="12.54296875" style="24" customWidth="1"/>
    <col min="9" max="9" width="4.54296875" style="81" customWidth="1"/>
    <col min="10" max="10" width="15.54296875" style="81" customWidth="1"/>
    <col min="11" max="12" width="12.54296875" style="24" customWidth="1"/>
    <col min="13" max="16384" width="12.54296875" style="24"/>
  </cols>
  <sheetData>
    <row r="5" spans="2:15" ht="19" thickBot="1" x14ac:dyDescent="0.5">
      <c r="B5" s="23"/>
    </row>
    <row r="6" spans="2:15" ht="18" customHeight="1" thickTop="1" thickBot="1" x14ac:dyDescent="0.5">
      <c r="B6" s="25" t="s">
        <v>9</v>
      </c>
      <c r="C6" s="25"/>
      <c r="D6" s="26"/>
      <c r="E6" s="26"/>
      <c r="F6" s="27" t="s">
        <v>10</v>
      </c>
      <c r="G6" s="28"/>
      <c r="H6" s="28" t="s">
        <v>805</v>
      </c>
      <c r="J6" s="82" t="s">
        <v>29</v>
      </c>
      <c r="K6" s="452">
        <v>201910303</v>
      </c>
      <c r="L6" s="453"/>
    </row>
    <row r="7" spans="2:15" ht="20.149999999999999" customHeight="1" x14ac:dyDescent="0.45">
      <c r="B7" s="454"/>
      <c r="C7" s="455"/>
      <c r="D7" s="456"/>
      <c r="E7" s="30"/>
      <c r="F7" s="457" t="str">
        <f>VLOOKUP(H6,'Delivery Location'!A$4:N$416,2,0)</f>
        <v>龙马                                                             270 Queen Street #03-50 Albert Centre. Singapore</v>
      </c>
      <c r="G7" s="458"/>
      <c r="H7" s="459"/>
      <c r="J7" s="83" t="s">
        <v>11</v>
      </c>
      <c r="K7" s="551">
        <v>43753</v>
      </c>
      <c r="L7" s="472"/>
    </row>
    <row r="8" spans="2:15" ht="20.149999999999999" customHeight="1" x14ac:dyDescent="0.45">
      <c r="B8" s="468"/>
      <c r="C8" s="469"/>
      <c r="D8" s="470"/>
      <c r="E8" s="30"/>
      <c r="F8" s="460"/>
      <c r="G8" s="461"/>
      <c r="H8" s="462"/>
      <c r="J8" s="83" t="s">
        <v>171</v>
      </c>
      <c r="K8" s="471" t="s">
        <v>533</v>
      </c>
      <c r="L8" s="472"/>
    </row>
    <row r="9" spans="2:15" ht="20.149999999999999" customHeight="1" x14ac:dyDescent="0.45">
      <c r="B9" s="468"/>
      <c r="C9" s="469"/>
      <c r="D9" s="470"/>
      <c r="E9" s="30"/>
      <c r="F9" s="460"/>
      <c r="G9" s="461"/>
      <c r="H9" s="462"/>
      <c r="J9" s="83" t="s">
        <v>12</v>
      </c>
      <c r="K9" s="471" t="s">
        <v>14</v>
      </c>
      <c r="L9" s="472"/>
    </row>
    <row r="10" spans="2:15" ht="20.149999999999999" customHeight="1" x14ac:dyDescent="0.45">
      <c r="B10" s="468"/>
      <c r="C10" s="469"/>
      <c r="D10" s="470"/>
      <c r="E10" s="30"/>
      <c r="F10" s="460"/>
      <c r="G10" s="461"/>
      <c r="H10" s="462"/>
      <c r="J10" s="83" t="s">
        <v>30</v>
      </c>
      <c r="K10" s="471" t="s">
        <v>16</v>
      </c>
      <c r="L10" s="472"/>
    </row>
    <row r="11" spans="2:15" ht="18" customHeight="1" thickBot="1" x14ac:dyDescent="0.5">
      <c r="B11" s="55"/>
      <c r="C11" s="56"/>
      <c r="D11" s="57"/>
      <c r="E11" s="26"/>
      <c r="F11" s="463"/>
      <c r="G11" s="464"/>
      <c r="H11" s="465"/>
      <c r="J11" s="84" t="s">
        <v>13</v>
      </c>
      <c r="K11" s="476"/>
      <c r="L11" s="477"/>
    </row>
    <row r="12" spans="2:15" ht="19" thickBot="1" x14ac:dyDescent="0.5">
      <c r="J12" s="85"/>
    </row>
    <row r="13" spans="2:15" ht="30" customHeight="1" thickBot="1" x14ac:dyDescent="0.5">
      <c r="B13" s="8" t="s">
        <v>2</v>
      </c>
      <c r="C13" s="9" t="s">
        <v>3</v>
      </c>
      <c r="D13" s="478" t="s">
        <v>4</v>
      </c>
      <c r="E13" s="483"/>
      <c r="F13" s="479"/>
      <c r="G13" s="19" t="s">
        <v>620</v>
      </c>
      <c r="H13" s="8" t="s">
        <v>622</v>
      </c>
      <c r="I13" s="605" t="s">
        <v>621</v>
      </c>
      <c r="J13" s="606"/>
      <c r="K13" s="9" t="s">
        <v>6</v>
      </c>
      <c r="L13" s="10" t="s">
        <v>7</v>
      </c>
      <c r="M13" s="33"/>
      <c r="N13" s="33"/>
      <c r="O13" s="33"/>
    </row>
    <row r="14" spans="2:15" ht="20.149999999999999" customHeight="1" x14ac:dyDescent="0.45">
      <c r="B14" s="34"/>
      <c r="C14" s="22" t="s">
        <v>436</v>
      </c>
      <c r="D14" s="508" t="e">
        <f>VLOOKUP(C14,'Sales Master'!B$3:D$499,2,)</f>
        <v>#N/A</v>
      </c>
      <c r="E14" s="508"/>
      <c r="F14" s="508"/>
      <c r="G14" s="90">
        <v>2</v>
      </c>
      <c r="H14" s="68" t="e">
        <f>VLOOKUP(C14,'Sales Master'!$B$3:$E$590,4,0)</f>
        <v>#N/A</v>
      </c>
      <c r="I14" s="604" t="e">
        <f>VLOOKUP(C14,'Sales Master'!$B$3:F$590,5,0)</f>
        <v>#N/A</v>
      </c>
      <c r="J14" s="604"/>
      <c r="K14" s="35">
        <v>56</v>
      </c>
      <c r="L14" s="77">
        <f>K14*G14</f>
        <v>112</v>
      </c>
      <c r="M14" s="78"/>
    </row>
    <row r="15" spans="2:15" ht="20.149999999999999" customHeight="1" x14ac:dyDescent="0.45">
      <c r="B15" s="34"/>
      <c r="C15" s="22"/>
      <c r="D15" s="508"/>
      <c r="E15" s="508"/>
      <c r="F15" s="508"/>
      <c r="G15" s="90"/>
      <c r="H15" s="68"/>
      <c r="I15" s="604"/>
      <c r="J15" s="604"/>
      <c r="K15" s="35"/>
      <c r="L15" s="77"/>
      <c r="M15" s="78"/>
    </row>
    <row r="16" spans="2:15" ht="20.149999999999999" customHeight="1" x14ac:dyDescent="0.45">
      <c r="B16" s="34"/>
      <c r="C16" s="22"/>
      <c r="D16" s="508"/>
      <c r="E16" s="508"/>
      <c r="F16" s="508"/>
      <c r="G16" s="90"/>
      <c r="H16" s="68"/>
      <c r="I16" s="604"/>
      <c r="J16" s="604"/>
      <c r="K16" s="35"/>
      <c r="L16" s="77"/>
      <c r="M16" s="78"/>
    </row>
    <row r="17" spans="2:13" ht="20.149999999999999" customHeight="1" x14ac:dyDescent="0.45">
      <c r="B17" s="34"/>
      <c r="C17" s="22"/>
      <c r="D17" s="508"/>
      <c r="E17" s="508"/>
      <c r="F17" s="508"/>
      <c r="G17" s="90"/>
      <c r="H17" s="68"/>
      <c r="I17" s="604"/>
      <c r="J17" s="604"/>
      <c r="K17" s="35"/>
      <c r="L17" s="77"/>
      <c r="M17" s="78"/>
    </row>
    <row r="18" spans="2:13" ht="20.149999999999999" customHeight="1" x14ac:dyDescent="0.45">
      <c r="B18" s="80"/>
      <c r="C18" s="22"/>
      <c r="D18" s="508"/>
      <c r="E18" s="508"/>
      <c r="F18" s="508"/>
      <c r="G18" s="90"/>
      <c r="H18" s="68"/>
      <c r="I18" s="604"/>
      <c r="J18" s="604"/>
      <c r="K18" s="35"/>
      <c r="L18" s="77"/>
      <c r="M18" s="78"/>
    </row>
    <row r="19" spans="2:13" ht="20.149999999999999" customHeight="1" x14ac:dyDescent="0.45">
      <c r="B19" s="34"/>
      <c r="C19" s="22"/>
      <c r="D19" s="508"/>
      <c r="E19" s="508"/>
      <c r="F19" s="508"/>
      <c r="G19" s="90"/>
      <c r="H19" s="68"/>
      <c r="I19" s="604"/>
      <c r="J19" s="604"/>
      <c r="K19" s="35"/>
      <c r="L19" s="77"/>
      <c r="M19" s="78"/>
    </row>
    <row r="20" spans="2:13" ht="20.149999999999999" customHeight="1" x14ac:dyDescent="0.45">
      <c r="B20" s="34"/>
      <c r="C20" s="22"/>
      <c r="D20" s="508"/>
      <c r="E20" s="508"/>
      <c r="F20" s="508"/>
      <c r="G20" s="90"/>
      <c r="H20" s="68"/>
      <c r="I20" s="604"/>
      <c r="J20" s="604"/>
      <c r="K20" s="35"/>
      <c r="L20" s="77"/>
      <c r="M20" s="78"/>
    </row>
    <row r="21" spans="2:13" ht="20.149999999999999" customHeight="1" x14ac:dyDescent="0.45">
      <c r="B21" s="34"/>
      <c r="C21" s="22"/>
      <c r="D21" s="508"/>
      <c r="E21" s="508"/>
      <c r="F21" s="508"/>
      <c r="G21" s="90"/>
      <c r="H21" s="68"/>
      <c r="I21" s="604"/>
      <c r="J21" s="604"/>
      <c r="K21" s="35"/>
      <c r="L21" s="77"/>
      <c r="M21" s="78"/>
    </row>
    <row r="22" spans="2:13" ht="20.149999999999999" customHeight="1" x14ac:dyDescent="0.45">
      <c r="B22" s="34"/>
      <c r="C22" s="22"/>
      <c r="D22" s="508"/>
      <c r="E22" s="508"/>
      <c r="F22" s="508"/>
      <c r="G22" s="90"/>
      <c r="H22" s="68"/>
      <c r="I22" s="604"/>
      <c r="J22" s="604"/>
      <c r="K22" s="35"/>
      <c r="L22" s="77"/>
      <c r="M22" s="78"/>
    </row>
    <row r="23" spans="2:13" ht="20.149999999999999" customHeight="1" x14ac:dyDescent="0.45">
      <c r="B23" s="34"/>
      <c r="C23" s="22"/>
      <c r="D23" s="508"/>
      <c r="E23" s="508"/>
      <c r="F23" s="508"/>
      <c r="G23" s="90"/>
      <c r="H23" s="68"/>
      <c r="I23" s="604"/>
      <c r="J23" s="604"/>
      <c r="K23" s="35"/>
      <c r="L23" s="77"/>
      <c r="M23" s="78"/>
    </row>
    <row r="24" spans="2:13" ht="20.149999999999999" customHeight="1" x14ac:dyDescent="0.45">
      <c r="B24" s="34"/>
      <c r="C24" s="22"/>
      <c r="D24" s="508"/>
      <c r="E24" s="508"/>
      <c r="F24" s="508"/>
      <c r="G24" s="91"/>
      <c r="H24" s="68"/>
      <c r="I24" s="604"/>
      <c r="J24" s="604"/>
      <c r="K24" s="35"/>
      <c r="L24" s="77"/>
      <c r="M24" s="78"/>
    </row>
    <row r="25" spans="2:13" ht="20.149999999999999" customHeight="1" x14ac:dyDescent="0.45">
      <c r="B25" s="34"/>
      <c r="C25" s="22"/>
      <c r="D25" s="508"/>
      <c r="E25" s="508"/>
      <c r="F25" s="508"/>
      <c r="G25" s="91"/>
      <c r="H25" s="68"/>
      <c r="I25" s="604"/>
      <c r="J25" s="604"/>
      <c r="K25" s="35"/>
      <c r="L25" s="77"/>
      <c r="M25" s="78"/>
    </row>
    <row r="26" spans="2:13" ht="20.149999999999999" customHeight="1" x14ac:dyDescent="0.45">
      <c r="B26" s="34"/>
      <c r="C26" s="22"/>
      <c r="D26" s="508"/>
      <c r="E26" s="508"/>
      <c r="F26" s="508"/>
      <c r="G26" s="91"/>
      <c r="H26" s="68"/>
      <c r="I26" s="604"/>
      <c r="J26" s="604"/>
      <c r="K26" s="35"/>
      <c r="L26" s="77"/>
      <c r="M26" s="78"/>
    </row>
    <row r="27" spans="2:13" ht="20.149999999999999" customHeight="1" x14ac:dyDescent="0.45">
      <c r="B27" s="34"/>
      <c r="C27" s="22"/>
      <c r="D27" s="508"/>
      <c r="E27" s="508"/>
      <c r="F27" s="508"/>
      <c r="G27" s="91"/>
      <c r="H27" s="68"/>
      <c r="I27" s="604"/>
      <c r="J27" s="604"/>
      <c r="K27" s="35"/>
      <c r="L27" s="77"/>
      <c r="M27" s="78"/>
    </row>
    <row r="28" spans="2:13" ht="20.149999999999999" customHeight="1" x14ac:dyDescent="0.45">
      <c r="B28" s="34"/>
      <c r="C28" s="22"/>
      <c r="D28" s="508"/>
      <c r="E28" s="508"/>
      <c r="F28" s="508"/>
      <c r="G28" s="91"/>
      <c r="H28" s="68"/>
      <c r="I28" s="604"/>
      <c r="J28" s="604"/>
      <c r="K28" s="35"/>
      <c r="L28" s="77"/>
      <c r="M28" s="78"/>
    </row>
    <row r="29" spans="2:13" ht="20.149999999999999" customHeight="1" x14ac:dyDescent="0.45">
      <c r="B29" s="34"/>
      <c r="C29" s="22"/>
      <c r="D29" s="508"/>
      <c r="E29" s="508"/>
      <c r="F29" s="508"/>
      <c r="G29" s="91"/>
      <c r="H29" s="68"/>
      <c r="I29" s="604"/>
      <c r="J29" s="604"/>
      <c r="K29" s="35"/>
      <c r="L29" s="77"/>
      <c r="M29" s="78"/>
    </row>
    <row r="30" spans="2:13" ht="20.149999999999999" customHeight="1" x14ac:dyDescent="0.45">
      <c r="B30" s="34"/>
      <c r="C30" s="22"/>
      <c r="D30" s="508"/>
      <c r="E30" s="508"/>
      <c r="F30" s="508"/>
      <c r="G30" s="91"/>
      <c r="H30" s="68"/>
      <c r="I30" s="604"/>
      <c r="J30" s="604"/>
      <c r="K30" s="35"/>
      <c r="L30" s="77"/>
      <c r="M30" s="78"/>
    </row>
    <row r="31" spans="2:13" ht="20.149999999999999" customHeight="1" x14ac:dyDescent="0.45">
      <c r="B31" s="34"/>
      <c r="C31" s="22"/>
      <c r="G31" s="91"/>
      <c r="H31" s="68"/>
      <c r="I31" s="604"/>
      <c r="J31" s="604"/>
      <c r="K31" s="35"/>
      <c r="L31" s="77"/>
      <c r="M31" s="78"/>
    </row>
    <row r="32" spans="2:13" ht="20.149999999999999" customHeight="1" x14ac:dyDescent="0.45">
      <c r="B32" s="34"/>
      <c r="C32" s="22"/>
      <c r="D32" s="508"/>
      <c r="E32" s="508"/>
      <c r="F32" s="508"/>
      <c r="G32" s="91"/>
      <c r="H32" s="68"/>
      <c r="I32" s="604"/>
      <c r="J32" s="604"/>
      <c r="K32" s="35"/>
      <c r="L32" s="77"/>
    </row>
    <row r="33" spans="2:13" ht="20.149999999999999" customHeight="1" thickBot="1" x14ac:dyDescent="0.5">
      <c r="B33" s="37"/>
      <c r="C33" s="38"/>
      <c r="D33" s="509"/>
      <c r="E33" s="509"/>
      <c r="F33" s="509"/>
      <c r="G33" s="38"/>
      <c r="H33" s="69"/>
      <c r="I33" s="588"/>
      <c r="J33" s="588"/>
      <c r="K33" s="39"/>
      <c r="L33" s="40"/>
    </row>
    <row r="34" spans="2:13" ht="20.149999999999999" customHeight="1" thickBot="1" x14ac:dyDescent="0.5">
      <c r="B34" s="41"/>
      <c r="L34" s="42"/>
    </row>
    <row r="35" spans="2:13" ht="20.149999999999999" customHeight="1" x14ac:dyDescent="0.45">
      <c r="B35" s="11" t="s">
        <v>18</v>
      </c>
      <c r="C35" s="7"/>
      <c r="D35" s="7"/>
      <c r="E35" s="7"/>
      <c r="F35" s="7"/>
      <c r="G35" s="7"/>
      <c r="H35" s="7"/>
      <c r="I35" s="86"/>
      <c r="J35" s="510" t="s">
        <v>15</v>
      </c>
      <c r="K35" s="511"/>
      <c r="L35" s="43">
        <f>SUM(L13:L33)</f>
        <v>112</v>
      </c>
      <c r="M35" s="76">
        <f>166+26</f>
        <v>192</v>
      </c>
    </row>
    <row r="36" spans="2:13" ht="20.149999999999999" customHeight="1" x14ac:dyDescent="0.45">
      <c r="B36" s="11" t="s">
        <v>19</v>
      </c>
      <c r="C36" s="7"/>
      <c r="D36" s="7"/>
      <c r="E36" s="7"/>
      <c r="F36" s="7"/>
      <c r="G36" s="7"/>
      <c r="H36" s="7"/>
      <c r="I36" s="86"/>
      <c r="J36" s="44" t="s">
        <v>22</v>
      </c>
      <c r="K36" s="45"/>
      <c r="L36" s="46">
        <f>L35*K36</f>
        <v>0</v>
      </c>
    </row>
    <row r="37" spans="2:13" ht="20.149999999999999" customHeight="1" x14ac:dyDescent="0.45">
      <c r="B37" s="11" t="s">
        <v>20</v>
      </c>
      <c r="C37" s="7"/>
      <c r="D37" s="7"/>
      <c r="E37" s="7"/>
      <c r="F37" s="7"/>
      <c r="G37" s="7"/>
      <c r="H37" s="7"/>
      <c r="I37" s="86"/>
      <c r="J37" s="486" t="s">
        <v>21</v>
      </c>
      <c r="K37" s="487"/>
      <c r="L37" s="46">
        <f>L35-L36</f>
        <v>112</v>
      </c>
    </row>
    <row r="38" spans="2:13" ht="20.149999999999999" customHeight="1" x14ac:dyDescent="0.45">
      <c r="B38" s="11" t="s">
        <v>24</v>
      </c>
      <c r="C38" s="7"/>
      <c r="D38" s="7"/>
      <c r="E38" s="7"/>
      <c r="F38" s="7"/>
      <c r="G38" s="7"/>
      <c r="H38" s="7"/>
      <c r="I38" s="86"/>
      <c r="J38" s="150" t="s">
        <v>17</v>
      </c>
      <c r="K38" s="151">
        <v>7.0000000000000007E-2</v>
      </c>
      <c r="L38" s="47">
        <f>L37*K38</f>
        <v>7.8400000000000007</v>
      </c>
    </row>
    <row r="39" spans="2:13" ht="20.149999999999999" customHeight="1" thickBot="1" x14ac:dyDescent="0.5">
      <c r="B39" s="11" t="s">
        <v>25</v>
      </c>
      <c r="C39" s="7"/>
      <c r="D39" s="7"/>
      <c r="E39" s="7"/>
      <c r="F39" s="7"/>
      <c r="G39" s="7"/>
      <c r="H39" s="7"/>
      <c r="I39" s="86"/>
      <c r="J39" s="488" t="s">
        <v>23</v>
      </c>
      <c r="K39" s="489"/>
      <c r="L39" s="48">
        <f>L37+L38</f>
        <v>119.84</v>
      </c>
    </row>
    <row r="40" spans="2:13" ht="20.149999999999999" customHeight="1" x14ac:dyDescent="0.45">
      <c r="B40" s="11" t="s">
        <v>26</v>
      </c>
      <c r="C40" s="7"/>
      <c r="D40" s="7"/>
      <c r="E40" s="7"/>
      <c r="F40" s="7"/>
      <c r="G40" s="7"/>
      <c r="H40" s="7"/>
      <c r="I40" s="86"/>
      <c r="L40" s="42"/>
    </row>
    <row r="41" spans="2:13" ht="20.149999999999999" customHeight="1" x14ac:dyDescent="0.45">
      <c r="B41" s="41"/>
      <c r="L41" s="42"/>
    </row>
    <row r="42" spans="2:13" ht="20.149999999999999" customHeight="1" x14ac:dyDescent="0.45">
      <c r="B42" s="41"/>
      <c r="L42" s="42"/>
    </row>
    <row r="43" spans="2:13" ht="20.149999999999999" customHeight="1" x14ac:dyDescent="0.45">
      <c r="B43" s="41"/>
      <c r="L43" s="42"/>
    </row>
    <row r="44" spans="2:13" ht="20.149999999999999" customHeight="1" x14ac:dyDescent="0.45">
      <c r="B44" s="41"/>
      <c r="L44" s="42"/>
    </row>
    <row r="45" spans="2:13" ht="20.149999999999999" customHeight="1" x14ac:dyDescent="0.45">
      <c r="B45" s="49"/>
      <c r="C45" s="50"/>
      <c r="D45" s="50"/>
      <c r="J45" s="87"/>
      <c r="K45" s="50"/>
      <c r="L45" s="51"/>
    </row>
    <row r="46" spans="2:13" ht="20.149999999999999" customHeight="1" x14ac:dyDescent="0.45">
      <c r="B46" s="41" t="s">
        <v>27</v>
      </c>
      <c r="J46" s="81" t="s">
        <v>28</v>
      </c>
      <c r="L46" s="42"/>
    </row>
    <row r="47" spans="2:13" ht="19" thickBot="1" x14ac:dyDescent="0.5">
      <c r="B47" s="52"/>
      <c r="C47" s="53"/>
      <c r="D47" s="53"/>
      <c r="E47" s="53"/>
      <c r="F47" s="53"/>
      <c r="G47" s="53"/>
      <c r="H47" s="53"/>
      <c r="I47" s="88"/>
      <c r="J47" s="88"/>
      <c r="K47" s="53"/>
      <c r="L47" s="54"/>
    </row>
  </sheetData>
  <mergeCells count="55">
    <mergeCell ref="D30:F30"/>
    <mergeCell ref="I30:J30"/>
    <mergeCell ref="J37:K37"/>
    <mergeCell ref="J39:K39"/>
    <mergeCell ref="I31:J31"/>
    <mergeCell ref="D32:F32"/>
    <mergeCell ref="I32:J32"/>
    <mergeCell ref="D33:F33"/>
    <mergeCell ref="I33:J33"/>
    <mergeCell ref="J35:K35"/>
    <mergeCell ref="D27:F27"/>
    <mergeCell ref="I27:J27"/>
    <mergeCell ref="D28:F28"/>
    <mergeCell ref="I28:J28"/>
    <mergeCell ref="D29:F29"/>
    <mergeCell ref="I29:J29"/>
    <mergeCell ref="D24:F24"/>
    <mergeCell ref="I24:J24"/>
    <mergeCell ref="D25:F25"/>
    <mergeCell ref="I25:J25"/>
    <mergeCell ref="D26:F26"/>
    <mergeCell ref="I26:J26"/>
    <mergeCell ref="D21:F21"/>
    <mergeCell ref="I21:J21"/>
    <mergeCell ref="D22:F22"/>
    <mergeCell ref="I22:J22"/>
    <mergeCell ref="D23:F23"/>
    <mergeCell ref="I23:J23"/>
    <mergeCell ref="D18:F18"/>
    <mergeCell ref="I18:J18"/>
    <mergeCell ref="D19:F19"/>
    <mergeCell ref="I19:J19"/>
    <mergeCell ref="D20:F20"/>
    <mergeCell ref="I20:J20"/>
    <mergeCell ref="D16:F16"/>
    <mergeCell ref="I16:J16"/>
    <mergeCell ref="D17:F17"/>
    <mergeCell ref="I17:J17"/>
    <mergeCell ref="D15:F15"/>
    <mergeCell ref="I15:J15"/>
    <mergeCell ref="D13:F13"/>
    <mergeCell ref="I13:J13"/>
    <mergeCell ref="D14:F14"/>
    <mergeCell ref="K6:L6"/>
    <mergeCell ref="B7:D7"/>
    <mergeCell ref="F7:H11"/>
    <mergeCell ref="K7:L7"/>
    <mergeCell ref="B8:D8"/>
    <mergeCell ref="K8:L8"/>
    <mergeCell ref="B9:D9"/>
    <mergeCell ref="K9:L9"/>
    <mergeCell ref="B10:D10"/>
    <mergeCell ref="K10:L10"/>
    <mergeCell ref="K11:L11"/>
    <mergeCell ref="I14:J14"/>
  </mergeCells>
  <pageMargins left="0.70866141732283472" right="0.31496062992125984" top="2.1653543307086616" bottom="0" header="0.31496062992125984" footer="0.31496062992125984"/>
  <pageSetup paperSize="9" scale="74" orientation="portrait" verticalDpi="300"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0A8AB6-7968-4DF1-9FCC-EDFF6896DEF4}">
  <sheetPr codeName="Sheet181">
    <tabColor rgb="FFFFFF00"/>
    <pageSetUpPr fitToPage="1"/>
  </sheetPr>
  <dimension ref="B5:V47"/>
  <sheetViews>
    <sheetView topLeftCell="A4" workbookViewId="0">
      <selection activeCell="D17" sqref="D17:F17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6.54296875" style="24" customWidth="1"/>
    <col min="7" max="7" width="8.54296875" style="24" customWidth="1"/>
    <col min="8" max="8" width="12.54296875" style="24" customWidth="1"/>
    <col min="9" max="9" width="2.54296875" style="24" customWidth="1"/>
    <col min="10" max="10" width="15.54296875" style="24" customWidth="1"/>
    <col min="11" max="12" width="12.54296875" style="24" customWidth="1"/>
    <col min="13" max="16384" width="12.54296875" style="24"/>
  </cols>
  <sheetData>
    <row r="5" spans="2:22" ht="19" thickBot="1" x14ac:dyDescent="0.5">
      <c r="B5" s="23"/>
    </row>
    <row r="6" spans="2:22" ht="18" customHeight="1" thickTop="1" thickBot="1" x14ac:dyDescent="0.5">
      <c r="B6" s="25" t="s">
        <v>9</v>
      </c>
      <c r="C6" s="25"/>
      <c r="D6" s="26"/>
      <c r="E6" s="26"/>
      <c r="F6" s="27" t="s">
        <v>10</v>
      </c>
      <c r="G6" s="28"/>
      <c r="H6" s="28" t="s">
        <v>816</v>
      </c>
      <c r="J6" s="29" t="s">
        <v>29</v>
      </c>
      <c r="K6" s="452">
        <v>201910462</v>
      </c>
      <c r="L6" s="453"/>
    </row>
    <row r="7" spans="2:22" ht="20.149999999999999" customHeight="1" x14ac:dyDescent="0.45">
      <c r="B7" s="454" t="s">
        <v>583</v>
      </c>
      <c r="C7" s="455"/>
      <c r="D7" s="456"/>
      <c r="E7" s="30"/>
      <c r="F7" s="457" t="str">
        <f>VLOOKUP(H6,'Delivery Location'!A$4:N$416,2,0)</f>
        <v xml:space="preserve">Specturm Food Centre Pte Ltd               134, Tagore Lane Sindo Industrial Estate Singapore 787557           </v>
      </c>
      <c r="G7" s="458"/>
      <c r="H7" s="459"/>
      <c r="J7" s="31" t="s">
        <v>11</v>
      </c>
      <c r="K7" s="551">
        <v>43762</v>
      </c>
      <c r="L7" s="472"/>
    </row>
    <row r="8" spans="2:22" ht="20.149999999999999" customHeight="1" x14ac:dyDescent="0.45">
      <c r="B8" s="468" t="s">
        <v>584</v>
      </c>
      <c r="C8" s="469"/>
      <c r="D8" s="470"/>
      <c r="E8" s="30"/>
      <c r="F8" s="460"/>
      <c r="G8" s="461"/>
      <c r="H8" s="462"/>
      <c r="J8" s="31" t="s">
        <v>171</v>
      </c>
      <c r="K8" s="471" t="s">
        <v>533</v>
      </c>
      <c r="L8" s="472"/>
    </row>
    <row r="9" spans="2:22" ht="20.149999999999999" customHeight="1" x14ac:dyDescent="0.45">
      <c r="B9" s="468" t="s">
        <v>890</v>
      </c>
      <c r="C9" s="469"/>
      <c r="D9" s="470"/>
      <c r="E9" s="30"/>
      <c r="F9" s="460"/>
      <c r="G9" s="461"/>
      <c r="H9" s="462"/>
      <c r="J9" s="31" t="s">
        <v>12</v>
      </c>
      <c r="K9" s="471" t="s">
        <v>14</v>
      </c>
      <c r="L9" s="472"/>
    </row>
    <row r="10" spans="2:22" ht="20.149999999999999" customHeight="1" x14ac:dyDescent="0.45">
      <c r="B10" s="468" t="s">
        <v>891</v>
      </c>
      <c r="C10" s="469"/>
      <c r="D10" s="470"/>
      <c r="E10" s="30"/>
      <c r="F10" s="460"/>
      <c r="G10" s="461"/>
      <c r="H10" s="462"/>
      <c r="J10" s="31" t="s">
        <v>30</v>
      </c>
      <c r="K10" s="471" t="s">
        <v>16</v>
      </c>
      <c r="L10" s="472"/>
    </row>
    <row r="11" spans="2:22" ht="18" customHeight="1" thickBot="1" x14ac:dyDescent="0.5">
      <c r="B11" s="552" t="s">
        <v>585</v>
      </c>
      <c r="C11" s="474"/>
      <c r="D11" s="475"/>
      <c r="E11" s="26"/>
      <c r="F11" s="463"/>
      <c r="G11" s="464"/>
      <c r="H11" s="465"/>
      <c r="J11" s="32" t="s">
        <v>13</v>
      </c>
      <c r="K11" s="476"/>
      <c r="L11" s="477"/>
    </row>
    <row r="12" spans="2:22" ht="19" thickBot="1" x14ac:dyDescent="0.5">
      <c r="J12" s="22"/>
    </row>
    <row r="13" spans="2:22" ht="30" customHeight="1" thickBot="1" x14ac:dyDescent="0.5">
      <c r="B13" s="8" t="s">
        <v>2</v>
      </c>
      <c r="C13" s="9" t="s">
        <v>3</v>
      </c>
      <c r="D13" s="478" t="s">
        <v>4</v>
      </c>
      <c r="E13" s="483"/>
      <c r="F13" s="479"/>
      <c r="G13" s="19" t="s">
        <v>620</v>
      </c>
      <c r="H13" s="8" t="s">
        <v>622</v>
      </c>
      <c r="I13" s="478" t="s">
        <v>621</v>
      </c>
      <c r="J13" s="479"/>
      <c r="K13" s="9" t="s">
        <v>6</v>
      </c>
      <c r="L13" s="10" t="s">
        <v>7</v>
      </c>
      <c r="M13" s="33"/>
      <c r="N13" s="33"/>
      <c r="O13" s="33"/>
    </row>
    <row r="14" spans="2:22" ht="20.149999999999999" customHeight="1" x14ac:dyDescent="0.45">
      <c r="B14" s="34"/>
      <c r="C14" s="22" t="s">
        <v>627</v>
      </c>
      <c r="D14" s="508" t="e">
        <f>VLOOKUP(C14,'Sales Master'!B$3:D$499,2,)</f>
        <v>#N/A</v>
      </c>
      <c r="E14" s="508"/>
      <c r="F14" s="508"/>
      <c r="G14" s="90">
        <v>1</v>
      </c>
      <c r="H14" s="68" t="e">
        <f>VLOOKUP(C14,'Sales Master'!$B$3:$E$590,4,0)</f>
        <v>#N/A</v>
      </c>
      <c r="I14" s="481" t="e">
        <f>VLOOKUP(C14,'Sales Master'!$B$3:F$590,5,0)</f>
        <v>#N/A</v>
      </c>
      <c r="J14" s="481"/>
      <c r="K14" s="94" t="e">
        <f>VLOOKUP(C14,'Sales Master'!B$3:S$499,18,0)</f>
        <v>#N/A</v>
      </c>
      <c r="L14" s="77" t="e">
        <f>K14*G14</f>
        <v>#N/A</v>
      </c>
      <c r="M14" s="78"/>
      <c r="N14" s="125" t="s">
        <v>381</v>
      </c>
      <c r="O14" s="24" t="s">
        <v>284</v>
      </c>
      <c r="R14" s="24">
        <v>1</v>
      </c>
      <c r="S14" s="24" t="s">
        <v>36</v>
      </c>
      <c r="T14" s="24" t="s">
        <v>740</v>
      </c>
      <c r="V14" s="24">
        <v>30</v>
      </c>
    </row>
    <row r="15" spans="2:22" ht="20.149999999999999" customHeight="1" x14ac:dyDescent="0.45">
      <c r="B15" s="34"/>
      <c r="C15" s="22"/>
      <c r="D15" s="508"/>
      <c r="E15" s="508"/>
      <c r="F15" s="508"/>
      <c r="G15" s="90"/>
      <c r="H15" s="68"/>
      <c r="I15" s="481"/>
      <c r="J15" s="481"/>
      <c r="K15" s="94"/>
      <c r="L15" s="77"/>
      <c r="M15" s="78"/>
      <c r="N15" s="125" t="s">
        <v>413</v>
      </c>
      <c r="O15" s="24" t="s">
        <v>312</v>
      </c>
      <c r="R15" s="24">
        <v>2</v>
      </c>
      <c r="S15" s="24" t="s">
        <v>256</v>
      </c>
      <c r="T15" s="24" t="s">
        <v>34</v>
      </c>
      <c r="V15" s="24">
        <v>13</v>
      </c>
    </row>
    <row r="16" spans="2:22" ht="20.149999999999999" customHeight="1" x14ac:dyDescent="0.45">
      <c r="B16" s="34"/>
      <c r="C16" s="22"/>
      <c r="D16" s="508"/>
      <c r="E16" s="508"/>
      <c r="F16" s="508"/>
      <c r="G16" s="90"/>
      <c r="H16" s="68"/>
      <c r="I16" s="481"/>
      <c r="J16" s="481"/>
      <c r="K16" s="94"/>
      <c r="L16" s="77"/>
      <c r="M16" s="78"/>
      <c r="N16" s="125" t="s">
        <v>422</v>
      </c>
      <c r="O16" s="24" t="s">
        <v>315</v>
      </c>
      <c r="R16" s="24">
        <v>1</v>
      </c>
      <c r="S16" s="24" t="s">
        <v>57</v>
      </c>
      <c r="T16" s="24" t="s">
        <v>34</v>
      </c>
      <c r="V16" s="24">
        <v>8.5</v>
      </c>
    </row>
    <row r="17" spans="2:22" ht="20.149999999999999" customHeight="1" x14ac:dyDescent="0.45">
      <c r="B17" s="34"/>
      <c r="C17" s="22"/>
      <c r="D17" s="508"/>
      <c r="E17" s="508"/>
      <c r="F17" s="508"/>
      <c r="G17" s="90"/>
      <c r="H17" s="68"/>
      <c r="I17" s="481"/>
      <c r="J17" s="481"/>
      <c r="K17" s="94"/>
      <c r="L17" s="77"/>
      <c r="M17" s="78"/>
      <c r="N17" s="125" t="s">
        <v>447</v>
      </c>
      <c r="O17" s="24" t="s">
        <v>459</v>
      </c>
      <c r="R17" s="24">
        <v>1</v>
      </c>
      <c r="S17" s="24" t="s">
        <v>260</v>
      </c>
      <c r="T17" s="24" t="s">
        <v>709</v>
      </c>
      <c r="V17" s="24">
        <v>32</v>
      </c>
    </row>
    <row r="18" spans="2:22" ht="20.149999999999999" customHeight="1" x14ac:dyDescent="0.45">
      <c r="B18" s="34"/>
      <c r="C18" s="22"/>
      <c r="D18" s="508"/>
      <c r="E18" s="508"/>
      <c r="F18" s="508"/>
      <c r="G18" s="90"/>
      <c r="H18" s="68"/>
      <c r="I18" s="481"/>
      <c r="J18" s="481"/>
      <c r="K18" s="94"/>
      <c r="L18" s="77"/>
      <c r="M18" s="78"/>
    </row>
    <row r="19" spans="2:22" ht="20.149999999999999" customHeight="1" x14ac:dyDescent="0.45">
      <c r="B19" s="34"/>
      <c r="C19" s="22"/>
      <c r="D19" s="508"/>
      <c r="E19" s="508"/>
      <c r="F19" s="508"/>
      <c r="G19" s="90"/>
      <c r="H19" s="68"/>
      <c r="I19" s="481"/>
      <c r="J19" s="481"/>
      <c r="K19" s="94"/>
      <c r="L19" s="77"/>
      <c r="M19" s="78"/>
    </row>
    <row r="20" spans="2:22" ht="20.149999999999999" customHeight="1" x14ac:dyDescent="0.45">
      <c r="B20" s="34"/>
      <c r="C20" s="22"/>
      <c r="D20" s="508"/>
      <c r="E20" s="508"/>
      <c r="F20" s="508"/>
      <c r="G20" s="90"/>
      <c r="H20" s="68"/>
      <c r="I20" s="481"/>
      <c r="J20" s="481"/>
      <c r="K20" s="94"/>
      <c r="L20" s="77"/>
      <c r="M20" s="78"/>
    </row>
    <row r="21" spans="2:22" ht="20.149999999999999" customHeight="1" x14ac:dyDescent="0.45">
      <c r="B21" s="34"/>
      <c r="C21" s="22"/>
      <c r="D21" s="508"/>
      <c r="E21" s="508"/>
      <c r="F21" s="508"/>
      <c r="G21" s="90"/>
      <c r="H21" s="68"/>
      <c r="I21" s="481"/>
      <c r="J21" s="481"/>
      <c r="K21" s="94"/>
      <c r="L21" s="77"/>
      <c r="M21" s="78"/>
    </row>
    <row r="22" spans="2:22" ht="20.149999999999999" customHeight="1" x14ac:dyDescent="0.45">
      <c r="B22" s="34"/>
      <c r="C22" s="22"/>
      <c r="D22" s="508"/>
      <c r="E22" s="508"/>
      <c r="F22" s="508"/>
      <c r="G22" s="90"/>
      <c r="H22" s="68"/>
      <c r="I22" s="481"/>
      <c r="J22" s="481"/>
      <c r="K22" s="94"/>
      <c r="L22" s="77"/>
      <c r="M22" s="78"/>
    </row>
    <row r="23" spans="2:22" ht="20.149999999999999" customHeight="1" x14ac:dyDescent="0.45">
      <c r="B23" s="34"/>
      <c r="C23" s="22"/>
      <c r="D23" s="508"/>
      <c r="E23" s="508"/>
      <c r="F23" s="508"/>
      <c r="G23" s="90"/>
      <c r="H23" s="68"/>
      <c r="I23" s="481"/>
      <c r="J23" s="481"/>
      <c r="K23" s="94"/>
      <c r="L23" s="77"/>
      <c r="M23" s="78"/>
    </row>
    <row r="24" spans="2:22" ht="20.149999999999999" customHeight="1" x14ac:dyDescent="0.45">
      <c r="B24" s="34"/>
      <c r="C24" s="22"/>
      <c r="G24" s="90"/>
      <c r="H24" s="68"/>
      <c r="I24" s="481"/>
      <c r="J24" s="481"/>
      <c r="K24" s="94"/>
      <c r="L24" s="77"/>
      <c r="M24" s="78"/>
    </row>
    <row r="25" spans="2:22" ht="20.149999999999999" customHeight="1" x14ac:dyDescent="0.45">
      <c r="B25" s="34"/>
      <c r="C25" s="22"/>
      <c r="G25" s="90"/>
      <c r="H25" s="68"/>
      <c r="I25" s="481"/>
      <c r="J25" s="481"/>
      <c r="K25" s="94"/>
      <c r="L25" s="77"/>
      <c r="M25" s="78"/>
    </row>
    <row r="26" spans="2:22" ht="20.149999999999999" customHeight="1" x14ac:dyDescent="0.45">
      <c r="B26" s="34"/>
      <c r="C26" s="22"/>
      <c r="G26" s="90"/>
      <c r="H26" s="68"/>
      <c r="I26" s="481"/>
      <c r="J26" s="481"/>
      <c r="K26" s="94"/>
      <c r="L26" s="77"/>
      <c r="M26" s="78"/>
    </row>
    <row r="27" spans="2:22" ht="20.149999999999999" customHeight="1" x14ac:dyDescent="0.45">
      <c r="B27" s="34"/>
      <c r="C27" s="22"/>
      <c r="G27" s="22"/>
      <c r="H27" s="68"/>
      <c r="I27" s="481"/>
      <c r="J27" s="481"/>
      <c r="K27" s="94"/>
      <c r="L27" s="77"/>
      <c r="M27" s="78"/>
    </row>
    <row r="28" spans="2:22" ht="20.149999999999999" customHeight="1" x14ac:dyDescent="0.45">
      <c r="B28" s="34"/>
      <c r="C28" s="22"/>
      <c r="G28" s="22"/>
      <c r="H28" s="68"/>
      <c r="I28" s="481"/>
      <c r="J28" s="481"/>
      <c r="K28" s="94"/>
      <c r="L28" s="77"/>
      <c r="M28" s="78"/>
    </row>
    <row r="29" spans="2:22" ht="20.149999999999999" customHeight="1" x14ac:dyDescent="0.45">
      <c r="B29" s="34"/>
      <c r="C29" s="22"/>
      <c r="D29" s="508"/>
      <c r="E29" s="508"/>
      <c r="F29" s="508"/>
      <c r="G29" s="22"/>
      <c r="H29" s="68"/>
      <c r="I29" s="481"/>
      <c r="J29" s="481"/>
      <c r="K29" s="94"/>
      <c r="L29" s="77"/>
      <c r="M29" s="78"/>
    </row>
    <row r="30" spans="2:22" ht="20.149999999999999" customHeight="1" x14ac:dyDescent="0.45">
      <c r="B30" s="34"/>
      <c r="C30" s="22"/>
      <c r="D30" s="508"/>
      <c r="E30" s="508"/>
      <c r="F30" s="508"/>
      <c r="G30" s="22"/>
      <c r="H30" s="68"/>
      <c r="I30" s="481"/>
      <c r="J30" s="481"/>
      <c r="K30" s="94"/>
      <c r="L30" s="77"/>
      <c r="M30" s="78"/>
    </row>
    <row r="31" spans="2:22" ht="20.149999999999999" customHeight="1" x14ac:dyDescent="0.45">
      <c r="B31" s="34"/>
      <c r="C31" s="22"/>
      <c r="D31" s="508"/>
      <c r="E31" s="508"/>
      <c r="F31" s="508"/>
      <c r="G31" s="22"/>
      <c r="H31" s="68"/>
      <c r="I31" s="481"/>
      <c r="J31" s="481"/>
      <c r="K31" s="94"/>
      <c r="L31" s="77"/>
      <c r="M31" s="78"/>
    </row>
    <row r="32" spans="2:22" ht="20.149999999999999" customHeight="1" x14ac:dyDescent="0.45">
      <c r="B32" s="34"/>
      <c r="C32" s="22"/>
      <c r="D32" s="508"/>
      <c r="E32" s="508"/>
      <c r="F32" s="508"/>
      <c r="G32" s="22"/>
      <c r="H32" s="68"/>
      <c r="I32" s="481"/>
      <c r="J32" s="481"/>
      <c r="K32" s="94"/>
      <c r="L32" s="77"/>
    </row>
    <row r="33" spans="2:13" ht="20.149999999999999" customHeight="1" thickBot="1" x14ac:dyDescent="0.5">
      <c r="B33" s="37"/>
      <c r="C33" s="38"/>
      <c r="D33" s="509"/>
      <c r="E33" s="509"/>
      <c r="F33" s="509"/>
      <c r="G33" s="38"/>
      <c r="H33" s="69"/>
      <c r="I33" s="451"/>
      <c r="J33" s="451"/>
      <c r="K33" s="39"/>
      <c r="L33" s="40"/>
    </row>
    <row r="34" spans="2:13" ht="20.149999999999999" customHeight="1" thickBot="1" x14ac:dyDescent="0.5">
      <c r="B34" s="41"/>
      <c r="L34" s="42"/>
    </row>
    <row r="35" spans="2:13" ht="20.149999999999999" customHeight="1" x14ac:dyDescent="0.45">
      <c r="B35" s="11" t="s">
        <v>18</v>
      </c>
      <c r="C35" s="7"/>
      <c r="D35" s="7"/>
      <c r="E35" s="7"/>
      <c r="F35" s="7"/>
      <c r="G35" s="7"/>
      <c r="H35" s="7"/>
      <c r="I35" s="7"/>
      <c r="J35" s="510" t="s">
        <v>15</v>
      </c>
      <c r="K35" s="511"/>
      <c r="L35" s="43" t="e">
        <f>SUM(L13:L33)</f>
        <v>#N/A</v>
      </c>
      <c r="M35" s="76">
        <f>166+26</f>
        <v>192</v>
      </c>
    </row>
    <row r="36" spans="2:13" ht="20.149999999999999" customHeight="1" x14ac:dyDescent="0.45">
      <c r="B36" s="11" t="s">
        <v>19</v>
      </c>
      <c r="C36" s="7"/>
      <c r="D36" s="7"/>
      <c r="E36" s="7"/>
      <c r="F36" s="7"/>
      <c r="G36" s="7"/>
      <c r="H36" s="7"/>
      <c r="I36" s="7"/>
      <c r="J36" s="44" t="s">
        <v>22</v>
      </c>
      <c r="K36" s="45"/>
      <c r="L36" s="46" t="e">
        <f>L35*K36</f>
        <v>#N/A</v>
      </c>
    </row>
    <row r="37" spans="2:13" ht="20.149999999999999" customHeight="1" x14ac:dyDescent="0.45">
      <c r="B37" s="11" t="s">
        <v>20</v>
      </c>
      <c r="C37" s="7"/>
      <c r="D37" s="7"/>
      <c r="E37" s="7"/>
      <c r="F37" s="7"/>
      <c r="G37" s="7"/>
      <c r="H37" s="7"/>
      <c r="I37" s="7"/>
      <c r="J37" s="486" t="s">
        <v>21</v>
      </c>
      <c r="K37" s="487"/>
      <c r="L37" s="46" t="e">
        <f>L35-L36</f>
        <v>#N/A</v>
      </c>
    </row>
    <row r="38" spans="2:13" ht="20.149999999999999" customHeight="1" x14ac:dyDescent="0.45">
      <c r="B38" s="11" t="s">
        <v>24</v>
      </c>
      <c r="C38" s="7"/>
      <c r="D38" s="7"/>
      <c r="E38" s="7"/>
      <c r="F38" s="7"/>
      <c r="G38" s="7"/>
      <c r="H38" s="7"/>
      <c r="I38" s="7"/>
      <c r="J38" s="150" t="s">
        <v>17</v>
      </c>
      <c r="K38" s="151">
        <v>7.0000000000000007E-2</v>
      </c>
      <c r="L38" s="47" t="e">
        <f>L37*K38</f>
        <v>#N/A</v>
      </c>
    </row>
    <row r="39" spans="2:13" ht="20.149999999999999" customHeight="1" thickBot="1" x14ac:dyDescent="0.5">
      <c r="B39" s="11" t="s">
        <v>25</v>
      </c>
      <c r="C39" s="7"/>
      <c r="D39" s="7"/>
      <c r="E39" s="7"/>
      <c r="F39" s="7"/>
      <c r="G39" s="7"/>
      <c r="H39" s="7"/>
      <c r="I39" s="7"/>
      <c r="J39" s="488" t="s">
        <v>23</v>
      </c>
      <c r="K39" s="489"/>
      <c r="L39" s="48" t="e">
        <f>L37+L38</f>
        <v>#N/A</v>
      </c>
    </row>
    <row r="40" spans="2:13" ht="20.149999999999999" customHeight="1" x14ac:dyDescent="0.45">
      <c r="B40" s="11" t="s">
        <v>26</v>
      </c>
      <c r="C40" s="7"/>
      <c r="D40" s="7"/>
      <c r="E40" s="7"/>
      <c r="F40" s="7"/>
      <c r="G40" s="7"/>
      <c r="H40" s="7"/>
      <c r="I40" s="7"/>
      <c r="L40" s="42"/>
    </row>
    <row r="41" spans="2:13" ht="20.149999999999999" customHeight="1" x14ac:dyDescent="0.45">
      <c r="B41" s="41"/>
      <c r="L41" s="42"/>
    </row>
    <row r="42" spans="2:13" ht="20.149999999999999" customHeight="1" x14ac:dyDescent="0.45">
      <c r="B42" s="41"/>
      <c r="L42" s="42"/>
    </row>
    <row r="43" spans="2:13" ht="20.149999999999999" customHeight="1" x14ac:dyDescent="0.45">
      <c r="B43" s="41"/>
      <c r="L43" s="42"/>
    </row>
    <row r="44" spans="2:13" ht="20.149999999999999" customHeight="1" x14ac:dyDescent="0.45">
      <c r="B44" s="41"/>
      <c r="L44" s="42"/>
    </row>
    <row r="45" spans="2:13" ht="20.149999999999999" customHeight="1" x14ac:dyDescent="0.45">
      <c r="B45" s="49"/>
      <c r="C45" s="50"/>
      <c r="D45" s="50"/>
      <c r="J45" s="50"/>
      <c r="K45" s="50"/>
      <c r="L45" s="51"/>
    </row>
    <row r="46" spans="2:13" ht="20.149999999999999" customHeight="1" x14ac:dyDescent="0.45">
      <c r="B46" s="41" t="s">
        <v>27</v>
      </c>
      <c r="J46" s="24" t="s">
        <v>28</v>
      </c>
      <c r="L46" s="42"/>
    </row>
    <row r="47" spans="2:13" ht="19" thickBot="1" x14ac:dyDescent="0.5">
      <c r="B47" s="52"/>
      <c r="C47" s="53"/>
      <c r="D47" s="53"/>
      <c r="E47" s="53"/>
      <c r="F47" s="53"/>
      <c r="G47" s="53"/>
      <c r="H47" s="53"/>
      <c r="I47" s="53"/>
      <c r="J47" s="53"/>
      <c r="K47" s="53"/>
      <c r="L47" s="54"/>
    </row>
  </sheetData>
  <mergeCells count="52">
    <mergeCell ref="I28:J28"/>
    <mergeCell ref="J39:K39"/>
    <mergeCell ref="D30:F30"/>
    <mergeCell ref="I30:J30"/>
    <mergeCell ref="D31:F31"/>
    <mergeCell ref="I31:J31"/>
    <mergeCell ref="D32:F32"/>
    <mergeCell ref="I32:J32"/>
    <mergeCell ref="D33:F33"/>
    <mergeCell ref="I33:J33"/>
    <mergeCell ref="J35:K35"/>
    <mergeCell ref="J37:K37"/>
    <mergeCell ref="D19:F19"/>
    <mergeCell ref="I19:J19"/>
    <mergeCell ref="D20:F20"/>
    <mergeCell ref="I20:J20"/>
    <mergeCell ref="D29:F29"/>
    <mergeCell ref="I29:J29"/>
    <mergeCell ref="D21:F21"/>
    <mergeCell ref="I21:J21"/>
    <mergeCell ref="D22:F22"/>
    <mergeCell ref="I22:J22"/>
    <mergeCell ref="D23:F23"/>
    <mergeCell ref="I23:J23"/>
    <mergeCell ref="I24:J24"/>
    <mergeCell ref="I25:J25"/>
    <mergeCell ref="I26:J26"/>
    <mergeCell ref="I27:J27"/>
    <mergeCell ref="D16:F16"/>
    <mergeCell ref="I16:J16"/>
    <mergeCell ref="D17:F17"/>
    <mergeCell ref="I17:J17"/>
    <mergeCell ref="D18:F18"/>
    <mergeCell ref="I18:J18"/>
    <mergeCell ref="D13:F13"/>
    <mergeCell ref="I13:J13"/>
    <mergeCell ref="D14:F14"/>
    <mergeCell ref="I14:J14"/>
    <mergeCell ref="D15:F15"/>
    <mergeCell ref="I15:J15"/>
    <mergeCell ref="K6:L6"/>
    <mergeCell ref="B7:D7"/>
    <mergeCell ref="F7:H11"/>
    <mergeCell ref="K7:L7"/>
    <mergeCell ref="B8:D8"/>
    <mergeCell ref="K8:L8"/>
    <mergeCell ref="B9:D9"/>
    <mergeCell ref="K9:L9"/>
    <mergeCell ref="B10:D10"/>
    <mergeCell ref="K10:L10"/>
    <mergeCell ref="B11:D11"/>
    <mergeCell ref="K11:L11"/>
  </mergeCells>
  <pageMargins left="0.70866141732283472" right="0.31496062992125984" top="2.1653543307086616" bottom="0" header="0.31496062992125984" footer="0.31496062992125984"/>
  <pageSetup paperSize="9" scale="76" orientation="portrait" verticalDpi="300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003382-8CCB-4A44-9F0C-63E428C78413}">
  <sheetPr codeName="Sheet182">
    <tabColor rgb="FFFFFF00"/>
    <pageSetUpPr fitToPage="1"/>
  </sheetPr>
  <dimension ref="B5:O47"/>
  <sheetViews>
    <sheetView workbookViewId="0">
      <selection activeCell="K6" sqref="K6:L6"/>
    </sheetView>
  </sheetViews>
  <sheetFormatPr defaultColWidth="12.54296875" defaultRowHeight="18.5" x14ac:dyDescent="0.45"/>
  <cols>
    <col min="1" max="1" width="12.54296875" style="24"/>
    <col min="2" max="3" width="12.54296875" style="24" customWidth="1"/>
    <col min="4" max="4" width="14.54296875" style="24" customWidth="1"/>
    <col min="5" max="5" width="1.54296875" style="24" customWidth="1"/>
    <col min="6" max="6" width="14.54296875" style="24" customWidth="1"/>
    <col min="7" max="7" width="8.54296875" style="24" customWidth="1"/>
    <col min="8" max="8" width="12.54296875" style="24" customWidth="1"/>
    <col min="9" max="9" width="4.54296875" style="81" customWidth="1"/>
    <col min="10" max="10" width="15.54296875" style="81" customWidth="1"/>
    <col min="11" max="12" width="12.54296875" style="24" customWidth="1"/>
    <col min="13" max="16384" width="12.54296875" style="24"/>
  </cols>
  <sheetData>
    <row r="5" spans="2:15" ht="19" thickBot="1" x14ac:dyDescent="0.5">
      <c r="B5" s="23"/>
    </row>
    <row r="6" spans="2:15" ht="18" customHeight="1" thickTop="1" thickBot="1" x14ac:dyDescent="0.5">
      <c r="B6" s="25" t="s">
        <v>9</v>
      </c>
      <c r="C6" s="25"/>
      <c r="D6" s="26"/>
      <c r="E6" s="26"/>
      <c r="F6" s="27" t="s">
        <v>10</v>
      </c>
      <c r="G6" s="28"/>
      <c r="H6" s="28" t="s">
        <v>851</v>
      </c>
      <c r="J6" s="82" t="s">
        <v>29</v>
      </c>
      <c r="K6" s="452">
        <v>201911391</v>
      </c>
      <c r="L6" s="453"/>
    </row>
    <row r="7" spans="2:15" ht="20.149999999999999" customHeight="1" x14ac:dyDescent="0.45">
      <c r="B7" s="454"/>
      <c r="C7" s="455"/>
      <c r="D7" s="456"/>
      <c r="E7" s="30"/>
      <c r="F7" s="457" t="str">
        <f>VLOOKUP(H6,'Delivery Location'!A$4:N$416,2,0)</f>
        <v>好口味                                               Blk 272 Bakit Batok East Ave 4                 Singapore 650272.</v>
      </c>
      <c r="G7" s="458"/>
      <c r="H7" s="459"/>
      <c r="J7" s="83" t="s">
        <v>11</v>
      </c>
      <c r="K7" s="551" t="s">
        <v>850</v>
      </c>
      <c r="L7" s="472"/>
    </row>
    <row r="8" spans="2:15" ht="20.149999999999999" customHeight="1" x14ac:dyDescent="0.45">
      <c r="B8" s="468"/>
      <c r="C8" s="469"/>
      <c r="D8" s="470"/>
      <c r="E8" s="30"/>
      <c r="F8" s="460"/>
      <c r="G8" s="461"/>
      <c r="H8" s="462"/>
      <c r="J8" s="83" t="s">
        <v>171</v>
      </c>
      <c r="K8" s="471" t="s">
        <v>533</v>
      </c>
      <c r="L8" s="472"/>
    </row>
    <row r="9" spans="2:15" ht="20.149999999999999" customHeight="1" x14ac:dyDescent="0.45">
      <c r="B9" s="468"/>
      <c r="C9" s="469"/>
      <c r="D9" s="470"/>
      <c r="E9" s="30"/>
      <c r="F9" s="460"/>
      <c r="G9" s="461"/>
      <c r="H9" s="462"/>
      <c r="J9" s="83" t="s">
        <v>12</v>
      </c>
      <c r="K9" s="471" t="s">
        <v>688</v>
      </c>
      <c r="L9" s="472"/>
    </row>
    <row r="10" spans="2:15" ht="20.149999999999999" customHeight="1" x14ac:dyDescent="0.45">
      <c r="B10" s="468"/>
      <c r="C10" s="469"/>
      <c r="D10" s="470"/>
      <c r="E10" s="30"/>
      <c r="F10" s="460"/>
      <c r="G10" s="461"/>
      <c r="H10" s="462"/>
      <c r="J10" s="83" t="s">
        <v>30</v>
      </c>
      <c r="K10" s="471" t="s">
        <v>16</v>
      </c>
      <c r="L10" s="472"/>
    </row>
    <row r="11" spans="2:15" ht="18" customHeight="1" thickBot="1" x14ac:dyDescent="0.5">
      <c r="B11" s="55"/>
      <c r="C11" s="56"/>
      <c r="D11" s="57"/>
      <c r="E11" s="26"/>
      <c r="F11" s="463"/>
      <c r="G11" s="464"/>
      <c r="H11" s="465"/>
      <c r="J11" s="84" t="s">
        <v>13</v>
      </c>
      <c r="K11" s="476"/>
      <c r="L11" s="477"/>
    </row>
    <row r="12" spans="2:15" ht="19" thickBot="1" x14ac:dyDescent="0.5">
      <c r="J12" s="85"/>
    </row>
    <row r="13" spans="2:15" ht="30" customHeight="1" thickBot="1" x14ac:dyDescent="0.5">
      <c r="B13" s="8" t="s">
        <v>2</v>
      </c>
      <c r="C13" s="9" t="s">
        <v>3</v>
      </c>
      <c r="D13" s="478" t="s">
        <v>4</v>
      </c>
      <c r="E13" s="483"/>
      <c r="F13" s="479"/>
      <c r="G13" s="19" t="s">
        <v>620</v>
      </c>
      <c r="H13" s="8" t="s">
        <v>622</v>
      </c>
      <c r="I13" s="605" t="s">
        <v>621</v>
      </c>
      <c r="J13" s="606"/>
      <c r="K13" s="9" t="s">
        <v>6</v>
      </c>
      <c r="L13" s="10" t="s">
        <v>7</v>
      </c>
      <c r="M13" s="33"/>
      <c r="N13" s="33"/>
      <c r="O13" s="33"/>
    </row>
    <row r="14" spans="2:15" ht="20.149999999999999" customHeight="1" x14ac:dyDescent="0.45">
      <c r="B14" s="34"/>
      <c r="C14" s="22" t="s">
        <v>410</v>
      </c>
      <c r="D14" s="508" t="e">
        <f>VLOOKUP(C14,'Sales Master'!B$3:D$499,2,)</f>
        <v>#N/A</v>
      </c>
      <c r="E14" s="508"/>
      <c r="F14" s="508"/>
      <c r="G14" s="90">
        <v>5</v>
      </c>
      <c r="H14" s="68" t="e">
        <f>VLOOKUP(C14,'Sales Master'!$B$3:$E$590,4,0)</f>
        <v>#N/A</v>
      </c>
      <c r="I14" s="604" t="e">
        <f>VLOOKUP(C14,'Sales Master'!$B$3:F$590,5,0)</f>
        <v>#N/A</v>
      </c>
      <c r="J14" s="604"/>
      <c r="K14" s="35" t="e">
        <f>VLOOKUP(C14,'Sales Master'!B$3:AL$499,37,0)</f>
        <v>#N/A</v>
      </c>
      <c r="L14" s="77" t="e">
        <f>K14*G14</f>
        <v>#N/A</v>
      </c>
      <c r="M14" s="78"/>
    </row>
    <row r="15" spans="2:15" ht="20.149999999999999" customHeight="1" x14ac:dyDescent="0.45">
      <c r="B15" s="34"/>
      <c r="C15" s="22"/>
      <c r="D15" s="508"/>
      <c r="E15" s="508"/>
      <c r="F15" s="508"/>
      <c r="G15" s="90"/>
      <c r="H15" s="68"/>
      <c r="I15" s="604"/>
      <c r="J15" s="604"/>
      <c r="K15" s="35"/>
      <c r="L15" s="77"/>
      <c r="M15" s="78"/>
    </row>
    <row r="16" spans="2:15" ht="20.149999999999999" customHeight="1" x14ac:dyDescent="0.45">
      <c r="B16" s="34"/>
      <c r="C16" s="22"/>
      <c r="D16" s="508"/>
      <c r="E16" s="508"/>
      <c r="F16" s="508"/>
      <c r="G16" s="90"/>
      <c r="H16" s="68"/>
      <c r="I16" s="604"/>
      <c r="J16" s="604"/>
      <c r="K16" s="35"/>
      <c r="L16" s="77"/>
      <c r="M16" s="78"/>
    </row>
    <row r="17" spans="2:13" ht="20.149999999999999" customHeight="1" x14ac:dyDescent="0.45">
      <c r="B17" s="34"/>
      <c r="C17" s="22"/>
      <c r="D17" s="508"/>
      <c r="E17" s="508"/>
      <c r="F17" s="508"/>
      <c r="G17" s="90"/>
      <c r="H17" s="68"/>
      <c r="I17" s="604"/>
      <c r="J17" s="604"/>
      <c r="K17" s="35"/>
      <c r="L17" s="77"/>
      <c r="M17" s="78"/>
    </row>
    <row r="18" spans="2:13" ht="20.149999999999999" customHeight="1" x14ac:dyDescent="0.45">
      <c r="B18" s="80"/>
      <c r="C18" s="22"/>
      <c r="D18" s="508"/>
      <c r="E18" s="508"/>
      <c r="F18" s="508"/>
      <c r="G18" s="90"/>
      <c r="H18" s="68"/>
      <c r="I18" s="604"/>
      <c r="J18" s="604"/>
      <c r="K18" s="35"/>
      <c r="L18" s="77"/>
      <c r="M18" s="78"/>
    </row>
    <row r="19" spans="2:13" ht="20.149999999999999" customHeight="1" x14ac:dyDescent="0.45">
      <c r="B19" s="34"/>
      <c r="C19" s="22"/>
      <c r="D19" s="508"/>
      <c r="E19" s="508"/>
      <c r="F19" s="508"/>
      <c r="G19" s="90"/>
      <c r="H19" s="68"/>
      <c r="I19" s="604"/>
      <c r="J19" s="604"/>
      <c r="K19" s="35"/>
      <c r="L19" s="77"/>
      <c r="M19" s="78"/>
    </row>
    <row r="20" spans="2:13" ht="20.149999999999999" customHeight="1" x14ac:dyDescent="0.45">
      <c r="B20" s="34"/>
      <c r="C20" s="22"/>
      <c r="D20" s="508"/>
      <c r="E20" s="508"/>
      <c r="F20" s="508"/>
      <c r="G20" s="90"/>
      <c r="H20" s="68"/>
      <c r="I20" s="604"/>
      <c r="J20" s="604"/>
      <c r="K20" s="35"/>
      <c r="L20" s="77"/>
      <c r="M20" s="78"/>
    </row>
    <row r="21" spans="2:13" ht="20.149999999999999" customHeight="1" x14ac:dyDescent="0.45">
      <c r="B21" s="34"/>
      <c r="C21" s="22"/>
      <c r="D21" s="508"/>
      <c r="E21" s="508"/>
      <c r="F21" s="508"/>
      <c r="G21" s="90"/>
      <c r="H21" s="68"/>
      <c r="I21" s="604"/>
      <c r="J21" s="604"/>
      <c r="K21" s="35"/>
      <c r="L21" s="77"/>
      <c r="M21" s="78"/>
    </row>
    <row r="22" spans="2:13" ht="20.149999999999999" customHeight="1" x14ac:dyDescent="0.45">
      <c r="B22" s="34"/>
      <c r="C22" s="22"/>
      <c r="D22" s="508"/>
      <c r="E22" s="508"/>
      <c r="F22" s="508"/>
      <c r="G22" s="90"/>
      <c r="H22" s="68"/>
      <c r="I22" s="604"/>
      <c r="J22" s="604"/>
      <c r="K22" s="35"/>
      <c r="L22" s="77"/>
      <c r="M22" s="78"/>
    </row>
    <row r="23" spans="2:13" ht="20.149999999999999" customHeight="1" x14ac:dyDescent="0.45">
      <c r="B23" s="34"/>
      <c r="C23" s="22"/>
      <c r="D23" s="508"/>
      <c r="E23" s="508"/>
      <c r="F23" s="508"/>
      <c r="G23" s="90"/>
      <c r="H23" s="68"/>
      <c r="I23" s="604"/>
      <c r="J23" s="604"/>
      <c r="K23" s="35"/>
      <c r="L23" s="77"/>
      <c r="M23" s="78"/>
    </row>
    <row r="24" spans="2:13" ht="20.149999999999999" customHeight="1" x14ac:dyDescent="0.45">
      <c r="B24" s="34"/>
      <c r="C24" s="22"/>
      <c r="D24" s="508"/>
      <c r="E24" s="508"/>
      <c r="F24" s="508"/>
      <c r="G24" s="91"/>
      <c r="H24" s="68"/>
      <c r="I24" s="604"/>
      <c r="J24" s="604"/>
      <c r="K24" s="35"/>
      <c r="L24" s="77"/>
      <c r="M24" s="78"/>
    </row>
    <row r="25" spans="2:13" ht="20.149999999999999" customHeight="1" x14ac:dyDescent="0.45">
      <c r="B25" s="34"/>
      <c r="C25" s="22"/>
      <c r="D25" s="508"/>
      <c r="E25" s="508"/>
      <c r="F25" s="508"/>
      <c r="G25" s="91"/>
      <c r="H25" s="68"/>
      <c r="I25" s="604"/>
      <c r="J25" s="604"/>
      <c r="K25" s="35"/>
      <c r="L25" s="77"/>
      <c r="M25" s="78"/>
    </row>
    <row r="26" spans="2:13" ht="20.149999999999999" customHeight="1" x14ac:dyDescent="0.45">
      <c r="B26" s="34"/>
      <c r="C26" s="22"/>
      <c r="D26" s="508"/>
      <c r="E26" s="508"/>
      <c r="F26" s="508"/>
      <c r="G26" s="91"/>
      <c r="H26" s="68"/>
      <c r="I26" s="604"/>
      <c r="J26" s="604"/>
      <c r="K26" s="35"/>
      <c r="L26" s="77"/>
      <c r="M26" s="78"/>
    </row>
    <row r="27" spans="2:13" ht="20.149999999999999" customHeight="1" x14ac:dyDescent="0.45">
      <c r="B27" s="34"/>
      <c r="C27" s="22"/>
      <c r="D27" s="508"/>
      <c r="E27" s="508"/>
      <c r="F27" s="508"/>
      <c r="G27" s="91"/>
      <c r="H27" s="68"/>
      <c r="I27" s="604"/>
      <c r="J27" s="604"/>
      <c r="K27" s="35"/>
      <c r="L27" s="77"/>
      <c r="M27" s="78"/>
    </row>
    <row r="28" spans="2:13" ht="20.149999999999999" customHeight="1" x14ac:dyDescent="0.45">
      <c r="B28" s="34"/>
      <c r="C28" s="22"/>
      <c r="D28" s="508"/>
      <c r="E28" s="508"/>
      <c r="F28" s="508"/>
      <c r="G28" s="91"/>
      <c r="H28" s="68"/>
      <c r="I28" s="604"/>
      <c r="J28" s="604"/>
      <c r="K28" s="35"/>
      <c r="L28" s="77"/>
      <c r="M28" s="78"/>
    </row>
    <row r="29" spans="2:13" ht="20.149999999999999" customHeight="1" x14ac:dyDescent="0.45">
      <c r="B29" s="34"/>
      <c r="C29" s="22"/>
      <c r="D29" s="508"/>
      <c r="E29" s="508"/>
      <c r="F29" s="508"/>
      <c r="G29" s="91"/>
      <c r="H29" s="68"/>
      <c r="I29" s="604"/>
      <c r="J29" s="604"/>
      <c r="K29" s="35"/>
      <c r="L29" s="77"/>
      <c r="M29" s="78"/>
    </row>
    <row r="30" spans="2:13" ht="20.149999999999999" customHeight="1" x14ac:dyDescent="0.45">
      <c r="B30" s="34"/>
      <c r="C30" s="22"/>
      <c r="D30" s="508"/>
      <c r="E30" s="508"/>
      <c r="F30" s="508"/>
      <c r="G30" s="91"/>
      <c r="H30" s="68"/>
      <c r="I30" s="604"/>
      <c r="J30" s="604"/>
      <c r="K30" s="35"/>
      <c r="L30" s="77"/>
      <c r="M30" s="78"/>
    </row>
    <row r="31" spans="2:13" ht="20.149999999999999" customHeight="1" x14ac:dyDescent="0.45">
      <c r="B31" s="34"/>
      <c r="C31" s="22"/>
      <c r="G31" s="91"/>
      <c r="H31" s="68"/>
      <c r="I31" s="604"/>
      <c r="J31" s="604"/>
      <c r="K31" s="35"/>
      <c r="L31" s="77"/>
      <c r="M31" s="78"/>
    </row>
    <row r="32" spans="2:13" ht="20.149999999999999" customHeight="1" x14ac:dyDescent="0.45">
      <c r="B32" s="34"/>
      <c r="C32" s="22"/>
      <c r="D32" s="508"/>
      <c r="E32" s="508"/>
      <c r="F32" s="508"/>
      <c r="G32" s="91"/>
      <c r="H32" s="68"/>
      <c r="I32" s="604"/>
      <c r="J32" s="604"/>
      <c r="K32" s="35"/>
      <c r="L32" s="77"/>
    </row>
    <row r="33" spans="2:13" ht="20.149999999999999" customHeight="1" thickBot="1" x14ac:dyDescent="0.5">
      <c r="B33" s="37"/>
      <c r="C33" s="38"/>
      <c r="D33" s="509"/>
      <c r="E33" s="509"/>
      <c r="F33" s="509"/>
      <c r="G33" s="38"/>
      <c r="H33" s="69"/>
      <c r="I33" s="588"/>
      <c r="J33" s="588"/>
      <c r="K33" s="39"/>
      <c r="L33" s="40"/>
    </row>
    <row r="34" spans="2:13" ht="20.149999999999999" customHeight="1" thickBot="1" x14ac:dyDescent="0.5">
      <c r="B34" s="41"/>
      <c r="L34" s="42"/>
    </row>
    <row r="35" spans="2:13" ht="20.149999999999999" customHeight="1" x14ac:dyDescent="0.45">
      <c r="B35" s="11" t="s">
        <v>18</v>
      </c>
      <c r="C35" s="7"/>
      <c r="D35" s="7"/>
      <c r="E35" s="7"/>
      <c r="F35" s="7"/>
      <c r="G35" s="7"/>
      <c r="H35" s="7"/>
      <c r="I35" s="86"/>
      <c r="J35" s="510" t="s">
        <v>15</v>
      </c>
      <c r="K35" s="511"/>
      <c r="L35" s="43" t="e">
        <f>SUM(L13:L33)</f>
        <v>#N/A</v>
      </c>
      <c r="M35" s="76">
        <f>166+26</f>
        <v>192</v>
      </c>
    </row>
    <row r="36" spans="2:13" ht="20.149999999999999" customHeight="1" x14ac:dyDescent="0.45">
      <c r="B36" s="11" t="s">
        <v>19</v>
      </c>
      <c r="C36" s="7"/>
      <c r="D36" s="7"/>
      <c r="E36" s="7"/>
      <c r="F36" s="7"/>
      <c r="G36" s="7"/>
      <c r="H36" s="7"/>
      <c r="I36" s="86"/>
      <c r="J36" s="44" t="s">
        <v>22</v>
      </c>
      <c r="K36" s="45"/>
      <c r="L36" s="46" t="e">
        <f>L35*K36</f>
        <v>#N/A</v>
      </c>
    </row>
    <row r="37" spans="2:13" ht="20.149999999999999" customHeight="1" x14ac:dyDescent="0.45">
      <c r="B37" s="11" t="s">
        <v>20</v>
      </c>
      <c r="C37" s="7"/>
      <c r="D37" s="7"/>
      <c r="E37" s="7"/>
      <c r="F37" s="7"/>
      <c r="G37" s="7"/>
      <c r="H37" s="7"/>
      <c r="I37" s="86"/>
      <c r="J37" s="486" t="s">
        <v>21</v>
      </c>
      <c r="K37" s="487"/>
      <c r="L37" s="46" t="e">
        <f>L35-L36</f>
        <v>#N/A</v>
      </c>
    </row>
    <row r="38" spans="2:13" ht="20.149999999999999" customHeight="1" x14ac:dyDescent="0.45">
      <c r="B38" s="11" t="s">
        <v>24</v>
      </c>
      <c r="C38" s="7"/>
      <c r="D38" s="7"/>
      <c r="E38" s="7"/>
      <c r="F38" s="7"/>
      <c r="G38" s="7"/>
      <c r="H38" s="7"/>
      <c r="I38" s="86"/>
      <c r="J38" s="150" t="s">
        <v>17</v>
      </c>
      <c r="K38" s="151">
        <v>7.0000000000000007E-2</v>
      </c>
      <c r="L38" s="47" t="e">
        <f>L37*K38</f>
        <v>#N/A</v>
      </c>
    </row>
    <row r="39" spans="2:13" ht="20.149999999999999" customHeight="1" thickBot="1" x14ac:dyDescent="0.5">
      <c r="B39" s="11" t="s">
        <v>25</v>
      </c>
      <c r="C39" s="7"/>
      <c r="D39" s="7"/>
      <c r="E39" s="7"/>
      <c r="F39" s="7"/>
      <c r="G39" s="7"/>
      <c r="H39" s="7"/>
      <c r="I39" s="86"/>
      <c r="J39" s="488" t="s">
        <v>23</v>
      </c>
      <c r="K39" s="489"/>
      <c r="L39" s="48" t="e">
        <f>L37+L38</f>
        <v>#N/A</v>
      </c>
    </row>
    <row r="40" spans="2:13" ht="20.149999999999999" customHeight="1" x14ac:dyDescent="0.45">
      <c r="B40" s="11" t="s">
        <v>26</v>
      </c>
      <c r="C40" s="7"/>
      <c r="D40" s="7"/>
      <c r="E40" s="7"/>
      <c r="F40" s="7"/>
      <c r="G40" s="7"/>
      <c r="H40" s="7"/>
      <c r="I40" s="86"/>
      <c r="L40" s="42"/>
    </row>
    <row r="41" spans="2:13" ht="20.149999999999999" customHeight="1" x14ac:dyDescent="0.45">
      <c r="B41" s="41"/>
      <c r="L41" s="42"/>
    </row>
    <row r="42" spans="2:13" ht="20.149999999999999" customHeight="1" x14ac:dyDescent="0.45">
      <c r="B42" s="41"/>
      <c r="L42" s="42"/>
    </row>
    <row r="43" spans="2:13" ht="20.149999999999999" customHeight="1" x14ac:dyDescent="0.45">
      <c r="B43" s="41"/>
      <c r="L43" s="42"/>
    </row>
    <row r="44" spans="2:13" ht="20.149999999999999" customHeight="1" x14ac:dyDescent="0.45">
      <c r="B44" s="41"/>
      <c r="L44" s="42"/>
    </row>
    <row r="45" spans="2:13" ht="20.149999999999999" customHeight="1" x14ac:dyDescent="0.45">
      <c r="B45" s="49"/>
      <c r="C45" s="50"/>
      <c r="D45" s="50"/>
      <c r="J45" s="87"/>
      <c r="K45" s="50"/>
      <c r="L45" s="51"/>
    </row>
    <row r="46" spans="2:13" ht="20.149999999999999" customHeight="1" x14ac:dyDescent="0.45">
      <c r="B46" s="41" t="s">
        <v>27</v>
      </c>
      <c r="J46" s="81" t="s">
        <v>28</v>
      </c>
      <c r="L46" s="42"/>
    </row>
    <row r="47" spans="2:13" ht="19" thickBot="1" x14ac:dyDescent="0.5">
      <c r="B47" s="52"/>
      <c r="C47" s="53"/>
      <c r="D47" s="53"/>
      <c r="E47" s="53"/>
      <c r="F47" s="53"/>
      <c r="G47" s="53"/>
      <c r="H47" s="53"/>
      <c r="I47" s="88"/>
      <c r="J47" s="88"/>
      <c r="K47" s="53"/>
      <c r="L47" s="54"/>
    </row>
  </sheetData>
  <mergeCells count="55">
    <mergeCell ref="D13:F13"/>
    <mergeCell ref="I13:J13"/>
    <mergeCell ref="D14:F14"/>
    <mergeCell ref="K6:L6"/>
    <mergeCell ref="B7:D7"/>
    <mergeCell ref="F7:H11"/>
    <mergeCell ref="K7:L7"/>
    <mergeCell ref="B8:D8"/>
    <mergeCell ref="K8:L8"/>
    <mergeCell ref="B9:D9"/>
    <mergeCell ref="K9:L9"/>
    <mergeCell ref="B10:D10"/>
    <mergeCell ref="K10:L10"/>
    <mergeCell ref="K11:L11"/>
    <mergeCell ref="I14:J14"/>
    <mergeCell ref="D16:F16"/>
    <mergeCell ref="I16:J16"/>
    <mergeCell ref="D17:F17"/>
    <mergeCell ref="I17:J17"/>
    <mergeCell ref="D15:F15"/>
    <mergeCell ref="I15:J15"/>
    <mergeCell ref="D18:F18"/>
    <mergeCell ref="I18:J18"/>
    <mergeCell ref="D19:F19"/>
    <mergeCell ref="I19:J19"/>
    <mergeCell ref="D20:F20"/>
    <mergeCell ref="I20:J20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D28:F28"/>
    <mergeCell ref="I28:J28"/>
    <mergeCell ref="D29:F29"/>
    <mergeCell ref="I29:J29"/>
    <mergeCell ref="D30:F30"/>
    <mergeCell ref="I30:J30"/>
    <mergeCell ref="J37:K37"/>
    <mergeCell ref="J39:K39"/>
    <mergeCell ref="I31:J31"/>
    <mergeCell ref="D32:F32"/>
    <mergeCell ref="I32:J32"/>
    <mergeCell ref="D33:F33"/>
    <mergeCell ref="I33:J33"/>
    <mergeCell ref="J35:K35"/>
  </mergeCells>
  <pageMargins left="0.70866141732283505" right="0.31496062992126" top="2.1653543307086598" bottom="0" header="0.31496062992126" footer="0.31496062992126"/>
  <pageSetup paperSize="9" scale="74" orientation="portrait" verticalDpi="300"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6B5613-D94F-49A6-9219-35D348114EE9}">
  <sheetPr codeName="Sheet183">
    <tabColor rgb="FFFFFF00"/>
    <pageSetUpPr fitToPage="1"/>
  </sheetPr>
  <dimension ref="B5:O47"/>
  <sheetViews>
    <sheetView topLeftCell="B4" workbookViewId="0">
      <selection activeCell="K42" sqref="K42"/>
    </sheetView>
  </sheetViews>
  <sheetFormatPr defaultColWidth="12.54296875" defaultRowHeight="18.5" x14ac:dyDescent="0.45"/>
  <cols>
    <col min="1" max="1" width="12.54296875" style="24"/>
    <col min="2" max="3" width="12.54296875" style="24" customWidth="1"/>
    <col min="4" max="4" width="14.54296875" style="24" customWidth="1"/>
    <col min="5" max="5" width="1.54296875" style="24" customWidth="1"/>
    <col min="6" max="6" width="14.54296875" style="24" customWidth="1"/>
    <col min="7" max="7" width="8.54296875" style="24" customWidth="1"/>
    <col min="8" max="8" width="15.54296875" style="24" customWidth="1"/>
    <col min="9" max="9" width="2.54296875" style="81" customWidth="1"/>
    <col min="10" max="10" width="15.54296875" style="81" customWidth="1"/>
    <col min="11" max="12" width="12.54296875" style="24" customWidth="1"/>
    <col min="13" max="16384" width="12.54296875" style="24"/>
  </cols>
  <sheetData>
    <row r="5" spans="2:15" ht="19" thickBot="1" x14ac:dyDescent="0.5">
      <c r="B5" s="23"/>
    </row>
    <row r="6" spans="2:15" ht="18" customHeight="1" thickTop="1" thickBot="1" x14ac:dyDescent="0.5">
      <c r="B6" s="25" t="s">
        <v>9</v>
      </c>
      <c r="C6" s="25"/>
      <c r="D6" s="26"/>
      <c r="E6" s="26"/>
      <c r="F6" s="27" t="s">
        <v>10</v>
      </c>
      <c r="G6" s="28"/>
      <c r="H6" s="28" t="s">
        <v>897</v>
      </c>
      <c r="J6" s="82" t="s">
        <v>29</v>
      </c>
      <c r="K6" s="452">
        <v>202003295</v>
      </c>
      <c r="L6" s="453"/>
    </row>
    <row r="7" spans="2:15" ht="20.149999999999999" customHeight="1" x14ac:dyDescent="0.45">
      <c r="B7" s="569" t="s">
        <v>854</v>
      </c>
      <c r="C7" s="570"/>
      <c r="D7" s="571"/>
      <c r="E7" s="30"/>
      <c r="F7" s="457" t="str">
        <f>VLOOKUP(H6,'Delivery Location'!A$4:N$416,2,0)</f>
        <v>HOLLYWOOD                                             Blk 221B Boon Lay Hawker Centre. #01-130</v>
      </c>
      <c r="G7" s="458"/>
      <c r="H7" s="459"/>
      <c r="J7" s="83" t="s">
        <v>11</v>
      </c>
      <c r="K7" s="551" t="s">
        <v>1001</v>
      </c>
      <c r="L7" s="472"/>
    </row>
    <row r="8" spans="2:15" ht="20.149999999999999" customHeight="1" x14ac:dyDescent="0.45">
      <c r="B8" s="468"/>
      <c r="C8" s="469"/>
      <c r="D8" s="470"/>
      <c r="E8" s="30"/>
      <c r="F8" s="460"/>
      <c r="G8" s="461"/>
      <c r="H8" s="462"/>
      <c r="J8" s="83" t="s">
        <v>171</v>
      </c>
      <c r="K8" s="471" t="s">
        <v>533</v>
      </c>
      <c r="L8" s="472"/>
    </row>
    <row r="9" spans="2:15" ht="20.149999999999999" customHeight="1" x14ac:dyDescent="0.45">
      <c r="B9" s="468"/>
      <c r="C9" s="469"/>
      <c r="D9" s="470"/>
      <c r="E9" s="30"/>
      <c r="F9" s="460"/>
      <c r="G9" s="461"/>
      <c r="H9" s="462"/>
      <c r="J9" s="83" t="s">
        <v>12</v>
      </c>
      <c r="K9" s="471" t="s">
        <v>688</v>
      </c>
      <c r="L9" s="472"/>
    </row>
    <row r="10" spans="2:15" ht="20.149999999999999" customHeight="1" x14ac:dyDescent="0.45">
      <c r="B10" s="468"/>
      <c r="C10" s="469"/>
      <c r="D10" s="470"/>
      <c r="E10" s="30"/>
      <c r="F10" s="460"/>
      <c r="G10" s="461"/>
      <c r="H10" s="462"/>
      <c r="J10" s="83" t="s">
        <v>30</v>
      </c>
      <c r="K10" s="471" t="s">
        <v>16</v>
      </c>
      <c r="L10" s="472"/>
    </row>
    <row r="11" spans="2:15" ht="18" customHeight="1" thickBot="1" x14ac:dyDescent="0.5">
      <c r="B11" s="55"/>
      <c r="C11" s="56"/>
      <c r="D11" s="57"/>
      <c r="E11" s="26"/>
      <c r="F11" s="463"/>
      <c r="G11" s="464"/>
      <c r="H11" s="465"/>
      <c r="J11" s="84" t="s">
        <v>13</v>
      </c>
      <c r="K11" s="476"/>
      <c r="L11" s="477"/>
    </row>
    <row r="12" spans="2:15" ht="19" thickBot="1" x14ac:dyDescent="0.5">
      <c r="J12" s="85"/>
    </row>
    <row r="13" spans="2:15" ht="30" customHeight="1" thickBot="1" x14ac:dyDescent="0.5">
      <c r="B13" s="8" t="s">
        <v>2</v>
      </c>
      <c r="C13" s="9" t="s">
        <v>3</v>
      </c>
      <c r="D13" s="478" t="s">
        <v>4</v>
      </c>
      <c r="E13" s="483"/>
      <c r="F13" s="479"/>
      <c r="G13" s="19" t="s">
        <v>620</v>
      </c>
      <c r="H13" s="9" t="s">
        <v>31</v>
      </c>
      <c r="I13" s="478" t="s">
        <v>60</v>
      </c>
      <c r="J13" s="479"/>
      <c r="K13" s="9" t="s">
        <v>6</v>
      </c>
      <c r="L13" s="10" t="s">
        <v>7</v>
      </c>
      <c r="M13" s="33"/>
      <c r="N13" s="33"/>
      <c r="O13" s="33"/>
    </row>
    <row r="14" spans="2:15" ht="20.149999999999999" customHeight="1" x14ac:dyDescent="0.45">
      <c r="B14" s="34"/>
      <c r="C14" s="22" t="s">
        <v>442</v>
      </c>
      <c r="D14" s="508" t="e">
        <f>VLOOKUP(C14,'Sales Master'!B$3:D$499,2,)</f>
        <v>#N/A</v>
      </c>
      <c r="E14" s="508"/>
      <c r="F14" s="508"/>
      <c r="G14" s="90">
        <v>-2</v>
      </c>
      <c r="H14" s="68" t="str">
        <f>VLOOKUP(C14,'[2]Sales Master'!B$3:F$736,5,0)</f>
        <v>(425gm x 24)/箱</v>
      </c>
      <c r="I14" s="481" t="str">
        <f>VLOOKUP(C14,'[2]Sales Master'!B$3:E$736,4,0)</f>
        <v>Statue</v>
      </c>
      <c r="J14" s="481"/>
      <c r="K14" s="94" t="e">
        <f>VLOOKUP(C14,'Sales Master'!B$3:BH$499,59,0)</f>
        <v>#N/A</v>
      </c>
      <c r="L14" s="77" t="e">
        <f>K14*G14</f>
        <v>#N/A</v>
      </c>
      <c r="M14" s="78"/>
    </row>
    <row r="15" spans="2:15" ht="20.149999999999999" customHeight="1" x14ac:dyDescent="0.45">
      <c r="B15" s="34"/>
      <c r="C15" s="22" t="s">
        <v>444</v>
      </c>
      <c r="D15" s="508" t="e">
        <f>VLOOKUP(C15,'Sales Master'!B$3:D$499,2,)</f>
        <v>#N/A</v>
      </c>
      <c r="E15" s="508"/>
      <c r="F15" s="508"/>
      <c r="G15" s="90">
        <v>-60</v>
      </c>
      <c r="H15" s="68" t="str">
        <f>VLOOKUP(C15,'[2]Sales Master'!B$3:F$736,5,0)</f>
        <v>Ctn/箱</v>
      </c>
      <c r="I15" s="481" t="str">
        <f>VLOOKUP(C15,'[2]Sales Master'!B$3:E$736,4,0)</f>
        <v>三花</v>
      </c>
      <c r="J15" s="481"/>
      <c r="K15" s="94">
        <v>1.1000000000000001</v>
      </c>
      <c r="L15" s="77">
        <f>K15*G15</f>
        <v>-66</v>
      </c>
      <c r="M15" s="78"/>
    </row>
    <row r="16" spans="2:15" ht="20.149999999999999" customHeight="1" x14ac:dyDescent="0.45">
      <c r="B16" s="34"/>
      <c r="C16" s="22" t="s">
        <v>393</v>
      </c>
      <c r="D16" s="508" t="e">
        <f>VLOOKUP(C16,'Sales Master'!B$3:D$499,2,)</f>
        <v>#N/A</v>
      </c>
      <c r="E16" s="508"/>
      <c r="F16" s="508"/>
      <c r="G16" s="90">
        <v>6</v>
      </c>
      <c r="H16" s="68" t="str">
        <f>VLOOKUP(C16,'[2]Sales Master'!B$3:F$736,5,0)</f>
        <v>1 Can X A10</v>
      </c>
      <c r="I16" s="481" t="str">
        <f>VLOOKUP(C16,'[2]Sales Master'!B$3:E$736,4,0)</f>
        <v>Chefs</v>
      </c>
      <c r="J16" s="481"/>
      <c r="K16" s="94">
        <v>19</v>
      </c>
      <c r="L16" s="77">
        <f>K16*G16</f>
        <v>114</v>
      </c>
      <c r="M16" s="78"/>
    </row>
    <row r="17" spans="2:13" ht="20.149999999999999" customHeight="1" x14ac:dyDescent="0.45">
      <c r="B17" s="34"/>
      <c r="C17" s="22"/>
      <c r="D17" s="508"/>
      <c r="E17" s="508"/>
      <c r="F17" s="508"/>
      <c r="G17" s="90"/>
      <c r="H17" s="68"/>
      <c r="I17" s="481"/>
      <c r="J17" s="481"/>
      <c r="K17" s="94"/>
      <c r="L17" s="77"/>
      <c r="M17" s="78"/>
    </row>
    <row r="18" spans="2:13" ht="20.149999999999999" customHeight="1" x14ac:dyDescent="0.45">
      <c r="B18" s="80"/>
      <c r="C18" s="22"/>
      <c r="D18" s="508"/>
      <c r="E18" s="508"/>
      <c r="F18" s="508"/>
      <c r="G18" s="90"/>
      <c r="H18" s="68"/>
      <c r="I18" s="481"/>
      <c r="J18" s="481"/>
      <c r="K18" s="94"/>
      <c r="L18" s="77"/>
      <c r="M18" s="78"/>
    </row>
    <row r="19" spans="2:13" ht="20.149999999999999" customHeight="1" x14ac:dyDescent="0.45">
      <c r="B19" s="34"/>
      <c r="C19" s="22"/>
      <c r="D19" s="508"/>
      <c r="E19" s="508"/>
      <c r="F19" s="508"/>
      <c r="G19" s="90"/>
      <c r="H19" s="68"/>
      <c r="I19" s="604"/>
      <c r="J19" s="604"/>
      <c r="K19" s="35"/>
      <c r="L19" s="77"/>
      <c r="M19" s="78"/>
    </row>
    <row r="20" spans="2:13" ht="20.149999999999999" customHeight="1" x14ac:dyDescent="0.45">
      <c r="B20" s="34"/>
      <c r="C20" s="22"/>
      <c r="D20" s="508"/>
      <c r="E20" s="508"/>
      <c r="F20" s="508"/>
      <c r="G20" s="90"/>
      <c r="H20" s="68"/>
      <c r="I20" s="604"/>
      <c r="J20" s="604"/>
      <c r="K20" s="35"/>
      <c r="L20" s="77"/>
      <c r="M20" s="78"/>
    </row>
    <row r="21" spans="2:13" ht="20.149999999999999" customHeight="1" x14ac:dyDescent="0.45">
      <c r="B21" s="34"/>
      <c r="C21" s="22"/>
      <c r="D21" s="508"/>
      <c r="E21" s="508"/>
      <c r="F21" s="508"/>
      <c r="G21" s="90"/>
      <c r="H21" s="68"/>
      <c r="I21" s="604"/>
      <c r="J21" s="604"/>
      <c r="K21" s="35"/>
      <c r="L21" s="77"/>
      <c r="M21" s="78"/>
    </row>
    <row r="22" spans="2:13" ht="20.149999999999999" customHeight="1" x14ac:dyDescent="0.45">
      <c r="B22" s="34"/>
      <c r="C22" s="22"/>
      <c r="D22" s="508"/>
      <c r="E22" s="508"/>
      <c r="F22" s="508"/>
      <c r="G22" s="90"/>
      <c r="H22" s="68"/>
      <c r="I22" s="604"/>
      <c r="J22" s="604"/>
      <c r="K22" s="35"/>
      <c r="L22" s="77"/>
      <c r="M22" s="78"/>
    </row>
    <row r="23" spans="2:13" ht="20.149999999999999" customHeight="1" x14ac:dyDescent="0.45">
      <c r="B23" s="34"/>
      <c r="C23" s="22"/>
      <c r="D23" s="508"/>
      <c r="E23" s="508"/>
      <c r="F23" s="508"/>
      <c r="G23" s="90"/>
      <c r="H23" s="68"/>
      <c r="I23" s="604"/>
      <c r="J23" s="604"/>
      <c r="K23" s="35"/>
      <c r="L23" s="77"/>
      <c r="M23" s="78"/>
    </row>
    <row r="24" spans="2:13" ht="20.149999999999999" customHeight="1" x14ac:dyDescent="0.45">
      <c r="B24" s="34"/>
      <c r="C24" s="22"/>
      <c r="D24" s="508"/>
      <c r="E24" s="508"/>
      <c r="F24" s="508"/>
      <c r="G24" s="91"/>
      <c r="H24" s="68"/>
      <c r="I24" s="604"/>
      <c r="J24" s="604"/>
      <c r="K24" s="35"/>
      <c r="L24" s="77"/>
      <c r="M24" s="78"/>
    </row>
    <row r="25" spans="2:13" ht="20.149999999999999" customHeight="1" x14ac:dyDescent="0.45">
      <c r="B25" s="34"/>
      <c r="C25" s="22"/>
      <c r="D25" s="508"/>
      <c r="E25" s="508"/>
      <c r="F25" s="508"/>
      <c r="G25" s="91"/>
      <c r="H25" s="68"/>
      <c r="I25" s="604"/>
      <c r="J25" s="604"/>
      <c r="K25" s="35"/>
      <c r="L25" s="77"/>
      <c r="M25" s="78"/>
    </row>
    <row r="26" spans="2:13" ht="20.149999999999999" customHeight="1" x14ac:dyDescent="0.45">
      <c r="B26" s="34"/>
      <c r="C26" s="22"/>
      <c r="D26" s="508"/>
      <c r="E26" s="508"/>
      <c r="F26" s="508"/>
      <c r="G26" s="91"/>
      <c r="H26" s="68"/>
      <c r="I26" s="604"/>
      <c r="J26" s="604"/>
      <c r="K26" s="35"/>
      <c r="L26" s="77"/>
      <c r="M26" s="78"/>
    </row>
    <row r="27" spans="2:13" ht="20.149999999999999" customHeight="1" x14ac:dyDescent="0.45">
      <c r="B27" s="34"/>
      <c r="C27" s="22"/>
      <c r="D27" s="508"/>
      <c r="E27" s="508"/>
      <c r="F27" s="508"/>
      <c r="G27" s="91"/>
      <c r="H27" s="68"/>
      <c r="I27" s="604"/>
      <c r="J27" s="604"/>
      <c r="K27" s="35"/>
      <c r="L27" s="77"/>
      <c r="M27" s="78"/>
    </row>
    <row r="28" spans="2:13" ht="20.149999999999999" customHeight="1" x14ac:dyDescent="0.45">
      <c r="B28" s="34"/>
      <c r="C28" s="22"/>
      <c r="D28" s="508"/>
      <c r="E28" s="508"/>
      <c r="F28" s="508"/>
      <c r="G28" s="91"/>
      <c r="H28" s="68"/>
      <c r="I28" s="604"/>
      <c r="J28" s="604"/>
      <c r="K28" s="35"/>
      <c r="L28" s="77"/>
      <c r="M28" s="78"/>
    </row>
    <row r="29" spans="2:13" ht="20.149999999999999" customHeight="1" x14ac:dyDescent="0.45">
      <c r="B29" s="34"/>
      <c r="C29" s="22"/>
      <c r="D29" s="508"/>
      <c r="E29" s="508"/>
      <c r="F29" s="508"/>
      <c r="G29" s="91"/>
      <c r="H29" s="68"/>
      <c r="I29" s="604"/>
      <c r="J29" s="604"/>
      <c r="K29" s="35"/>
      <c r="L29" s="77"/>
      <c r="M29" s="78"/>
    </row>
    <row r="30" spans="2:13" ht="20.149999999999999" customHeight="1" x14ac:dyDescent="0.45">
      <c r="B30" s="34"/>
      <c r="C30" s="22"/>
      <c r="D30" s="508"/>
      <c r="E30" s="508"/>
      <c r="F30" s="508"/>
      <c r="G30" s="91"/>
      <c r="H30" s="68"/>
      <c r="I30" s="604"/>
      <c r="J30" s="604"/>
      <c r="K30" s="35"/>
      <c r="L30" s="77"/>
      <c r="M30" s="78"/>
    </row>
    <row r="31" spans="2:13" ht="20.149999999999999" customHeight="1" x14ac:dyDescent="0.45">
      <c r="B31" s="34"/>
      <c r="C31" s="22"/>
      <c r="G31" s="91"/>
      <c r="H31" s="68"/>
      <c r="I31" s="604"/>
      <c r="J31" s="604"/>
      <c r="K31" s="35"/>
      <c r="L31" s="77"/>
      <c r="M31" s="78"/>
    </row>
    <row r="32" spans="2:13" ht="20.149999999999999" customHeight="1" x14ac:dyDescent="0.45">
      <c r="B32" s="34"/>
      <c r="C32" s="22"/>
      <c r="D32" s="508"/>
      <c r="E32" s="508"/>
      <c r="F32" s="508"/>
      <c r="G32" s="91"/>
      <c r="H32" s="68"/>
      <c r="I32" s="604"/>
      <c r="J32" s="604"/>
      <c r="K32" s="35"/>
      <c r="L32" s="77"/>
    </row>
    <row r="33" spans="2:13" ht="20.149999999999999" customHeight="1" thickBot="1" x14ac:dyDescent="0.5">
      <c r="B33" s="37"/>
      <c r="C33" s="38"/>
      <c r="D33" s="509"/>
      <c r="E33" s="509"/>
      <c r="F33" s="509"/>
      <c r="G33" s="38"/>
      <c r="H33" s="69"/>
      <c r="I33" s="588"/>
      <c r="J33" s="588"/>
      <c r="K33" s="39"/>
      <c r="L33" s="40"/>
    </row>
    <row r="34" spans="2:13" ht="20.149999999999999" customHeight="1" thickBot="1" x14ac:dyDescent="0.5">
      <c r="B34" s="41"/>
      <c r="L34" s="42"/>
    </row>
    <row r="35" spans="2:13" ht="20.149999999999999" customHeight="1" x14ac:dyDescent="0.45">
      <c r="B35" s="11" t="s">
        <v>18</v>
      </c>
      <c r="C35" s="7"/>
      <c r="D35" s="7"/>
      <c r="E35" s="7"/>
      <c r="F35" s="7"/>
      <c r="G35" s="7"/>
      <c r="H35" s="7"/>
      <c r="I35" s="86"/>
      <c r="J35" s="510" t="s">
        <v>15</v>
      </c>
      <c r="K35" s="511"/>
      <c r="L35" s="43" t="e">
        <f>SUM(L13:L33)</f>
        <v>#N/A</v>
      </c>
      <c r="M35" s="76">
        <f>166+26</f>
        <v>192</v>
      </c>
    </row>
    <row r="36" spans="2:13" ht="20.149999999999999" customHeight="1" x14ac:dyDescent="0.45">
      <c r="B36" s="11" t="s">
        <v>19</v>
      </c>
      <c r="C36" s="7"/>
      <c r="D36" s="7"/>
      <c r="E36" s="7"/>
      <c r="F36" s="7"/>
      <c r="G36" s="7"/>
      <c r="H36" s="7"/>
      <c r="I36" s="86"/>
      <c r="J36" s="44" t="s">
        <v>22</v>
      </c>
      <c r="K36" s="45"/>
      <c r="L36" s="46" t="e">
        <f>L35*K36</f>
        <v>#N/A</v>
      </c>
    </row>
    <row r="37" spans="2:13" ht="20.149999999999999" customHeight="1" x14ac:dyDescent="0.45">
      <c r="B37" s="11" t="s">
        <v>20</v>
      </c>
      <c r="C37" s="7"/>
      <c r="D37" s="7"/>
      <c r="E37" s="7"/>
      <c r="F37" s="7"/>
      <c r="G37" s="7"/>
      <c r="H37" s="7"/>
      <c r="I37" s="86"/>
      <c r="J37" s="486" t="s">
        <v>21</v>
      </c>
      <c r="K37" s="487"/>
      <c r="L37" s="46" t="e">
        <f>L35-L36</f>
        <v>#N/A</v>
      </c>
    </row>
    <row r="38" spans="2:13" ht="20.149999999999999" customHeight="1" x14ac:dyDescent="0.45">
      <c r="B38" s="11" t="s">
        <v>24</v>
      </c>
      <c r="C38" s="7"/>
      <c r="D38" s="7"/>
      <c r="E38" s="7"/>
      <c r="F38" s="7"/>
      <c r="G38" s="7"/>
      <c r="H38" s="7"/>
      <c r="I38" s="86"/>
      <c r="J38" s="150" t="s">
        <v>17</v>
      </c>
      <c r="K38" s="151">
        <v>7.0000000000000007E-2</v>
      </c>
      <c r="L38" s="47" t="e">
        <f>L37*K38</f>
        <v>#N/A</v>
      </c>
    </row>
    <row r="39" spans="2:13" ht="20.149999999999999" customHeight="1" thickBot="1" x14ac:dyDescent="0.5">
      <c r="B39" s="11" t="s">
        <v>25</v>
      </c>
      <c r="C39" s="7"/>
      <c r="D39" s="7"/>
      <c r="E39" s="7"/>
      <c r="F39" s="7"/>
      <c r="G39" s="7"/>
      <c r="H39" s="7"/>
      <c r="I39" s="86"/>
      <c r="J39" s="488" t="s">
        <v>23</v>
      </c>
      <c r="K39" s="489"/>
      <c r="L39" s="48" t="e">
        <f>L37+L38</f>
        <v>#N/A</v>
      </c>
    </row>
    <row r="40" spans="2:13" ht="20.149999999999999" customHeight="1" x14ac:dyDescent="0.45">
      <c r="B40" s="11" t="s">
        <v>26</v>
      </c>
      <c r="C40" s="7"/>
      <c r="D40" s="7"/>
      <c r="E40" s="7"/>
      <c r="F40" s="7"/>
      <c r="G40" s="7"/>
      <c r="H40" s="7"/>
      <c r="I40" s="86"/>
      <c r="L40" s="42"/>
    </row>
    <row r="41" spans="2:13" ht="20.149999999999999" customHeight="1" x14ac:dyDescent="0.45">
      <c r="B41" s="41"/>
      <c r="L41" s="42"/>
    </row>
    <row r="42" spans="2:13" ht="20.149999999999999" customHeight="1" x14ac:dyDescent="0.45">
      <c r="B42" s="41"/>
      <c r="L42" s="42"/>
    </row>
    <row r="43" spans="2:13" ht="20.149999999999999" customHeight="1" x14ac:dyDescent="0.45">
      <c r="B43" s="41"/>
      <c r="L43" s="42"/>
    </row>
    <row r="44" spans="2:13" ht="20.149999999999999" customHeight="1" x14ac:dyDescent="0.45">
      <c r="B44" s="41"/>
      <c r="L44" s="42"/>
    </row>
    <row r="45" spans="2:13" ht="20.149999999999999" customHeight="1" x14ac:dyDescent="0.45">
      <c r="B45" s="49"/>
      <c r="C45" s="50"/>
      <c r="D45" s="50"/>
      <c r="J45" s="87"/>
      <c r="K45" s="50"/>
      <c r="L45" s="51"/>
    </row>
    <row r="46" spans="2:13" ht="20.149999999999999" customHeight="1" x14ac:dyDescent="0.45">
      <c r="B46" s="41" t="s">
        <v>27</v>
      </c>
      <c r="J46" s="81" t="s">
        <v>28</v>
      </c>
      <c r="L46" s="42"/>
    </row>
    <row r="47" spans="2:13" ht="19" thickBot="1" x14ac:dyDescent="0.5">
      <c r="B47" s="52"/>
      <c r="C47" s="53"/>
      <c r="D47" s="53"/>
      <c r="E47" s="53"/>
      <c r="F47" s="53"/>
      <c r="G47" s="53"/>
      <c r="H47" s="53"/>
      <c r="I47" s="88"/>
      <c r="J47" s="88"/>
      <c r="K47" s="53"/>
      <c r="L47" s="54"/>
    </row>
  </sheetData>
  <mergeCells count="55">
    <mergeCell ref="D30:F30"/>
    <mergeCell ref="I30:J30"/>
    <mergeCell ref="J37:K37"/>
    <mergeCell ref="J39:K39"/>
    <mergeCell ref="I31:J31"/>
    <mergeCell ref="D32:F32"/>
    <mergeCell ref="I32:J32"/>
    <mergeCell ref="D33:F33"/>
    <mergeCell ref="I33:J33"/>
    <mergeCell ref="J35:K35"/>
    <mergeCell ref="D27:F27"/>
    <mergeCell ref="I27:J27"/>
    <mergeCell ref="D28:F28"/>
    <mergeCell ref="I28:J28"/>
    <mergeCell ref="D29:F29"/>
    <mergeCell ref="I29:J29"/>
    <mergeCell ref="D24:F24"/>
    <mergeCell ref="I24:J24"/>
    <mergeCell ref="D25:F25"/>
    <mergeCell ref="I25:J25"/>
    <mergeCell ref="D26:F26"/>
    <mergeCell ref="I26:J26"/>
    <mergeCell ref="D21:F21"/>
    <mergeCell ref="I21:J21"/>
    <mergeCell ref="D22:F22"/>
    <mergeCell ref="I22:J22"/>
    <mergeCell ref="D23:F23"/>
    <mergeCell ref="I23:J23"/>
    <mergeCell ref="D18:F18"/>
    <mergeCell ref="I18:J18"/>
    <mergeCell ref="D19:F19"/>
    <mergeCell ref="I19:J19"/>
    <mergeCell ref="D20:F20"/>
    <mergeCell ref="I20:J20"/>
    <mergeCell ref="D16:F16"/>
    <mergeCell ref="I16:J16"/>
    <mergeCell ref="D17:F17"/>
    <mergeCell ref="I17:J17"/>
    <mergeCell ref="D15:F15"/>
    <mergeCell ref="I15:J15"/>
    <mergeCell ref="D13:F13"/>
    <mergeCell ref="I13:J13"/>
    <mergeCell ref="D14:F14"/>
    <mergeCell ref="K6:L6"/>
    <mergeCell ref="B7:D7"/>
    <mergeCell ref="F7:H11"/>
    <mergeCell ref="K7:L7"/>
    <mergeCell ref="B8:D8"/>
    <mergeCell ref="K8:L8"/>
    <mergeCell ref="B9:D9"/>
    <mergeCell ref="K9:L9"/>
    <mergeCell ref="B10:D10"/>
    <mergeCell ref="K10:L10"/>
    <mergeCell ref="K11:L11"/>
    <mergeCell ref="I14:J14"/>
  </mergeCells>
  <pageMargins left="0.70866141732283505" right="0.31496062992126" top="2.1653543307086598" bottom="0" header="0.31496062992126" footer="0.31496062992126"/>
  <pageSetup paperSize="9" scale="74" orientation="portrait" verticalDpi="300" r:id="rId1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E0F91D-0B31-4F5E-9BA5-5AF4A93F9635}">
  <sheetPr codeName="Sheet184">
    <tabColor rgb="FFFFFF00"/>
    <pageSetUpPr fitToPage="1"/>
  </sheetPr>
  <dimension ref="B5:O47"/>
  <sheetViews>
    <sheetView topLeftCell="A6" workbookViewId="0">
      <selection activeCell="B16" sqref="B16"/>
    </sheetView>
  </sheetViews>
  <sheetFormatPr defaultColWidth="12.54296875" defaultRowHeight="18.5" x14ac:dyDescent="0.45"/>
  <cols>
    <col min="1" max="1" width="12.54296875" style="24"/>
    <col min="2" max="3" width="12.54296875" style="24" customWidth="1"/>
    <col min="4" max="4" width="14.54296875" style="24" customWidth="1"/>
    <col min="5" max="5" width="1.54296875" style="24" customWidth="1"/>
    <col min="6" max="6" width="14.54296875" style="24" customWidth="1"/>
    <col min="7" max="7" width="8.54296875" style="24" customWidth="1"/>
    <col min="8" max="8" width="15.54296875" style="24" customWidth="1"/>
    <col min="9" max="9" width="2.54296875" style="81" customWidth="1"/>
    <col min="10" max="10" width="15.54296875" style="81" customWidth="1"/>
    <col min="11" max="12" width="12.54296875" style="24" customWidth="1"/>
    <col min="13" max="16384" width="12.54296875" style="24"/>
  </cols>
  <sheetData>
    <row r="5" spans="2:15" ht="19" thickBot="1" x14ac:dyDescent="0.5">
      <c r="B5" s="23"/>
    </row>
    <row r="6" spans="2:15" ht="18" customHeight="1" thickTop="1" thickBot="1" x14ac:dyDescent="0.5">
      <c r="B6" s="25" t="s">
        <v>9</v>
      </c>
      <c r="C6" s="25"/>
      <c r="D6" s="26"/>
      <c r="E6" s="26"/>
      <c r="F6" s="27" t="s">
        <v>10</v>
      </c>
      <c r="G6" s="28"/>
      <c r="H6" s="28" t="s">
        <v>901</v>
      </c>
      <c r="J6" s="82" t="s">
        <v>29</v>
      </c>
      <c r="K6" s="452">
        <v>202002068</v>
      </c>
      <c r="L6" s="453"/>
    </row>
    <row r="7" spans="2:15" ht="20.149999999999999" customHeight="1" x14ac:dyDescent="0.45">
      <c r="B7" s="569" t="s">
        <v>902</v>
      </c>
      <c r="C7" s="570"/>
      <c r="D7" s="571"/>
      <c r="E7" s="30"/>
      <c r="F7" s="457" t="str">
        <f>VLOOKUP(H6,'Delivery Location'!A$4:N$416,2,0)</f>
        <v xml:space="preserve">狮城咖啡                                                           People Park Centre, #02-48.                                       </v>
      </c>
      <c r="G7" s="458"/>
      <c r="H7" s="459"/>
      <c r="J7" s="83" t="s">
        <v>11</v>
      </c>
      <c r="K7" s="551">
        <v>43953</v>
      </c>
      <c r="L7" s="472"/>
    </row>
    <row r="8" spans="2:15" ht="20.149999999999999" customHeight="1" x14ac:dyDescent="0.45">
      <c r="B8" s="468"/>
      <c r="C8" s="469"/>
      <c r="D8" s="470"/>
      <c r="E8" s="30"/>
      <c r="F8" s="460"/>
      <c r="G8" s="461"/>
      <c r="H8" s="462"/>
      <c r="J8" s="83" t="s">
        <v>171</v>
      </c>
      <c r="K8" s="471" t="s">
        <v>533</v>
      </c>
      <c r="L8" s="472"/>
    </row>
    <row r="9" spans="2:15" ht="20.149999999999999" customHeight="1" x14ac:dyDescent="0.45">
      <c r="B9" s="468"/>
      <c r="C9" s="469"/>
      <c r="D9" s="470"/>
      <c r="E9" s="30"/>
      <c r="F9" s="460"/>
      <c r="G9" s="461"/>
      <c r="H9" s="462"/>
      <c r="J9" s="83" t="s">
        <v>12</v>
      </c>
      <c r="K9" s="471" t="s">
        <v>688</v>
      </c>
      <c r="L9" s="472"/>
    </row>
    <row r="10" spans="2:15" ht="20.149999999999999" customHeight="1" x14ac:dyDescent="0.45">
      <c r="B10" s="468"/>
      <c r="C10" s="469"/>
      <c r="D10" s="470"/>
      <c r="E10" s="30"/>
      <c r="F10" s="460"/>
      <c r="G10" s="461"/>
      <c r="H10" s="462"/>
      <c r="J10" s="83" t="s">
        <v>30</v>
      </c>
      <c r="K10" s="471" t="s">
        <v>16</v>
      </c>
      <c r="L10" s="472"/>
    </row>
    <row r="11" spans="2:15" ht="18" customHeight="1" thickBot="1" x14ac:dyDescent="0.5">
      <c r="B11" s="55"/>
      <c r="C11" s="56"/>
      <c r="D11" s="57"/>
      <c r="E11" s="26"/>
      <c r="F11" s="463"/>
      <c r="G11" s="464"/>
      <c r="H11" s="465"/>
      <c r="J11" s="84" t="s">
        <v>13</v>
      </c>
      <c r="K11" s="476"/>
      <c r="L11" s="477"/>
    </row>
    <row r="12" spans="2:15" ht="19" thickBot="1" x14ac:dyDescent="0.5">
      <c r="J12" s="85"/>
    </row>
    <row r="13" spans="2:15" ht="30" customHeight="1" thickBot="1" x14ac:dyDescent="0.5">
      <c r="B13" s="8" t="s">
        <v>2</v>
      </c>
      <c r="C13" s="9" t="s">
        <v>3</v>
      </c>
      <c r="D13" s="478" t="s">
        <v>4</v>
      </c>
      <c r="E13" s="483"/>
      <c r="F13" s="479"/>
      <c r="G13" s="19" t="s">
        <v>620</v>
      </c>
      <c r="H13" s="9" t="s">
        <v>31</v>
      </c>
      <c r="I13" s="478" t="s">
        <v>60</v>
      </c>
      <c r="J13" s="479"/>
      <c r="K13" s="9" t="s">
        <v>6</v>
      </c>
      <c r="L13" s="10" t="s">
        <v>7</v>
      </c>
      <c r="M13" s="33"/>
      <c r="N13" s="33"/>
      <c r="O13" s="33"/>
    </row>
    <row r="14" spans="2:15" ht="20.149999999999999" customHeight="1" x14ac:dyDescent="0.45">
      <c r="B14" s="34"/>
      <c r="C14" s="22" t="s">
        <v>446</v>
      </c>
      <c r="D14" s="508" t="e">
        <f>VLOOKUP(C14,'Sales Master'!B$3:D$499,2,)</f>
        <v>#N/A</v>
      </c>
      <c r="E14" s="508"/>
      <c r="F14" s="508"/>
      <c r="G14" s="90">
        <v>1</v>
      </c>
      <c r="H14" s="68" t="str">
        <f>VLOOKUP(C14,'[2]Sales Master'!B$3:F$736,5,0)</f>
        <v>Ctn/箱</v>
      </c>
      <c r="I14" s="481" t="str">
        <f>VLOOKUP(C14,'[2]Sales Master'!B$3:E$736,4,0)</f>
        <v>Dawn牛</v>
      </c>
      <c r="J14" s="481"/>
      <c r="K14" s="94" t="e">
        <f>VLOOKUP(C14,'Sales Master'!B$3:BI$499,60,0)</f>
        <v>#N/A</v>
      </c>
      <c r="L14" s="77" t="e">
        <f>K14*G14</f>
        <v>#N/A</v>
      </c>
      <c r="M14" s="78"/>
      <c r="N14" s="24" t="s">
        <v>446</v>
      </c>
    </row>
    <row r="15" spans="2:15" ht="20.149999999999999" customHeight="1" x14ac:dyDescent="0.45">
      <c r="B15" s="34"/>
      <c r="C15" s="22" t="s">
        <v>747</v>
      </c>
      <c r="D15" s="508" t="e">
        <f>VLOOKUP(C15,'Sales Master'!B$3:D$499,2,)</f>
        <v>#N/A</v>
      </c>
      <c r="E15" s="508"/>
      <c r="F15" s="508"/>
      <c r="G15" s="90">
        <v>1</v>
      </c>
      <c r="H15" s="68" t="str">
        <f>VLOOKUP(C15,'[2]Sales Master'!B$3:F$736,5,0)</f>
        <v>2 kg/pkt</v>
      </c>
      <c r="I15" s="481" t="str">
        <f>VLOOKUP(C15,'[2]Sales Master'!B$3:E$736,4,0)</f>
        <v>-</v>
      </c>
      <c r="J15" s="481"/>
      <c r="K15" s="94" t="e">
        <f>VLOOKUP(C15,'Sales Master'!B$3:BI$499,60,0)</f>
        <v>#N/A</v>
      </c>
      <c r="L15" s="77" t="e">
        <f>K15*G15</f>
        <v>#N/A</v>
      </c>
      <c r="M15" s="78"/>
      <c r="N15" s="24" t="s">
        <v>747</v>
      </c>
    </row>
    <row r="16" spans="2:15" ht="20.149999999999999" customHeight="1" x14ac:dyDescent="0.45">
      <c r="B16" s="34"/>
      <c r="C16" s="22"/>
      <c r="D16" s="508"/>
      <c r="E16" s="508"/>
      <c r="F16" s="508"/>
      <c r="G16" s="90"/>
      <c r="H16" s="68"/>
      <c r="I16" s="481"/>
      <c r="J16" s="481"/>
      <c r="K16" s="94"/>
      <c r="L16" s="77"/>
      <c r="M16" s="78"/>
    </row>
    <row r="17" spans="2:13" ht="20.149999999999999" customHeight="1" x14ac:dyDescent="0.45">
      <c r="B17" s="34"/>
      <c r="C17" s="22"/>
      <c r="D17" s="508"/>
      <c r="E17" s="508"/>
      <c r="F17" s="508"/>
      <c r="G17" s="90"/>
      <c r="H17" s="68"/>
      <c r="I17" s="481"/>
      <c r="J17" s="481"/>
      <c r="K17" s="94"/>
      <c r="L17" s="77"/>
      <c r="M17" s="78"/>
    </row>
    <row r="18" spans="2:13" ht="20.149999999999999" customHeight="1" x14ac:dyDescent="0.45">
      <c r="B18" s="80"/>
      <c r="C18" s="22"/>
      <c r="D18" s="508"/>
      <c r="E18" s="508"/>
      <c r="F18" s="508"/>
      <c r="G18" s="90"/>
      <c r="H18" s="68"/>
      <c r="I18" s="481"/>
      <c r="J18" s="481"/>
      <c r="K18" s="94"/>
      <c r="L18" s="77"/>
      <c r="M18" s="78"/>
    </row>
    <row r="19" spans="2:13" ht="20.149999999999999" customHeight="1" x14ac:dyDescent="0.45">
      <c r="B19" s="34"/>
      <c r="C19" s="22"/>
      <c r="D19" s="508"/>
      <c r="E19" s="508"/>
      <c r="F19" s="508"/>
      <c r="G19" s="90"/>
      <c r="H19" s="68"/>
      <c r="I19" s="604"/>
      <c r="J19" s="604"/>
      <c r="K19" s="35"/>
      <c r="L19" s="77"/>
      <c r="M19" s="78"/>
    </row>
    <row r="20" spans="2:13" ht="20.149999999999999" customHeight="1" x14ac:dyDescent="0.45">
      <c r="B20" s="34"/>
      <c r="C20" s="22"/>
      <c r="D20" s="508"/>
      <c r="E20" s="508"/>
      <c r="F20" s="508"/>
      <c r="G20" s="90"/>
      <c r="H20" s="68"/>
      <c r="I20" s="604"/>
      <c r="J20" s="604"/>
      <c r="K20" s="35"/>
      <c r="L20" s="77"/>
      <c r="M20" s="78"/>
    </row>
    <row r="21" spans="2:13" ht="20.149999999999999" customHeight="1" x14ac:dyDescent="0.45">
      <c r="B21" s="34"/>
      <c r="C21" s="22"/>
      <c r="D21" s="508"/>
      <c r="E21" s="508"/>
      <c r="F21" s="508"/>
      <c r="G21" s="90"/>
      <c r="H21" s="68"/>
      <c r="I21" s="604"/>
      <c r="J21" s="604"/>
      <c r="K21" s="35"/>
      <c r="L21" s="77"/>
      <c r="M21" s="78"/>
    </row>
    <row r="22" spans="2:13" ht="20.149999999999999" customHeight="1" x14ac:dyDescent="0.45">
      <c r="B22" s="34"/>
      <c r="C22" s="22"/>
      <c r="D22" s="508"/>
      <c r="E22" s="508"/>
      <c r="F22" s="508"/>
      <c r="G22" s="90"/>
      <c r="H22" s="68"/>
      <c r="I22" s="604"/>
      <c r="J22" s="604"/>
      <c r="K22" s="35"/>
      <c r="L22" s="77"/>
      <c r="M22" s="78"/>
    </row>
    <row r="23" spans="2:13" ht="20.149999999999999" customHeight="1" x14ac:dyDescent="0.45">
      <c r="B23" s="34"/>
      <c r="C23" s="22"/>
      <c r="D23" s="508"/>
      <c r="E23" s="508"/>
      <c r="F23" s="508"/>
      <c r="G23" s="90"/>
      <c r="H23" s="68"/>
      <c r="I23" s="604"/>
      <c r="J23" s="604"/>
      <c r="K23" s="35"/>
      <c r="L23" s="77"/>
      <c r="M23" s="78"/>
    </row>
    <row r="24" spans="2:13" ht="20.149999999999999" customHeight="1" x14ac:dyDescent="0.45">
      <c r="B24" s="34"/>
      <c r="C24" s="22"/>
      <c r="D24" s="508"/>
      <c r="E24" s="508"/>
      <c r="F24" s="508"/>
      <c r="G24" s="91"/>
      <c r="H24" s="68"/>
      <c r="I24" s="604"/>
      <c r="J24" s="604"/>
      <c r="K24" s="35"/>
      <c r="L24" s="77"/>
      <c r="M24" s="78"/>
    </row>
    <row r="25" spans="2:13" ht="20.149999999999999" customHeight="1" x14ac:dyDescent="0.45">
      <c r="B25" s="34"/>
      <c r="C25" s="22"/>
      <c r="D25" s="508"/>
      <c r="E25" s="508"/>
      <c r="F25" s="508"/>
      <c r="G25" s="91"/>
      <c r="H25" s="68"/>
      <c r="I25" s="604"/>
      <c r="J25" s="604"/>
      <c r="K25" s="35"/>
      <c r="L25" s="77"/>
      <c r="M25" s="78"/>
    </row>
    <row r="26" spans="2:13" ht="20.149999999999999" customHeight="1" x14ac:dyDescent="0.45">
      <c r="B26" s="34"/>
      <c r="C26" s="22"/>
      <c r="D26" s="508"/>
      <c r="E26" s="508"/>
      <c r="F26" s="508"/>
      <c r="G26" s="91"/>
      <c r="H26" s="68"/>
      <c r="I26" s="604"/>
      <c r="J26" s="604"/>
      <c r="K26" s="35"/>
      <c r="L26" s="77"/>
      <c r="M26" s="78"/>
    </row>
    <row r="27" spans="2:13" ht="20.149999999999999" customHeight="1" x14ac:dyDescent="0.45">
      <c r="B27" s="34"/>
      <c r="C27" s="22"/>
      <c r="D27" s="508"/>
      <c r="E27" s="508"/>
      <c r="F27" s="508"/>
      <c r="G27" s="91"/>
      <c r="H27" s="68"/>
      <c r="I27" s="604"/>
      <c r="J27" s="604"/>
      <c r="K27" s="35"/>
      <c r="L27" s="77"/>
      <c r="M27" s="78"/>
    </row>
    <row r="28" spans="2:13" ht="20.149999999999999" customHeight="1" x14ac:dyDescent="0.45">
      <c r="B28" s="34"/>
      <c r="C28" s="22"/>
      <c r="D28" s="508"/>
      <c r="E28" s="508"/>
      <c r="F28" s="508"/>
      <c r="G28" s="91"/>
      <c r="H28" s="68"/>
      <c r="I28" s="604"/>
      <c r="J28" s="604"/>
      <c r="K28" s="35"/>
      <c r="L28" s="77"/>
      <c r="M28" s="78"/>
    </row>
    <row r="29" spans="2:13" ht="20.149999999999999" customHeight="1" x14ac:dyDescent="0.45">
      <c r="B29" s="34"/>
      <c r="C29" s="22"/>
      <c r="D29" s="508"/>
      <c r="E29" s="508"/>
      <c r="F29" s="508"/>
      <c r="G29" s="91"/>
      <c r="H29" s="68"/>
      <c r="I29" s="604"/>
      <c r="J29" s="604"/>
      <c r="K29" s="35"/>
      <c r="L29" s="77"/>
      <c r="M29" s="78"/>
    </row>
    <row r="30" spans="2:13" ht="20.149999999999999" customHeight="1" x14ac:dyDescent="0.45">
      <c r="B30" s="34"/>
      <c r="C30" s="22"/>
      <c r="D30" s="508"/>
      <c r="E30" s="508"/>
      <c r="F30" s="508"/>
      <c r="G30" s="91"/>
      <c r="H30" s="68"/>
      <c r="I30" s="604"/>
      <c r="J30" s="604"/>
      <c r="K30" s="35"/>
      <c r="L30" s="77"/>
      <c r="M30" s="78"/>
    </row>
    <row r="31" spans="2:13" ht="20.149999999999999" customHeight="1" x14ac:dyDescent="0.45">
      <c r="B31" s="34"/>
      <c r="C31" s="22"/>
      <c r="G31" s="91"/>
      <c r="H31" s="68"/>
      <c r="I31" s="604"/>
      <c r="J31" s="604"/>
      <c r="K31" s="35"/>
      <c r="L31" s="77"/>
      <c r="M31" s="78"/>
    </row>
    <row r="32" spans="2:13" ht="20.149999999999999" customHeight="1" x14ac:dyDescent="0.45">
      <c r="B32" s="34"/>
      <c r="C32" s="22"/>
      <c r="D32" s="508"/>
      <c r="E32" s="508"/>
      <c r="F32" s="508"/>
      <c r="G32" s="91"/>
      <c r="H32" s="68"/>
      <c r="I32" s="604"/>
      <c r="J32" s="604"/>
      <c r="K32" s="35"/>
      <c r="L32" s="77"/>
    </row>
    <row r="33" spans="2:13" ht="20.149999999999999" customHeight="1" thickBot="1" x14ac:dyDescent="0.5">
      <c r="B33" s="37"/>
      <c r="C33" s="38"/>
      <c r="D33" s="509"/>
      <c r="E33" s="509"/>
      <c r="F33" s="509"/>
      <c r="G33" s="38"/>
      <c r="H33" s="69"/>
      <c r="I33" s="588"/>
      <c r="J33" s="588"/>
      <c r="K33" s="39"/>
      <c r="L33" s="40"/>
    </row>
    <row r="34" spans="2:13" ht="20.149999999999999" customHeight="1" thickBot="1" x14ac:dyDescent="0.5">
      <c r="B34" s="41"/>
      <c r="L34" s="42"/>
    </row>
    <row r="35" spans="2:13" ht="20.149999999999999" customHeight="1" x14ac:dyDescent="0.45">
      <c r="B35" s="11" t="s">
        <v>18</v>
      </c>
      <c r="C35" s="7"/>
      <c r="D35" s="7"/>
      <c r="E35" s="7"/>
      <c r="F35" s="7"/>
      <c r="G35" s="7"/>
      <c r="H35" s="7"/>
      <c r="I35" s="86"/>
      <c r="J35" s="510" t="s">
        <v>15</v>
      </c>
      <c r="K35" s="511"/>
      <c r="L35" s="43" t="e">
        <f>SUM(L13:L33)</f>
        <v>#N/A</v>
      </c>
      <c r="M35" s="76">
        <f>166+26</f>
        <v>192</v>
      </c>
    </row>
    <row r="36" spans="2:13" ht="20.149999999999999" customHeight="1" x14ac:dyDescent="0.45">
      <c r="B36" s="11" t="s">
        <v>19</v>
      </c>
      <c r="C36" s="7"/>
      <c r="D36" s="7"/>
      <c r="E36" s="7"/>
      <c r="F36" s="7"/>
      <c r="G36" s="7"/>
      <c r="H36" s="7"/>
      <c r="I36" s="86"/>
      <c r="J36" s="44" t="s">
        <v>22</v>
      </c>
      <c r="K36" s="45"/>
      <c r="L36" s="46" t="e">
        <f>L35*K36</f>
        <v>#N/A</v>
      </c>
    </row>
    <row r="37" spans="2:13" ht="20.149999999999999" customHeight="1" x14ac:dyDescent="0.45">
      <c r="B37" s="11" t="s">
        <v>20</v>
      </c>
      <c r="C37" s="7"/>
      <c r="D37" s="7"/>
      <c r="E37" s="7"/>
      <c r="F37" s="7"/>
      <c r="G37" s="7"/>
      <c r="H37" s="7"/>
      <c r="I37" s="86"/>
      <c r="J37" s="486" t="s">
        <v>21</v>
      </c>
      <c r="K37" s="487"/>
      <c r="L37" s="46" t="e">
        <f>L35-L36</f>
        <v>#N/A</v>
      </c>
    </row>
    <row r="38" spans="2:13" ht="20.149999999999999" customHeight="1" x14ac:dyDescent="0.45">
      <c r="B38" s="11" t="s">
        <v>24</v>
      </c>
      <c r="C38" s="7"/>
      <c r="D38" s="7"/>
      <c r="E38" s="7"/>
      <c r="F38" s="7"/>
      <c r="G38" s="7"/>
      <c r="H38" s="7"/>
      <c r="I38" s="86"/>
      <c r="J38" s="150" t="s">
        <v>17</v>
      </c>
      <c r="K38" s="151">
        <v>7.0000000000000007E-2</v>
      </c>
      <c r="L38" s="47" t="e">
        <f>L37*K38</f>
        <v>#N/A</v>
      </c>
    </row>
    <row r="39" spans="2:13" ht="20.149999999999999" customHeight="1" thickBot="1" x14ac:dyDescent="0.5">
      <c r="B39" s="11" t="s">
        <v>25</v>
      </c>
      <c r="C39" s="7"/>
      <c r="D39" s="7"/>
      <c r="E39" s="7"/>
      <c r="F39" s="7"/>
      <c r="G39" s="7"/>
      <c r="H39" s="7"/>
      <c r="I39" s="86"/>
      <c r="J39" s="488" t="s">
        <v>23</v>
      </c>
      <c r="K39" s="489"/>
      <c r="L39" s="48" t="e">
        <f>L37+L38</f>
        <v>#N/A</v>
      </c>
    </row>
    <row r="40" spans="2:13" ht="20.149999999999999" customHeight="1" x14ac:dyDescent="0.45">
      <c r="B40" s="11" t="s">
        <v>26</v>
      </c>
      <c r="C40" s="7"/>
      <c r="D40" s="7"/>
      <c r="E40" s="7"/>
      <c r="F40" s="7"/>
      <c r="G40" s="7"/>
      <c r="H40" s="7"/>
      <c r="I40" s="86"/>
      <c r="L40" s="42"/>
    </row>
    <row r="41" spans="2:13" ht="20.149999999999999" customHeight="1" x14ac:dyDescent="0.45">
      <c r="B41" s="41"/>
      <c r="L41" s="42"/>
    </row>
    <row r="42" spans="2:13" ht="20.149999999999999" customHeight="1" x14ac:dyDescent="0.45">
      <c r="B42" s="41"/>
      <c r="L42" s="42"/>
    </row>
    <row r="43" spans="2:13" ht="20.149999999999999" customHeight="1" x14ac:dyDescent="0.45">
      <c r="B43" s="41"/>
      <c r="L43" s="42"/>
    </row>
    <row r="44" spans="2:13" ht="20.149999999999999" customHeight="1" x14ac:dyDescent="0.45">
      <c r="B44" s="41"/>
      <c r="L44" s="42"/>
    </row>
    <row r="45" spans="2:13" ht="20.149999999999999" customHeight="1" x14ac:dyDescent="0.45">
      <c r="B45" s="49"/>
      <c r="C45" s="50"/>
      <c r="D45" s="50"/>
      <c r="J45" s="87"/>
      <c r="K45" s="50"/>
      <c r="L45" s="51"/>
    </row>
    <row r="46" spans="2:13" ht="20.149999999999999" customHeight="1" x14ac:dyDescent="0.45">
      <c r="B46" s="41" t="s">
        <v>27</v>
      </c>
      <c r="J46" s="81" t="s">
        <v>28</v>
      </c>
      <c r="L46" s="42"/>
    </row>
    <row r="47" spans="2:13" ht="19" thickBot="1" x14ac:dyDescent="0.5">
      <c r="B47" s="52"/>
      <c r="C47" s="53"/>
      <c r="D47" s="53"/>
      <c r="E47" s="53"/>
      <c r="F47" s="53"/>
      <c r="G47" s="53"/>
      <c r="H47" s="53"/>
      <c r="I47" s="88"/>
      <c r="J47" s="88"/>
      <c r="K47" s="53"/>
      <c r="L47" s="54"/>
    </row>
  </sheetData>
  <mergeCells count="55">
    <mergeCell ref="D13:F13"/>
    <mergeCell ref="I13:J13"/>
    <mergeCell ref="D14:F14"/>
    <mergeCell ref="K6:L6"/>
    <mergeCell ref="B7:D7"/>
    <mergeCell ref="F7:H11"/>
    <mergeCell ref="K7:L7"/>
    <mergeCell ref="B8:D8"/>
    <mergeCell ref="K8:L8"/>
    <mergeCell ref="B9:D9"/>
    <mergeCell ref="K9:L9"/>
    <mergeCell ref="B10:D10"/>
    <mergeCell ref="K10:L10"/>
    <mergeCell ref="K11:L11"/>
    <mergeCell ref="I14:J14"/>
    <mergeCell ref="D16:F16"/>
    <mergeCell ref="I16:J16"/>
    <mergeCell ref="D17:F17"/>
    <mergeCell ref="I17:J17"/>
    <mergeCell ref="D15:F15"/>
    <mergeCell ref="I15:J15"/>
    <mergeCell ref="D18:F18"/>
    <mergeCell ref="I18:J18"/>
    <mergeCell ref="D19:F19"/>
    <mergeCell ref="I19:J19"/>
    <mergeCell ref="D20:F20"/>
    <mergeCell ref="I20:J20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D28:F28"/>
    <mergeCell ref="I28:J28"/>
    <mergeCell ref="D29:F29"/>
    <mergeCell ref="I29:J29"/>
    <mergeCell ref="D30:F30"/>
    <mergeCell ref="I30:J30"/>
    <mergeCell ref="J37:K37"/>
    <mergeCell ref="J39:K39"/>
    <mergeCell ref="I31:J31"/>
    <mergeCell ref="D32:F32"/>
    <mergeCell ref="I32:J32"/>
    <mergeCell ref="D33:F33"/>
    <mergeCell ref="I33:J33"/>
    <mergeCell ref="J35:K35"/>
  </mergeCells>
  <pageMargins left="0.70866141732283505" right="0.31496062992126" top="2.1653543307086598" bottom="0" header="0.31496062992126" footer="0.31496062992126"/>
  <pageSetup paperSize="9" scale="74" orientation="portrait" verticalDpi="300" r:id="rId1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0E8044-EC76-4FB1-8C87-DBEC60E0894C}">
  <sheetPr codeName="Sheet185">
    <tabColor rgb="FFFFFF00"/>
    <pageSetUpPr fitToPage="1"/>
  </sheetPr>
  <dimension ref="B5:V51"/>
  <sheetViews>
    <sheetView topLeftCell="A5" workbookViewId="0">
      <selection activeCell="K14" sqref="K14"/>
    </sheetView>
  </sheetViews>
  <sheetFormatPr defaultColWidth="12.54296875" defaultRowHeight="18.5" x14ac:dyDescent="0.45"/>
  <cols>
    <col min="1" max="1" width="12.54296875" style="24"/>
    <col min="2" max="3" width="12.54296875" style="24" customWidth="1"/>
    <col min="4" max="4" width="14.54296875" style="24" customWidth="1"/>
    <col min="5" max="5" width="1.54296875" style="24" customWidth="1"/>
    <col min="6" max="6" width="17.1796875" style="24" customWidth="1"/>
    <col min="7" max="7" width="8.54296875" style="24" customWidth="1"/>
    <col min="8" max="8" width="15.54296875" style="24" customWidth="1"/>
    <col min="9" max="9" width="2.1796875" style="81" customWidth="1"/>
    <col min="10" max="10" width="15.54296875" style="81" customWidth="1"/>
    <col min="11" max="11" width="10.54296875" style="24" customWidth="1"/>
    <col min="12" max="12" width="12.54296875" style="24" customWidth="1"/>
    <col min="13" max="16384" width="12.54296875" style="24"/>
  </cols>
  <sheetData>
    <row r="5" spans="2:22" ht="19" thickBot="1" x14ac:dyDescent="0.5">
      <c r="B5" s="23"/>
    </row>
    <row r="6" spans="2:22" ht="18" customHeight="1" thickTop="1" thickBot="1" x14ac:dyDescent="0.5">
      <c r="B6" s="25" t="s">
        <v>9</v>
      </c>
      <c r="C6" s="25"/>
      <c r="D6" s="26"/>
      <c r="E6" s="26"/>
      <c r="F6" s="27" t="s">
        <v>10</v>
      </c>
      <c r="G6" s="28"/>
      <c r="H6" s="28" t="s">
        <v>955</v>
      </c>
      <c r="J6" s="82" t="s">
        <v>29</v>
      </c>
      <c r="K6" s="452">
        <v>202002112</v>
      </c>
      <c r="L6" s="453"/>
    </row>
    <row r="7" spans="2:22" ht="20.149999999999999" customHeight="1" x14ac:dyDescent="0.45">
      <c r="B7" s="454"/>
      <c r="C7" s="455"/>
      <c r="D7" s="456"/>
      <c r="E7" s="30"/>
      <c r="F7" s="457" t="str">
        <f>VLOOKUP(H6,'Delivery Location'!A$4:N$416,2,0)</f>
        <v>HENG HENG FOOD SINGAPORE                                                           Turf Club. 1 Turf Club Avenue Singapore Racecourse Singapore 738078</v>
      </c>
      <c r="G7" s="458"/>
      <c r="H7" s="459"/>
      <c r="J7" s="83" t="s">
        <v>11</v>
      </c>
      <c r="K7" s="551">
        <v>43953</v>
      </c>
      <c r="L7" s="472"/>
    </row>
    <row r="8" spans="2:22" ht="20.149999999999999" customHeight="1" x14ac:dyDescent="0.45">
      <c r="B8" s="468"/>
      <c r="C8" s="469"/>
      <c r="D8" s="470"/>
      <c r="E8" s="30"/>
      <c r="F8" s="460"/>
      <c r="G8" s="461"/>
      <c r="H8" s="462"/>
      <c r="J8" s="83" t="s">
        <v>171</v>
      </c>
      <c r="K8" s="471" t="s">
        <v>533</v>
      </c>
      <c r="L8" s="472"/>
    </row>
    <row r="9" spans="2:22" ht="20.149999999999999" customHeight="1" x14ac:dyDescent="0.45">
      <c r="B9" s="468"/>
      <c r="C9" s="469"/>
      <c r="D9" s="470"/>
      <c r="E9" s="30"/>
      <c r="F9" s="460"/>
      <c r="G9" s="461"/>
      <c r="H9" s="462"/>
      <c r="J9" s="83" t="s">
        <v>12</v>
      </c>
      <c r="K9" s="471" t="s">
        <v>14</v>
      </c>
      <c r="L9" s="472"/>
    </row>
    <row r="10" spans="2:22" ht="20.149999999999999" customHeight="1" x14ac:dyDescent="0.45">
      <c r="B10" s="468"/>
      <c r="C10" s="469"/>
      <c r="D10" s="470"/>
      <c r="E10" s="30"/>
      <c r="F10" s="460"/>
      <c r="G10" s="461"/>
      <c r="H10" s="462"/>
      <c r="J10" s="83" t="s">
        <v>30</v>
      </c>
      <c r="K10" s="471" t="s">
        <v>16</v>
      </c>
      <c r="L10" s="472"/>
    </row>
    <row r="11" spans="2:22" ht="18" customHeight="1" thickBot="1" x14ac:dyDescent="0.5">
      <c r="B11" s="55"/>
      <c r="C11" s="56"/>
      <c r="D11" s="57"/>
      <c r="E11" s="26"/>
      <c r="F11" s="463"/>
      <c r="G11" s="464"/>
      <c r="H11" s="465"/>
      <c r="J11" s="84" t="s">
        <v>13</v>
      </c>
      <c r="K11" s="476"/>
      <c r="L11" s="477"/>
    </row>
    <row r="12" spans="2:22" ht="19" thickBot="1" x14ac:dyDescent="0.5">
      <c r="J12" s="85"/>
    </row>
    <row r="13" spans="2:22" ht="30" customHeight="1" thickBot="1" x14ac:dyDescent="0.5">
      <c r="B13" s="8" t="s">
        <v>2</v>
      </c>
      <c r="C13" s="9" t="s">
        <v>3</v>
      </c>
      <c r="D13" s="478" t="s">
        <v>4</v>
      </c>
      <c r="E13" s="483"/>
      <c r="F13" s="479"/>
      <c r="G13" s="19" t="s">
        <v>620</v>
      </c>
      <c r="H13" s="9" t="s">
        <v>31</v>
      </c>
      <c r="I13" s="478" t="s">
        <v>60</v>
      </c>
      <c r="J13" s="479"/>
      <c r="K13" s="9" t="s">
        <v>6</v>
      </c>
      <c r="L13" s="10" t="s">
        <v>7</v>
      </c>
      <c r="M13" s="33"/>
      <c r="N13" s="33"/>
      <c r="O13" s="33"/>
    </row>
    <row r="14" spans="2:22" ht="20.149999999999999" customHeight="1" x14ac:dyDescent="0.45">
      <c r="B14" s="34"/>
      <c r="C14" s="22" t="s">
        <v>393</v>
      </c>
      <c r="D14" s="508" t="e">
        <f>VLOOKUP(C14,'Sales Master'!B$3:D$499,2,)</f>
        <v>#N/A</v>
      </c>
      <c r="E14" s="508"/>
      <c r="F14" s="508"/>
      <c r="G14" s="22">
        <v>1</v>
      </c>
      <c r="H14" s="68" t="str">
        <f>VLOOKUP(C14,'[2]Sales Master'!B$3:F$736,5,0)</f>
        <v>1 Can X A10</v>
      </c>
      <c r="I14" s="481" t="str">
        <f>VLOOKUP(C14,'[2]Sales Master'!B$3:E$736,4,0)</f>
        <v>Chefs</v>
      </c>
      <c r="J14" s="481"/>
      <c r="K14" s="35" t="e">
        <f>VLOOKUP(C14,'Sales Master'!B$3:$BL$3249,63,0)</f>
        <v>#N/A</v>
      </c>
      <c r="L14" s="123" t="e">
        <f>K14*G14</f>
        <v>#N/A</v>
      </c>
      <c r="M14" s="78"/>
      <c r="N14" s="125" t="s">
        <v>447</v>
      </c>
      <c r="O14" s="24" t="s">
        <v>459</v>
      </c>
      <c r="R14" s="24">
        <v>2</v>
      </c>
      <c r="S14" s="24" t="s">
        <v>260</v>
      </c>
      <c r="T14" s="24" t="s">
        <v>709</v>
      </c>
      <c r="V14" s="24">
        <v>32</v>
      </c>
    </row>
    <row r="15" spans="2:22" ht="20.149999999999999" customHeight="1" x14ac:dyDescent="0.45">
      <c r="B15" s="34"/>
      <c r="C15" s="22"/>
      <c r="D15" s="508"/>
      <c r="E15" s="508"/>
      <c r="F15" s="508"/>
      <c r="G15" s="22"/>
      <c r="H15" s="68"/>
      <c r="I15" s="481"/>
      <c r="J15" s="481"/>
      <c r="K15" s="35"/>
      <c r="L15" s="123"/>
      <c r="N15" s="24" t="s">
        <v>438</v>
      </c>
      <c r="O15" s="24" t="s">
        <v>287</v>
      </c>
      <c r="R15" s="24">
        <v>2</v>
      </c>
      <c r="S15" s="24" t="s">
        <v>527</v>
      </c>
    </row>
    <row r="16" spans="2:22" ht="20.149999999999999" customHeight="1" x14ac:dyDescent="0.45">
      <c r="B16" s="34"/>
      <c r="C16" s="22"/>
      <c r="D16" s="508"/>
      <c r="E16" s="508"/>
      <c r="F16" s="508"/>
      <c r="G16" s="22"/>
      <c r="H16" s="68"/>
      <c r="I16" s="481"/>
      <c r="J16" s="481"/>
      <c r="K16" s="35"/>
      <c r="L16" s="123"/>
      <c r="M16" s="78"/>
      <c r="N16" s="24" t="s">
        <v>417</v>
      </c>
      <c r="O16" s="24" t="s">
        <v>313</v>
      </c>
      <c r="R16" s="24">
        <v>1</v>
      </c>
      <c r="S16" s="24" t="s">
        <v>649</v>
      </c>
    </row>
    <row r="17" spans="2:22" ht="20.149999999999999" customHeight="1" x14ac:dyDescent="0.45">
      <c r="B17" s="34"/>
      <c r="C17" s="22"/>
      <c r="D17" s="508"/>
      <c r="E17" s="508"/>
      <c r="F17" s="508"/>
      <c r="G17" s="22"/>
      <c r="H17" s="68"/>
      <c r="I17" s="481"/>
      <c r="J17" s="481"/>
      <c r="K17" s="35"/>
      <c r="L17" s="123"/>
      <c r="M17" s="78"/>
      <c r="N17" s="24" t="s">
        <v>425</v>
      </c>
      <c r="O17" s="24" t="s">
        <v>321</v>
      </c>
      <c r="R17" s="24">
        <v>10</v>
      </c>
      <c r="S17" s="24" t="s">
        <v>257</v>
      </c>
      <c r="T17" s="24" t="s">
        <v>686</v>
      </c>
    </row>
    <row r="18" spans="2:22" ht="20.149999999999999" customHeight="1" x14ac:dyDescent="0.45">
      <c r="B18" s="80"/>
      <c r="C18" s="22"/>
      <c r="D18" s="508"/>
      <c r="E18" s="508"/>
      <c r="F18" s="508"/>
      <c r="G18" s="22"/>
      <c r="H18" s="68"/>
      <c r="I18" s="481"/>
      <c r="J18" s="481"/>
      <c r="K18" s="35"/>
      <c r="L18" s="123"/>
      <c r="M18" s="78"/>
      <c r="N18" s="24" t="s">
        <v>453</v>
      </c>
      <c r="O18" s="24" t="s">
        <v>328</v>
      </c>
      <c r="R18" s="24">
        <v>2</v>
      </c>
      <c r="S18" s="24" t="s">
        <v>59</v>
      </c>
    </row>
    <row r="19" spans="2:22" ht="20.149999999999999" customHeight="1" x14ac:dyDescent="0.45">
      <c r="B19" s="34"/>
      <c r="C19" s="22"/>
      <c r="D19" s="508"/>
      <c r="E19" s="508"/>
      <c r="F19" s="508"/>
      <c r="G19" s="22"/>
      <c r="H19" s="68"/>
      <c r="I19" s="481"/>
      <c r="J19" s="481"/>
      <c r="K19" s="35"/>
      <c r="L19" s="123"/>
      <c r="M19" s="78"/>
      <c r="N19" s="24" t="s">
        <v>386</v>
      </c>
      <c r="O19" s="24" t="s">
        <v>284</v>
      </c>
      <c r="R19" s="24">
        <v>1</v>
      </c>
      <c r="S19" s="24" t="s">
        <v>36</v>
      </c>
      <c r="T19" s="24" t="s">
        <v>740</v>
      </c>
    </row>
    <row r="20" spans="2:22" ht="20.149999999999999" customHeight="1" x14ac:dyDescent="0.45">
      <c r="B20" s="34"/>
      <c r="C20" s="22"/>
      <c r="D20" s="508"/>
      <c r="E20" s="508"/>
      <c r="F20" s="508"/>
      <c r="G20" s="22"/>
      <c r="H20" s="68"/>
      <c r="I20" s="481"/>
      <c r="J20" s="481"/>
      <c r="K20" s="35"/>
      <c r="L20" s="123"/>
      <c r="M20" s="78"/>
      <c r="N20" s="24" t="s">
        <v>382</v>
      </c>
      <c r="O20" s="24" t="s">
        <v>285</v>
      </c>
      <c r="R20" s="24">
        <v>1</v>
      </c>
      <c r="S20" s="24" t="s">
        <v>535</v>
      </c>
      <c r="T20" s="24" t="s">
        <v>534</v>
      </c>
    </row>
    <row r="21" spans="2:22" ht="20.149999999999999" customHeight="1" x14ac:dyDescent="0.45">
      <c r="B21" s="34"/>
      <c r="C21" s="22"/>
      <c r="D21" s="508"/>
      <c r="E21" s="508"/>
      <c r="F21" s="508"/>
      <c r="G21" s="22"/>
      <c r="H21" s="68"/>
      <c r="I21" s="481"/>
      <c r="J21" s="481"/>
      <c r="K21" s="35"/>
      <c r="L21" s="123"/>
      <c r="M21" s="78"/>
      <c r="N21" s="24" t="s">
        <v>386</v>
      </c>
      <c r="O21" s="24" t="s">
        <v>605</v>
      </c>
      <c r="R21" s="24">
        <v>1</v>
      </c>
    </row>
    <row r="22" spans="2:22" ht="20.149999999999999" customHeight="1" x14ac:dyDescent="0.45">
      <c r="B22" s="34"/>
      <c r="C22" s="22"/>
      <c r="D22" s="508"/>
      <c r="E22" s="508"/>
      <c r="F22" s="508"/>
      <c r="G22" s="22"/>
      <c r="H22" s="68"/>
      <c r="I22" s="481"/>
      <c r="J22" s="481"/>
      <c r="K22" s="35"/>
      <c r="L22" s="123"/>
      <c r="M22" s="78"/>
      <c r="N22" s="24" t="s">
        <v>482</v>
      </c>
      <c r="O22" s="24" t="s">
        <v>322</v>
      </c>
      <c r="R22" s="24">
        <v>1</v>
      </c>
      <c r="S22" s="24" t="s">
        <v>873</v>
      </c>
      <c r="T22" s="24" t="s">
        <v>595</v>
      </c>
      <c r="V22" s="24">
        <v>38</v>
      </c>
    </row>
    <row r="23" spans="2:22" ht="20.149999999999999" customHeight="1" x14ac:dyDescent="0.45">
      <c r="B23" s="34"/>
      <c r="C23" s="22"/>
      <c r="D23" s="508"/>
      <c r="E23" s="508"/>
      <c r="F23" s="508"/>
      <c r="G23" s="22"/>
      <c r="H23" s="68"/>
      <c r="I23" s="481"/>
      <c r="J23" s="481"/>
      <c r="K23" s="35"/>
      <c r="L23" s="123"/>
      <c r="M23" s="78"/>
    </row>
    <row r="24" spans="2:22" ht="20.149999999999999" customHeight="1" x14ac:dyDescent="0.45">
      <c r="B24" s="34"/>
      <c r="C24" s="22"/>
      <c r="D24" s="508"/>
      <c r="E24" s="508"/>
      <c r="F24" s="508"/>
      <c r="G24" s="22"/>
      <c r="H24" s="68"/>
      <c r="I24" s="481"/>
      <c r="J24" s="481"/>
      <c r="K24" s="35"/>
      <c r="L24" s="123"/>
      <c r="M24" s="78"/>
    </row>
    <row r="25" spans="2:22" ht="20.149999999999999" customHeight="1" x14ac:dyDescent="0.45">
      <c r="B25" s="34"/>
      <c r="C25" s="22"/>
      <c r="D25" s="508"/>
      <c r="E25" s="508"/>
      <c r="F25" s="508"/>
      <c r="G25" s="22"/>
      <c r="H25" s="68"/>
      <c r="I25" s="481"/>
      <c r="J25" s="481"/>
      <c r="K25" s="35"/>
      <c r="L25" s="123"/>
      <c r="M25" s="78"/>
    </row>
    <row r="26" spans="2:22" ht="20.149999999999999" customHeight="1" x14ac:dyDescent="0.45">
      <c r="B26" s="34"/>
      <c r="C26" s="22"/>
      <c r="D26" s="508"/>
      <c r="E26" s="508"/>
      <c r="F26" s="508"/>
      <c r="G26" s="22"/>
      <c r="H26" s="68"/>
      <c r="I26" s="481"/>
      <c r="J26" s="481"/>
      <c r="K26" s="35"/>
      <c r="L26" s="123"/>
    </row>
    <row r="27" spans="2:22" ht="20.149999999999999" customHeight="1" x14ac:dyDescent="0.45">
      <c r="B27" s="34"/>
      <c r="C27" s="22"/>
      <c r="D27" s="508"/>
      <c r="E27" s="508"/>
      <c r="F27" s="508"/>
      <c r="G27" s="22"/>
      <c r="H27" s="68"/>
      <c r="I27" s="481"/>
      <c r="J27" s="481"/>
      <c r="K27" s="35"/>
      <c r="L27" s="123"/>
      <c r="M27" s="78"/>
    </row>
    <row r="28" spans="2:22" ht="20.149999999999999" customHeight="1" x14ac:dyDescent="0.45">
      <c r="B28" s="34"/>
      <c r="C28" s="22"/>
      <c r="D28" s="508"/>
      <c r="E28" s="508"/>
      <c r="F28" s="508"/>
      <c r="G28" s="22"/>
      <c r="H28" s="68"/>
      <c r="I28" s="481"/>
      <c r="J28" s="481"/>
      <c r="K28" s="35"/>
      <c r="L28" s="123"/>
      <c r="M28" s="78"/>
    </row>
    <row r="29" spans="2:22" ht="20.149999999999999" customHeight="1" x14ac:dyDescent="0.45">
      <c r="B29" s="34"/>
      <c r="C29" s="22"/>
      <c r="D29" s="508"/>
      <c r="E29" s="508"/>
      <c r="F29" s="508"/>
      <c r="G29" s="22"/>
      <c r="H29" s="68"/>
      <c r="I29" s="481"/>
      <c r="J29" s="481"/>
      <c r="K29" s="35"/>
      <c r="L29" s="123"/>
    </row>
    <row r="30" spans="2:22" ht="20.149999999999999" customHeight="1" x14ac:dyDescent="0.45">
      <c r="B30" s="34"/>
      <c r="C30" s="22"/>
      <c r="D30" s="508"/>
      <c r="E30" s="508"/>
      <c r="F30" s="508"/>
      <c r="G30" s="22"/>
      <c r="H30" s="68"/>
      <c r="I30" s="481"/>
      <c r="J30" s="481"/>
      <c r="K30" s="35"/>
      <c r="L30" s="123"/>
    </row>
    <row r="31" spans="2:22" ht="20.149999999999999" customHeight="1" x14ac:dyDescent="0.45">
      <c r="B31" s="34"/>
      <c r="C31" s="22"/>
      <c r="D31" s="508"/>
      <c r="E31" s="508"/>
      <c r="F31" s="508"/>
      <c r="G31" s="22"/>
      <c r="H31" s="68"/>
      <c r="I31" s="481"/>
      <c r="J31" s="481"/>
      <c r="K31" s="35"/>
      <c r="L31" s="123"/>
    </row>
    <row r="32" spans="2:22" ht="20.149999999999999" customHeight="1" x14ac:dyDescent="0.45">
      <c r="B32" s="34"/>
      <c r="C32" s="22"/>
      <c r="D32" s="508"/>
      <c r="E32" s="508"/>
      <c r="F32" s="508"/>
      <c r="G32" s="22"/>
      <c r="H32" s="68"/>
      <c r="I32" s="481"/>
      <c r="J32" s="481"/>
      <c r="K32" s="35"/>
      <c r="L32" s="123"/>
    </row>
    <row r="33" spans="2:13" ht="20.149999999999999" customHeight="1" x14ac:dyDescent="0.45">
      <c r="B33" s="34"/>
      <c r="C33" s="22"/>
      <c r="D33" s="508"/>
      <c r="E33" s="508"/>
      <c r="F33" s="508"/>
      <c r="G33" s="22"/>
      <c r="H33" s="68"/>
      <c r="I33" s="481"/>
      <c r="J33" s="481"/>
      <c r="K33" s="35"/>
      <c r="L33" s="123"/>
      <c r="M33" s="78"/>
    </row>
    <row r="34" spans="2:13" ht="20.149999999999999" customHeight="1" x14ac:dyDescent="0.45">
      <c r="B34" s="34"/>
      <c r="C34" s="22"/>
      <c r="D34" s="508"/>
      <c r="E34" s="508"/>
      <c r="F34" s="508"/>
      <c r="G34" s="22"/>
      <c r="H34" s="68"/>
      <c r="I34" s="481"/>
      <c r="J34" s="481"/>
      <c r="K34" s="35"/>
      <c r="L34" s="123"/>
      <c r="M34" s="78"/>
    </row>
    <row r="35" spans="2:13" ht="20.149999999999999" customHeight="1" x14ac:dyDescent="0.45">
      <c r="B35" s="34"/>
      <c r="C35" s="22"/>
      <c r="D35" s="508"/>
      <c r="E35" s="508"/>
      <c r="F35" s="508"/>
      <c r="G35" s="22"/>
      <c r="H35" s="68"/>
      <c r="I35" s="481"/>
      <c r="J35" s="481"/>
      <c r="K35" s="35"/>
      <c r="L35" s="123"/>
    </row>
    <row r="36" spans="2:13" ht="20.149999999999999" customHeight="1" x14ac:dyDescent="0.45">
      <c r="B36" s="34"/>
      <c r="C36" s="22"/>
      <c r="D36" s="508"/>
      <c r="E36" s="508"/>
      <c r="F36" s="508"/>
      <c r="G36" s="22"/>
      <c r="H36" s="68"/>
      <c r="I36" s="481"/>
      <c r="J36" s="481"/>
      <c r="K36" s="35"/>
      <c r="L36" s="123"/>
    </row>
    <row r="37" spans="2:13" ht="20.149999999999999" customHeight="1" thickBot="1" x14ac:dyDescent="0.5">
      <c r="B37" s="37"/>
      <c r="C37" s="38"/>
      <c r="D37" s="509"/>
      <c r="E37" s="509"/>
      <c r="F37" s="509"/>
      <c r="G37" s="38"/>
      <c r="H37" s="69"/>
      <c r="I37" s="557"/>
      <c r="J37" s="557"/>
      <c r="K37" s="39"/>
      <c r="L37" s="89"/>
    </row>
    <row r="38" spans="2:13" ht="20.149999999999999" customHeight="1" thickBot="1" x14ac:dyDescent="0.5">
      <c r="B38" s="41"/>
      <c r="L38" s="42"/>
    </row>
    <row r="39" spans="2:13" ht="20.149999999999999" customHeight="1" x14ac:dyDescent="0.45">
      <c r="B39" s="11" t="s">
        <v>18</v>
      </c>
      <c r="C39" s="7"/>
      <c r="D39" s="7"/>
      <c r="E39" s="7"/>
      <c r="F39" s="7"/>
      <c r="G39" s="7"/>
      <c r="H39" s="7"/>
      <c r="I39" s="86"/>
      <c r="J39" s="510" t="s">
        <v>15</v>
      </c>
      <c r="K39" s="511"/>
      <c r="L39" s="43" t="e">
        <f>SUM(L13:L36)</f>
        <v>#N/A</v>
      </c>
      <c r="M39" s="76">
        <f>166+26</f>
        <v>192</v>
      </c>
    </row>
    <row r="40" spans="2:13" ht="20.149999999999999" customHeight="1" x14ac:dyDescent="0.45">
      <c r="B40" s="11" t="s">
        <v>19</v>
      </c>
      <c r="C40" s="7"/>
      <c r="D40" s="7"/>
      <c r="E40" s="7"/>
      <c r="F40" s="7"/>
      <c r="G40" s="7"/>
      <c r="H40" s="7"/>
      <c r="I40" s="86"/>
      <c r="J40" s="44" t="s">
        <v>22</v>
      </c>
      <c r="K40" s="45"/>
      <c r="L40" s="46" t="e">
        <f>L39*K40</f>
        <v>#N/A</v>
      </c>
    </row>
    <row r="41" spans="2:13" ht="20.149999999999999" customHeight="1" x14ac:dyDescent="0.45">
      <c r="B41" s="11" t="s">
        <v>20</v>
      </c>
      <c r="C41" s="7"/>
      <c r="D41" s="7"/>
      <c r="E41" s="7"/>
      <c r="F41" s="7"/>
      <c r="G41" s="7"/>
      <c r="H41" s="7"/>
      <c r="I41" s="86"/>
      <c r="J41" s="486" t="s">
        <v>21</v>
      </c>
      <c r="K41" s="487"/>
      <c r="L41" s="46" t="e">
        <f>L39-L40</f>
        <v>#N/A</v>
      </c>
    </row>
    <row r="42" spans="2:13" ht="20.149999999999999" customHeight="1" x14ac:dyDescent="0.45">
      <c r="B42" s="11" t="s">
        <v>24</v>
      </c>
      <c r="C42" s="7"/>
      <c r="D42" s="7"/>
      <c r="E42" s="7"/>
      <c r="F42" s="7"/>
      <c r="G42" s="7"/>
      <c r="H42" s="7"/>
      <c r="I42" s="86"/>
      <c r="J42" s="150" t="s">
        <v>17</v>
      </c>
      <c r="K42" s="151">
        <v>7.0000000000000007E-2</v>
      </c>
      <c r="L42" s="47" t="e">
        <f>L41*K42</f>
        <v>#N/A</v>
      </c>
    </row>
    <row r="43" spans="2:13" ht="20.149999999999999" customHeight="1" thickBot="1" x14ac:dyDescent="0.5">
      <c r="B43" s="11" t="s">
        <v>25</v>
      </c>
      <c r="C43" s="7"/>
      <c r="D43" s="7"/>
      <c r="E43" s="7"/>
      <c r="F43" s="7"/>
      <c r="G43" s="7"/>
      <c r="H43" s="7"/>
      <c r="I43" s="86"/>
      <c r="J43" s="488" t="s">
        <v>23</v>
      </c>
      <c r="K43" s="489"/>
      <c r="L43" s="48" t="e">
        <f>L41+L42</f>
        <v>#N/A</v>
      </c>
    </row>
    <row r="44" spans="2:13" ht="20.149999999999999" customHeight="1" x14ac:dyDescent="0.45">
      <c r="B44" s="11" t="s">
        <v>26</v>
      </c>
      <c r="C44" s="7"/>
      <c r="D44" s="7"/>
      <c r="E44" s="7"/>
      <c r="F44" s="7"/>
      <c r="G44" s="7"/>
      <c r="H44" s="7"/>
      <c r="I44" s="86"/>
      <c r="L44" s="42"/>
    </row>
    <row r="45" spans="2:13" ht="20.149999999999999" customHeight="1" x14ac:dyDescent="0.45">
      <c r="B45" s="41"/>
      <c r="L45" s="42"/>
    </row>
    <row r="46" spans="2:13" ht="20.149999999999999" customHeight="1" x14ac:dyDescent="0.45">
      <c r="B46" s="41"/>
      <c r="L46" s="42"/>
    </row>
    <row r="47" spans="2:13" ht="20.149999999999999" customHeight="1" x14ac:dyDescent="0.45">
      <c r="B47" s="41"/>
      <c r="L47" s="42"/>
    </row>
    <row r="48" spans="2:13" ht="20.149999999999999" customHeight="1" x14ac:dyDescent="0.45">
      <c r="B48" s="41"/>
      <c r="L48" s="42"/>
    </row>
    <row r="49" spans="2:12" ht="20.149999999999999" customHeight="1" x14ac:dyDescent="0.45">
      <c r="B49" s="49"/>
      <c r="C49" s="50"/>
      <c r="D49" s="50"/>
      <c r="J49" s="87"/>
      <c r="K49" s="50"/>
      <c r="L49" s="51"/>
    </row>
    <row r="50" spans="2:12" ht="20.149999999999999" customHeight="1" x14ac:dyDescent="0.45">
      <c r="B50" s="41" t="s">
        <v>27</v>
      </c>
      <c r="J50" s="81" t="s">
        <v>28</v>
      </c>
      <c r="L50" s="42"/>
    </row>
    <row r="51" spans="2:12" ht="19" thickBot="1" x14ac:dyDescent="0.5">
      <c r="B51" s="52"/>
      <c r="C51" s="53"/>
      <c r="D51" s="53"/>
      <c r="E51" s="53"/>
      <c r="F51" s="53"/>
      <c r="G51" s="53"/>
      <c r="H51" s="53"/>
      <c r="I51" s="88"/>
      <c r="J51" s="88"/>
      <c r="K51" s="53"/>
      <c r="L51" s="54"/>
    </row>
  </sheetData>
  <mergeCells count="64">
    <mergeCell ref="D13:F13"/>
    <mergeCell ref="I13:J13"/>
    <mergeCell ref="D14:F14"/>
    <mergeCell ref="K6:L6"/>
    <mergeCell ref="B7:D7"/>
    <mergeCell ref="F7:H11"/>
    <mergeCell ref="K7:L7"/>
    <mergeCell ref="B8:D8"/>
    <mergeCell ref="K8:L8"/>
    <mergeCell ref="B9:D9"/>
    <mergeCell ref="K9:L9"/>
    <mergeCell ref="B10:D10"/>
    <mergeCell ref="K10:L10"/>
    <mergeCell ref="K11:L11"/>
    <mergeCell ref="I14:J14"/>
    <mergeCell ref="D16:F16"/>
    <mergeCell ref="I16:J16"/>
    <mergeCell ref="D17:F17"/>
    <mergeCell ref="I17:J17"/>
    <mergeCell ref="D15:F15"/>
    <mergeCell ref="I15:J15"/>
    <mergeCell ref="D18:F18"/>
    <mergeCell ref="I18:J18"/>
    <mergeCell ref="D19:F19"/>
    <mergeCell ref="I19:J19"/>
    <mergeCell ref="D20:F20"/>
    <mergeCell ref="I20:J20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D28:F28"/>
    <mergeCell ref="I28:J28"/>
    <mergeCell ref="D29:F29"/>
    <mergeCell ref="I29:J29"/>
    <mergeCell ref="D30:F30"/>
    <mergeCell ref="I30:J30"/>
    <mergeCell ref="D31:F31"/>
    <mergeCell ref="I31:J31"/>
    <mergeCell ref="D32:F32"/>
    <mergeCell ref="I32:J32"/>
    <mergeCell ref="D33:F33"/>
    <mergeCell ref="I33:J33"/>
    <mergeCell ref="D34:F34"/>
    <mergeCell ref="I34:J34"/>
    <mergeCell ref="D35:F35"/>
    <mergeCell ref="I35:J35"/>
    <mergeCell ref="J41:K41"/>
    <mergeCell ref="J43:K43"/>
    <mergeCell ref="D36:F36"/>
    <mergeCell ref="I36:J36"/>
    <mergeCell ref="D37:F37"/>
    <mergeCell ref="I37:J37"/>
    <mergeCell ref="J39:K39"/>
  </mergeCells>
  <pageMargins left="0.70866141732283505" right="0.31496062992126" top="2.1653543307086598" bottom="0" header="0.31496062992126" footer="0.31496062992126"/>
  <pageSetup paperSize="9" scale="70" orientation="portrait" verticalDpi="300" r:id="rId1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14EFCE-25BF-4C4D-822B-8A80880240F1}">
  <sheetPr codeName="Sheet186">
    <tabColor rgb="FFC00000"/>
    <pageSetUpPr fitToPage="1"/>
  </sheetPr>
  <dimension ref="B1:V41"/>
  <sheetViews>
    <sheetView workbookViewId="0">
      <selection activeCell="F11" sqref="F11:H15"/>
    </sheetView>
  </sheetViews>
  <sheetFormatPr defaultColWidth="12.54296875" defaultRowHeight="18.5" x14ac:dyDescent="0.45"/>
  <cols>
    <col min="1" max="1" width="12.54296875" style="24"/>
    <col min="2" max="3" width="12.54296875" style="24" customWidth="1"/>
    <col min="4" max="4" width="14.54296875" style="24" customWidth="1"/>
    <col min="5" max="5" width="1.54296875" style="24" customWidth="1"/>
    <col min="6" max="6" width="17.1796875" style="24" customWidth="1"/>
    <col min="7" max="7" width="8.54296875" style="24" customWidth="1"/>
    <col min="8" max="8" width="15.54296875" style="24" customWidth="1"/>
    <col min="9" max="9" width="2.1796875" style="81" customWidth="1"/>
    <col min="10" max="10" width="15.54296875" style="81" customWidth="1"/>
    <col min="11" max="11" width="10.54296875" style="24" customWidth="1"/>
    <col min="12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1381</v>
      </c>
      <c r="J10" s="82" t="s">
        <v>29</v>
      </c>
      <c r="K10" s="452">
        <v>202108206</v>
      </c>
      <c r="L10" s="453"/>
    </row>
    <row r="11" spans="2:12" ht="20.149999999999999" customHeight="1" x14ac:dyDescent="0.45">
      <c r="B11" s="454" t="s">
        <v>914</v>
      </c>
      <c r="C11" s="455"/>
      <c r="D11" s="456"/>
      <c r="E11" s="30"/>
      <c r="F11" s="457" t="str">
        <f>VLOOKUP(H10,'Delivery Location'!A$4:N$416,2,0)</f>
        <v>CHEF RICKSON'S KITCHEN (Ally)                  Blk 4011, Ang Mo Kio Avenue 10, Techplace 1. Stall 10-11 Singapore 569627</v>
      </c>
      <c r="G11" s="458"/>
      <c r="H11" s="459"/>
      <c r="J11" s="83" t="s">
        <v>11</v>
      </c>
      <c r="K11" s="551">
        <v>44422</v>
      </c>
      <c r="L11" s="472"/>
    </row>
    <row r="12" spans="2:12" ht="20.149999999999999" customHeight="1" x14ac:dyDescent="0.45">
      <c r="B12" s="468" t="s">
        <v>915</v>
      </c>
      <c r="C12" s="469"/>
      <c r="D12" s="470"/>
      <c r="E12" s="30"/>
      <c r="F12" s="460"/>
      <c r="G12" s="461"/>
      <c r="H12" s="462"/>
      <c r="J12" s="83" t="s">
        <v>171</v>
      </c>
      <c r="K12" s="471" t="s">
        <v>533</v>
      </c>
      <c r="L12" s="472"/>
    </row>
    <row r="13" spans="2:12" ht="20.149999999999999" customHeight="1" x14ac:dyDescent="0.45">
      <c r="B13" s="468"/>
      <c r="C13" s="469"/>
      <c r="D13" s="470"/>
      <c r="E13" s="30"/>
      <c r="F13" s="460"/>
      <c r="G13" s="461"/>
      <c r="H13" s="462"/>
      <c r="J13" s="83" t="s">
        <v>12</v>
      </c>
      <c r="K13" s="471" t="s">
        <v>1414</v>
      </c>
      <c r="L13" s="472"/>
    </row>
    <row r="14" spans="2:12" ht="20.149999999999999" customHeight="1" x14ac:dyDescent="0.45">
      <c r="B14" s="468"/>
      <c r="C14" s="469"/>
      <c r="D14" s="470"/>
      <c r="E14" s="30"/>
      <c r="F14" s="460"/>
      <c r="G14" s="461"/>
      <c r="H14" s="462"/>
      <c r="J14" s="83" t="s">
        <v>30</v>
      </c>
      <c r="K14" s="471" t="s">
        <v>16</v>
      </c>
      <c r="L14" s="472"/>
    </row>
    <row r="15" spans="2:12" ht="18" customHeight="1" thickBot="1" x14ac:dyDescent="0.5">
      <c r="B15" s="55"/>
      <c r="C15" s="56"/>
      <c r="D15" s="57"/>
      <c r="E15" s="26"/>
      <c r="F15" s="463"/>
      <c r="G15" s="464"/>
      <c r="H15" s="465"/>
      <c r="J15" s="84" t="s">
        <v>13</v>
      </c>
      <c r="K15" s="476"/>
      <c r="L15" s="477"/>
    </row>
    <row r="16" spans="2:12" ht="19" thickBot="1" x14ac:dyDescent="0.5">
      <c r="J16" s="85"/>
    </row>
    <row r="17" spans="2:22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3"/>
      <c r="O17" s="33"/>
    </row>
    <row r="18" spans="2:22" ht="20.149999999999999" customHeight="1" x14ac:dyDescent="0.45">
      <c r="B18" s="34"/>
      <c r="C18" s="22" t="s">
        <v>1691</v>
      </c>
      <c r="D18" s="508" t="str">
        <f>VLOOKUP(C18,'Sales Master'!B$3:D$499,2,)</f>
        <v>Nata De Coco椰果芊 15mm</v>
      </c>
      <c r="E18" s="508"/>
      <c r="F18" s="508"/>
      <c r="G18" s="22">
        <v>24</v>
      </c>
      <c r="H18" s="68" t="str">
        <f>VLOOKUP(C18,'Sales Master'!$B$3:$F$3179,5,0)</f>
        <v>1 Can X A10</v>
      </c>
      <c r="I18" s="481" t="str">
        <f>VLOOKUP(C18,'Sales Master'!$B$3:$E$3179,4,0)</f>
        <v>Chefs</v>
      </c>
      <c r="J18" s="481"/>
      <c r="K18" s="35">
        <f>VLOOKUP(C18,'Sales Master'!B$3:AA$499,26,0)</f>
        <v>9.5</v>
      </c>
      <c r="L18" s="77">
        <f>K18*G18</f>
        <v>228</v>
      </c>
      <c r="M18" s="78"/>
      <c r="N18" s="125" t="s">
        <v>447</v>
      </c>
      <c r="O18" s="24" t="s">
        <v>459</v>
      </c>
      <c r="R18" s="24">
        <v>2</v>
      </c>
      <c r="S18" s="24" t="s">
        <v>260</v>
      </c>
      <c r="T18" s="24" t="s">
        <v>709</v>
      </c>
      <c r="V18" s="24">
        <v>32</v>
      </c>
    </row>
    <row r="19" spans="2:22" ht="20.149999999999999" customHeight="1" x14ac:dyDescent="0.45">
      <c r="B19" s="34"/>
      <c r="C19" s="22" t="s">
        <v>1567</v>
      </c>
      <c r="D19" s="508" t="str">
        <f>VLOOKUP(C19,'Sales Master'!B$3:D$499,2,)</f>
        <v>Selaseh (Basil Seed) 青蛙蛋</v>
      </c>
      <c r="E19" s="508"/>
      <c r="F19" s="508"/>
      <c r="G19" s="22">
        <v>1</v>
      </c>
      <c r="H19" s="68" t="str">
        <f>VLOOKUP(C19,'Sales Master'!$B$3:$F$3179,5,0)</f>
        <v>500 gm</v>
      </c>
      <c r="I19" s="481" t="str">
        <f>VLOOKUP(C19,'Sales Master'!$B$3:$E$3179,4,0)</f>
        <v>Tukhmaria</v>
      </c>
      <c r="J19" s="481"/>
      <c r="K19" s="35">
        <f>VLOOKUP(C19,'Sales Master'!B$3:AA$499,26,0)</f>
        <v>6</v>
      </c>
      <c r="L19" s="77">
        <f>K19*G19</f>
        <v>6</v>
      </c>
      <c r="N19" s="24" t="s">
        <v>438</v>
      </c>
      <c r="O19" s="24" t="s">
        <v>287</v>
      </c>
      <c r="R19" s="24">
        <v>2</v>
      </c>
      <c r="S19" s="24" t="s">
        <v>527</v>
      </c>
    </row>
    <row r="20" spans="2:22" ht="20.149999999999999" customHeight="1" x14ac:dyDescent="0.45">
      <c r="B20" s="34"/>
      <c r="C20" s="22"/>
      <c r="D20" s="508"/>
      <c r="E20" s="508"/>
      <c r="F20" s="508"/>
      <c r="G20" s="22"/>
      <c r="H20" s="68"/>
      <c r="I20" s="481"/>
      <c r="J20" s="481"/>
      <c r="K20" s="35"/>
      <c r="L20" s="123"/>
      <c r="M20" s="78"/>
      <c r="N20" s="24" t="s">
        <v>417</v>
      </c>
      <c r="O20" s="24" t="s">
        <v>313</v>
      </c>
      <c r="R20" s="24">
        <v>1</v>
      </c>
      <c r="S20" s="24" t="s">
        <v>649</v>
      </c>
    </row>
    <row r="21" spans="2:22" ht="20.149999999999999" customHeight="1" x14ac:dyDescent="0.45">
      <c r="B21" s="34"/>
      <c r="C21" s="22"/>
      <c r="D21" s="508"/>
      <c r="E21" s="508"/>
      <c r="F21" s="508"/>
      <c r="G21" s="22"/>
      <c r="H21" s="68"/>
      <c r="I21" s="481"/>
      <c r="J21" s="481"/>
      <c r="K21" s="35"/>
      <c r="L21" s="123"/>
      <c r="M21" s="78"/>
      <c r="N21" s="24" t="s">
        <v>425</v>
      </c>
      <c r="O21" s="24" t="s">
        <v>321</v>
      </c>
      <c r="R21" s="24">
        <v>10</v>
      </c>
      <c r="S21" s="24" t="s">
        <v>257</v>
      </c>
      <c r="T21" s="24" t="s">
        <v>686</v>
      </c>
    </row>
    <row r="22" spans="2:22" ht="20.149999999999999" customHeight="1" x14ac:dyDescent="0.45">
      <c r="B22" s="34"/>
      <c r="C22" s="22"/>
      <c r="D22" s="508"/>
      <c r="E22" s="508"/>
      <c r="F22" s="508"/>
      <c r="G22" s="22"/>
      <c r="H22" s="68"/>
      <c r="I22" s="481"/>
      <c r="J22" s="481"/>
      <c r="K22" s="35"/>
      <c r="L22" s="123"/>
      <c r="M22" s="78"/>
      <c r="N22" s="24" t="s">
        <v>453</v>
      </c>
      <c r="O22" s="24" t="s">
        <v>328</v>
      </c>
      <c r="R22" s="24">
        <v>2</v>
      </c>
      <c r="S22" s="24" t="s">
        <v>59</v>
      </c>
    </row>
    <row r="23" spans="2:22" ht="20.149999999999999" customHeight="1" x14ac:dyDescent="0.45">
      <c r="B23" s="34"/>
      <c r="C23" s="22"/>
      <c r="D23" s="508"/>
      <c r="E23" s="508"/>
      <c r="F23" s="508"/>
      <c r="G23" s="22"/>
      <c r="H23" s="68"/>
      <c r="I23" s="481"/>
      <c r="J23" s="481"/>
      <c r="K23" s="35"/>
      <c r="L23" s="123"/>
      <c r="M23" s="78"/>
      <c r="N23" s="24" t="s">
        <v>386</v>
      </c>
      <c r="O23" s="24" t="s">
        <v>284</v>
      </c>
      <c r="R23" s="24">
        <v>1</v>
      </c>
      <c r="S23" s="24" t="s">
        <v>36</v>
      </c>
      <c r="T23" s="24" t="s">
        <v>740</v>
      </c>
    </row>
    <row r="24" spans="2:22" ht="18" customHeight="1" x14ac:dyDescent="0.45">
      <c r="B24" s="34"/>
      <c r="C24" s="22"/>
      <c r="D24" s="508"/>
      <c r="E24" s="508"/>
      <c r="F24" s="508"/>
      <c r="G24" s="22"/>
      <c r="H24" s="68"/>
      <c r="I24" s="481"/>
      <c r="J24" s="481"/>
      <c r="K24" s="35"/>
      <c r="L24" s="123"/>
      <c r="M24" s="78"/>
      <c r="N24" s="24" t="s">
        <v>382</v>
      </c>
      <c r="O24" s="24" t="s">
        <v>285</v>
      </c>
      <c r="R24" s="24">
        <v>1</v>
      </c>
      <c r="S24" s="24" t="s">
        <v>535</v>
      </c>
      <c r="T24" s="24" t="s">
        <v>534</v>
      </c>
    </row>
    <row r="25" spans="2:22" ht="20.149999999999999" customHeight="1" x14ac:dyDescent="0.45">
      <c r="B25" s="34"/>
      <c r="C25" s="22"/>
      <c r="D25" s="508"/>
      <c r="E25" s="508"/>
      <c r="F25" s="508"/>
      <c r="G25" s="22"/>
      <c r="H25" s="68"/>
      <c r="I25" s="481"/>
      <c r="J25" s="481"/>
      <c r="K25" s="35"/>
      <c r="L25" s="123"/>
      <c r="M25" s="78"/>
      <c r="N25" s="24" t="s">
        <v>386</v>
      </c>
      <c r="O25" s="24" t="s">
        <v>605</v>
      </c>
      <c r="R25" s="24">
        <v>1</v>
      </c>
    </row>
    <row r="26" spans="2:22" ht="20.149999999999999" customHeight="1" x14ac:dyDescent="0.45">
      <c r="B26" s="34"/>
      <c r="C26" s="22"/>
      <c r="D26" s="508"/>
      <c r="E26" s="508"/>
      <c r="F26" s="508"/>
      <c r="G26" s="22"/>
      <c r="H26" s="68"/>
      <c r="I26" s="481"/>
      <c r="J26" s="481"/>
      <c r="K26" s="35"/>
      <c r="L26" s="123"/>
    </row>
    <row r="27" spans="2:22" ht="20.149999999999999" customHeight="1" thickBot="1" x14ac:dyDescent="0.5">
      <c r="B27" s="37"/>
      <c r="C27" s="38"/>
      <c r="D27" s="509"/>
      <c r="E27" s="509"/>
      <c r="F27" s="509"/>
      <c r="G27" s="38"/>
      <c r="H27" s="69"/>
      <c r="I27" s="557"/>
      <c r="J27" s="557"/>
      <c r="K27" s="39"/>
      <c r="L27" s="89"/>
    </row>
    <row r="28" spans="2:22" ht="20.149999999999999" customHeight="1" thickBot="1" x14ac:dyDescent="0.5">
      <c r="B28" s="41"/>
      <c r="L28" s="42"/>
    </row>
    <row r="29" spans="2:22" ht="20.149999999999999" customHeight="1" x14ac:dyDescent="0.45">
      <c r="B29" s="11" t="s">
        <v>18</v>
      </c>
      <c r="C29" s="7"/>
      <c r="D29" s="7"/>
      <c r="E29" s="7"/>
      <c r="F29" s="7"/>
      <c r="G29" s="7"/>
      <c r="H29" s="7"/>
      <c r="I29" s="86"/>
      <c r="J29" s="510" t="s">
        <v>15</v>
      </c>
      <c r="K29" s="511"/>
      <c r="L29" s="43">
        <f>SUM(L17:L26)</f>
        <v>234</v>
      </c>
      <c r="M29" s="76">
        <f>166+26</f>
        <v>192</v>
      </c>
    </row>
    <row r="30" spans="2:22" ht="20.149999999999999" customHeight="1" x14ac:dyDescent="0.45">
      <c r="B30" s="11" t="s">
        <v>19</v>
      </c>
      <c r="C30" s="7"/>
      <c r="D30" s="7"/>
      <c r="E30" s="7"/>
      <c r="F30" s="7"/>
      <c r="G30" s="7"/>
      <c r="H30" s="7"/>
      <c r="I30" s="86"/>
      <c r="J30" s="44" t="s">
        <v>22</v>
      </c>
      <c r="K30" s="45"/>
      <c r="L30" s="46">
        <f>L29*K30</f>
        <v>0</v>
      </c>
    </row>
    <row r="31" spans="2:22" ht="20.149999999999999" customHeight="1" x14ac:dyDescent="0.45">
      <c r="B31" s="11" t="s">
        <v>20</v>
      </c>
      <c r="C31" s="7"/>
      <c r="D31" s="7"/>
      <c r="E31" s="7"/>
      <c r="F31" s="7"/>
      <c r="G31" s="7"/>
      <c r="H31" s="7"/>
      <c r="I31" s="86"/>
      <c r="J31" s="486" t="s">
        <v>21</v>
      </c>
      <c r="K31" s="487"/>
      <c r="L31" s="46">
        <f>L29-L30</f>
        <v>234</v>
      </c>
    </row>
    <row r="32" spans="2:22" ht="20.149999999999999" customHeight="1" x14ac:dyDescent="0.45">
      <c r="B32" s="11" t="s">
        <v>24</v>
      </c>
      <c r="C32" s="7"/>
      <c r="D32" s="7"/>
      <c r="E32" s="7"/>
      <c r="F32" s="7"/>
      <c r="G32" s="7"/>
      <c r="H32" s="7"/>
      <c r="I32" s="86"/>
      <c r="J32" s="150" t="s">
        <v>17</v>
      </c>
      <c r="K32" s="151">
        <v>7.0000000000000007E-2</v>
      </c>
      <c r="L32" s="47">
        <f>L31*K32</f>
        <v>16.380000000000003</v>
      </c>
    </row>
    <row r="33" spans="2:12" ht="20.149999999999999" customHeight="1" thickBot="1" x14ac:dyDescent="0.5">
      <c r="B33" s="11" t="s">
        <v>25</v>
      </c>
      <c r="C33" s="7"/>
      <c r="D33" s="7"/>
      <c r="E33" s="7"/>
      <c r="F33" s="7"/>
      <c r="G33" s="7"/>
      <c r="H33" s="7"/>
      <c r="I33" s="86"/>
      <c r="J33" s="488" t="s">
        <v>23</v>
      </c>
      <c r="K33" s="489"/>
      <c r="L33" s="48">
        <f>L31+L32</f>
        <v>250.38</v>
      </c>
    </row>
    <row r="34" spans="2:12" ht="20.149999999999999" customHeight="1" x14ac:dyDescent="0.45">
      <c r="B34" s="11" t="s">
        <v>26</v>
      </c>
      <c r="C34" s="7"/>
      <c r="D34" s="7"/>
      <c r="E34" s="7"/>
      <c r="F34" s="7"/>
      <c r="G34" s="7"/>
      <c r="H34" s="7"/>
      <c r="I34" s="86"/>
      <c r="L34" s="42"/>
    </row>
    <row r="35" spans="2:12" ht="20.149999999999999" customHeight="1" x14ac:dyDescent="0.45">
      <c r="B35" s="224" t="s">
        <v>1379</v>
      </c>
      <c r="L35" s="42"/>
    </row>
    <row r="36" spans="2:12" ht="20.149999999999999" customHeight="1" x14ac:dyDescent="0.45">
      <c r="B36" s="41"/>
      <c r="L36" s="42"/>
    </row>
    <row r="37" spans="2:12" ht="20.149999999999999" customHeight="1" x14ac:dyDescent="0.45">
      <c r="B37" s="41"/>
      <c r="L37" s="42"/>
    </row>
    <row r="38" spans="2:12" ht="20.149999999999999" customHeight="1" x14ac:dyDescent="0.45">
      <c r="B38" s="41"/>
      <c r="L38" s="42"/>
    </row>
    <row r="39" spans="2:12" ht="20.149999999999999" customHeight="1" x14ac:dyDescent="0.45">
      <c r="B39" s="49"/>
      <c r="C39" s="50"/>
      <c r="D39" s="50"/>
      <c r="J39" s="87"/>
      <c r="K39" s="50"/>
      <c r="L39" s="51"/>
    </row>
    <row r="40" spans="2:12" ht="20.149999999999999" customHeight="1" x14ac:dyDescent="0.45">
      <c r="B40" s="41" t="s">
        <v>27</v>
      </c>
      <c r="J40" s="81" t="s">
        <v>28</v>
      </c>
      <c r="L40" s="42"/>
    </row>
    <row r="41" spans="2:12" ht="19" thickBot="1" x14ac:dyDescent="0.5">
      <c r="B41" s="52"/>
      <c r="C41" s="53"/>
      <c r="D41" s="53"/>
      <c r="E41" s="53"/>
      <c r="F41" s="53"/>
      <c r="G41" s="53"/>
      <c r="H41" s="53"/>
      <c r="I41" s="88"/>
      <c r="J41" s="88"/>
      <c r="K41" s="53"/>
      <c r="L41" s="54"/>
    </row>
  </sheetData>
  <mergeCells count="37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D17:F17"/>
    <mergeCell ref="I17:J17"/>
    <mergeCell ref="D18:F18"/>
    <mergeCell ref="I18:J18"/>
    <mergeCell ref="D19:F19"/>
    <mergeCell ref="I19:J19"/>
    <mergeCell ref="D20:F20"/>
    <mergeCell ref="I20:J20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J33:K33"/>
    <mergeCell ref="D26:F26"/>
    <mergeCell ref="I26:J26"/>
    <mergeCell ref="D27:F27"/>
    <mergeCell ref="I27:J27"/>
    <mergeCell ref="J29:K29"/>
    <mergeCell ref="J31:K31"/>
  </mergeCells>
  <pageMargins left="0.70866141732283472" right="0.31496062992125984" top="0.59055118110236227" bottom="0" header="0.31496062992125984" footer="0.31496062992125984"/>
  <pageSetup paperSize="9" scale="74" orientation="portrait" verticalDpi="300" r:id="rId1"/>
  <drawing r:id="rId2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C9EB45-5E36-49DD-AB97-B4FB9ECA03D9}">
  <sheetPr codeName="Sheet187">
    <tabColor rgb="FF7030A0"/>
    <pageSetUpPr fitToPage="1"/>
  </sheetPr>
  <dimension ref="B1:O50"/>
  <sheetViews>
    <sheetView workbookViewId="0">
      <selection activeCell="L18" sqref="L18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7.453125" style="24" customWidth="1"/>
    <col min="7" max="7" width="8.54296875" style="24" customWidth="1"/>
    <col min="8" max="8" width="15.54296875" style="24" customWidth="1"/>
    <col min="9" max="9" width="2.54296875" style="24" customWidth="1"/>
    <col min="10" max="10" width="15.54296875" style="24" customWidth="1"/>
    <col min="11" max="11" width="10.54296875" style="24" customWidth="1"/>
    <col min="12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1389</v>
      </c>
      <c r="J10" s="29" t="s">
        <v>29</v>
      </c>
      <c r="K10" s="452">
        <v>20201211013</v>
      </c>
      <c r="L10" s="453"/>
    </row>
    <row r="11" spans="2:12" ht="20.149999999999999" customHeight="1" x14ac:dyDescent="0.45">
      <c r="B11" s="454"/>
      <c r="C11" s="455"/>
      <c r="D11" s="456"/>
      <c r="E11" s="30"/>
      <c r="F11" s="457" t="str">
        <f>VLOOKUP(H10,'Delivery Location'!A$4:N$416,2,0)</f>
        <v>Chun Hong Enterprise Pte Ltd                                No 15, Senoko Drive #04-09 Singapore 758202</v>
      </c>
      <c r="G11" s="458"/>
      <c r="H11" s="459"/>
      <c r="J11" s="31" t="s">
        <v>11</v>
      </c>
      <c r="K11" s="551">
        <v>43842</v>
      </c>
      <c r="L11" s="472"/>
    </row>
    <row r="12" spans="2:12" ht="20.149999999999999" customHeight="1" x14ac:dyDescent="0.45">
      <c r="B12" s="468"/>
      <c r="C12" s="469"/>
      <c r="D12" s="470"/>
      <c r="E12" s="30"/>
      <c r="F12" s="460"/>
      <c r="G12" s="461"/>
      <c r="H12" s="462"/>
      <c r="J12" s="31" t="s">
        <v>171</v>
      </c>
      <c r="K12" s="471" t="s">
        <v>533</v>
      </c>
      <c r="L12" s="472"/>
    </row>
    <row r="13" spans="2:12" ht="20.149999999999999" customHeight="1" x14ac:dyDescent="0.45">
      <c r="B13" s="468"/>
      <c r="C13" s="469"/>
      <c r="D13" s="470"/>
      <c r="E13" s="30"/>
      <c r="F13" s="460"/>
      <c r="G13" s="461"/>
      <c r="H13" s="462"/>
      <c r="J13" s="31" t="s">
        <v>12</v>
      </c>
      <c r="K13" s="471" t="s">
        <v>688</v>
      </c>
      <c r="L13" s="472"/>
    </row>
    <row r="14" spans="2:12" ht="20.149999999999999" customHeight="1" x14ac:dyDescent="0.45">
      <c r="B14" s="468"/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552"/>
      <c r="C15" s="474"/>
      <c r="D15" s="475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15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3"/>
      <c r="O17" s="33"/>
    </row>
    <row r="18" spans="2:15" ht="20.149999999999999" customHeight="1" x14ac:dyDescent="0.45">
      <c r="B18" s="70"/>
      <c r="C18" s="22" t="s">
        <v>474</v>
      </c>
      <c r="D18" s="508" t="e">
        <f>VLOOKUP(C18,'Sales Master'!B$3:D$499,2,)</f>
        <v>#N/A</v>
      </c>
      <c r="E18" s="508"/>
      <c r="F18" s="508"/>
      <c r="G18" s="90">
        <v>4</v>
      </c>
      <c r="H18" s="68" t="e">
        <f>VLOOKUP(C18,'Sales Master'!$B$3:$F$3179,5,0)</f>
        <v>#N/A</v>
      </c>
      <c r="I18" s="481" t="e">
        <f>VLOOKUP(C18,'Sales Master'!$B$3:$E$3179,4,0)</f>
        <v>#N/A</v>
      </c>
      <c r="J18" s="481"/>
      <c r="K18" s="98" t="e">
        <f>VLOOKUP(C18,'Sales Master'!B3:$AG$3199,32,0)</f>
        <v>#N/A</v>
      </c>
      <c r="L18" s="99" t="e">
        <f>K18*G18</f>
        <v>#N/A</v>
      </c>
      <c r="M18" s="78"/>
    </row>
    <row r="19" spans="2:15" ht="20.149999999999999" customHeight="1" x14ac:dyDescent="0.45">
      <c r="B19" s="70"/>
      <c r="C19" s="22"/>
      <c r="D19" s="508"/>
      <c r="E19" s="508"/>
      <c r="F19" s="508"/>
      <c r="G19" s="90"/>
      <c r="H19" s="68"/>
      <c r="I19" s="481"/>
      <c r="J19" s="481"/>
      <c r="K19" s="98"/>
      <c r="L19" s="99"/>
      <c r="M19" s="78"/>
    </row>
    <row r="20" spans="2:15" ht="20.149999999999999" customHeight="1" x14ac:dyDescent="0.45">
      <c r="B20" s="70"/>
      <c r="C20" s="22"/>
      <c r="D20" s="508"/>
      <c r="E20" s="508"/>
      <c r="F20" s="508"/>
      <c r="G20" s="90"/>
      <c r="H20" s="97"/>
      <c r="I20" s="506"/>
      <c r="J20" s="506"/>
      <c r="K20" s="98"/>
      <c r="L20" s="99"/>
      <c r="M20" s="78"/>
    </row>
    <row r="21" spans="2:15" ht="20.149999999999999" customHeight="1" x14ac:dyDescent="0.45">
      <c r="B21" s="70"/>
      <c r="C21" s="22"/>
      <c r="D21" s="508"/>
      <c r="E21" s="508"/>
      <c r="F21" s="508"/>
      <c r="G21" s="90"/>
      <c r="H21" s="97"/>
      <c r="I21" s="506"/>
      <c r="J21" s="506"/>
      <c r="K21" s="98"/>
      <c r="L21" s="99"/>
      <c r="M21" s="78"/>
    </row>
    <row r="22" spans="2:15" ht="20.149999999999999" customHeight="1" x14ac:dyDescent="0.45">
      <c r="B22" s="70"/>
      <c r="C22" s="22"/>
      <c r="D22" s="508"/>
      <c r="E22" s="508"/>
      <c r="F22" s="508"/>
      <c r="G22" s="90"/>
      <c r="H22" s="97"/>
      <c r="I22" s="506"/>
      <c r="J22" s="506"/>
      <c r="K22" s="98"/>
      <c r="L22" s="99"/>
      <c r="M22" s="78"/>
    </row>
    <row r="23" spans="2:15" ht="20.149999999999999" customHeight="1" x14ac:dyDescent="0.45">
      <c r="B23" s="70"/>
      <c r="C23" s="22"/>
      <c r="D23" s="508"/>
      <c r="E23" s="508"/>
      <c r="F23" s="508"/>
      <c r="G23" s="90"/>
      <c r="H23" s="97"/>
      <c r="I23" s="506"/>
      <c r="J23" s="506"/>
      <c r="K23" s="98"/>
      <c r="L23" s="99"/>
      <c r="M23" s="78"/>
    </row>
    <row r="24" spans="2:15" ht="20.149999999999999" customHeight="1" x14ac:dyDescent="0.45">
      <c r="B24" s="70"/>
      <c r="C24" s="22"/>
      <c r="D24" s="508"/>
      <c r="E24" s="508"/>
      <c r="F24" s="508"/>
      <c r="G24" s="90"/>
      <c r="H24" s="97"/>
      <c r="I24" s="506"/>
      <c r="J24" s="506"/>
      <c r="K24" s="98"/>
      <c r="L24" s="99"/>
      <c r="M24" s="78"/>
    </row>
    <row r="25" spans="2:15" ht="20.149999999999999" customHeight="1" x14ac:dyDescent="0.5">
      <c r="B25" s="70"/>
      <c r="C25" s="22"/>
      <c r="D25" s="508"/>
      <c r="E25" s="508"/>
      <c r="F25" s="508"/>
      <c r="G25" s="100"/>
      <c r="H25" s="97"/>
      <c r="I25" s="506"/>
      <c r="J25" s="506"/>
      <c r="K25" s="98"/>
      <c r="L25" s="99"/>
      <c r="M25" s="78"/>
    </row>
    <row r="26" spans="2:15" ht="20.149999999999999" customHeight="1" x14ac:dyDescent="0.45">
      <c r="B26" s="70"/>
      <c r="C26" s="22"/>
      <c r="D26" s="508"/>
      <c r="E26" s="508"/>
      <c r="F26" s="508"/>
      <c r="G26" s="90"/>
      <c r="H26" s="97"/>
      <c r="I26" s="506"/>
      <c r="J26" s="506"/>
      <c r="K26" s="98"/>
      <c r="L26" s="99"/>
      <c r="M26" s="78"/>
    </row>
    <row r="27" spans="2:15" ht="20.149999999999999" customHeight="1" x14ac:dyDescent="0.45">
      <c r="B27" s="70"/>
      <c r="C27" s="22"/>
      <c r="D27" s="508"/>
      <c r="E27" s="508"/>
      <c r="F27" s="508"/>
      <c r="G27" s="90"/>
      <c r="H27" s="97"/>
      <c r="I27" s="506"/>
      <c r="J27" s="506"/>
      <c r="K27" s="98"/>
      <c r="L27" s="99"/>
      <c r="M27" s="78"/>
    </row>
    <row r="28" spans="2:15" ht="20.149999999999999" customHeight="1" x14ac:dyDescent="0.45">
      <c r="B28" s="70"/>
      <c r="C28" s="22"/>
      <c r="D28" s="508"/>
      <c r="E28" s="508"/>
      <c r="F28" s="508"/>
      <c r="G28" s="90"/>
      <c r="H28" s="97"/>
      <c r="I28" s="506"/>
      <c r="J28" s="506"/>
      <c r="K28" s="98"/>
      <c r="L28" s="99"/>
      <c r="M28" s="78"/>
    </row>
    <row r="29" spans="2:15" ht="20.149999999999999" customHeight="1" x14ac:dyDescent="0.45">
      <c r="B29" s="70"/>
      <c r="C29" s="22"/>
      <c r="D29" s="508"/>
      <c r="E29" s="508"/>
      <c r="F29" s="508"/>
      <c r="G29" s="90"/>
      <c r="H29" s="97"/>
      <c r="I29" s="506"/>
      <c r="J29" s="506"/>
      <c r="K29" s="98"/>
      <c r="L29" s="99"/>
    </row>
    <row r="30" spans="2:15" ht="20.149999999999999" customHeight="1" x14ac:dyDescent="0.45">
      <c r="B30" s="70"/>
      <c r="C30" s="22"/>
      <c r="D30" s="508"/>
      <c r="E30" s="508"/>
      <c r="F30" s="508"/>
      <c r="G30" s="90"/>
      <c r="H30" s="97"/>
      <c r="I30" s="506"/>
      <c r="J30" s="506"/>
      <c r="K30" s="98"/>
      <c r="L30" s="99"/>
      <c r="M30" s="78"/>
    </row>
    <row r="31" spans="2:15" ht="20.149999999999999" customHeight="1" x14ac:dyDescent="0.45">
      <c r="B31" s="70"/>
      <c r="C31" s="22"/>
      <c r="D31" s="508"/>
      <c r="E31" s="508"/>
      <c r="F31" s="508"/>
      <c r="G31" s="90"/>
      <c r="H31" s="97"/>
      <c r="I31" s="506"/>
      <c r="J31" s="506"/>
      <c r="K31" s="98"/>
      <c r="L31" s="99"/>
      <c r="M31" s="78"/>
    </row>
    <row r="32" spans="2:15" ht="20.149999999999999" customHeight="1" x14ac:dyDescent="0.45">
      <c r="B32" s="70"/>
      <c r="C32" s="22"/>
      <c r="D32" s="508"/>
      <c r="E32" s="508"/>
      <c r="F32" s="508"/>
      <c r="G32" s="90"/>
      <c r="H32" s="97"/>
      <c r="I32" s="506"/>
      <c r="J32" s="506"/>
      <c r="K32" s="98"/>
      <c r="L32" s="99"/>
      <c r="M32" s="78"/>
    </row>
    <row r="33" spans="2:13" ht="20.149999999999999" customHeight="1" x14ac:dyDescent="0.45">
      <c r="B33" s="70"/>
      <c r="C33" s="22"/>
      <c r="D33" s="508"/>
      <c r="E33" s="508"/>
      <c r="F33" s="508"/>
      <c r="G33" s="90"/>
      <c r="H33" s="97"/>
      <c r="I33" s="506"/>
      <c r="J33" s="506"/>
      <c r="K33" s="98"/>
      <c r="L33" s="99"/>
      <c r="M33" s="78"/>
    </row>
    <row r="34" spans="2:13" ht="20.149999999999999" customHeight="1" x14ac:dyDescent="0.45">
      <c r="B34" s="70"/>
      <c r="C34" s="22"/>
      <c r="D34" s="508"/>
      <c r="E34" s="508"/>
      <c r="F34" s="508"/>
      <c r="G34" s="90"/>
      <c r="H34" s="97"/>
      <c r="I34" s="506"/>
      <c r="J34" s="506"/>
      <c r="K34" s="98"/>
      <c r="L34" s="99"/>
      <c r="M34" s="78"/>
    </row>
    <row r="35" spans="2:13" ht="20.149999999999999" customHeight="1" x14ac:dyDescent="0.45">
      <c r="B35" s="70"/>
      <c r="C35" s="22"/>
      <c r="D35" s="508"/>
      <c r="E35" s="508"/>
      <c r="F35" s="508"/>
      <c r="G35" s="90"/>
      <c r="H35" s="97"/>
      <c r="I35" s="506"/>
      <c r="J35" s="506"/>
      <c r="K35" s="98"/>
      <c r="L35" s="99"/>
      <c r="M35" s="78"/>
    </row>
    <row r="36" spans="2:13" ht="20.149999999999999" customHeight="1" x14ac:dyDescent="0.45">
      <c r="B36" s="70"/>
      <c r="C36" s="22"/>
      <c r="D36" s="508"/>
      <c r="E36" s="508"/>
      <c r="F36" s="508"/>
      <c r="G36" s="90"/>
      <c r="H36" s="97"/>
      <c r="I36" s="578"/>
      <c r="J36" s="578"/>
      <c r="K36" s="98"/>
      <c r="L36" s="99"/>
    </row>
    <row r="37" spans="2:13" ht="20.149999999999999" customHeight="1" thickBot="1" x14ac:dyDescent="0.5">
      <c r="B37" s="52"/>
      <c r="C37" s="53"/>
      <c r="D37" s="53"/>
      <c r="E37" s="53"/>
      <c r="F37" s="53"/>
      <c r="G37" s="53"/>
      <c r="H37" s="53"/>
      <c r="I37" s="53"/>
      <c r="J37" s="53"/>
      <c r="K37" s="53"/>
      <c r="L37" s="54"/>
    </row>
    <row r="38" spans="2:13" ht="20.149999999999999" customHeight="1" x14ac:dyDescent="0.45">
      <c r="B38" s="11" t="s">
        <v>18</v>
      </c>
      <c r="C38" s="7"/>
      <c r="D38" s="7"/>
      <c r="E38" s="7"/>
      <c r="F38" s="7"/>
      <c r="G38" s="7"/>
      <c r="H38" s="7"/>
      <c r="I38" s="7"/>
      <c r="J38" s="510" t="s">
        <v>15</v>
      </c>
      <c r="K38" s="511"/>
      <c r="L38" s="43" t="e">
        <f>SUM(L17:L36)</f>
        <v>#N/A</v>
      </c>
      <c r="M38" s="76" t="e">
        <f>L38-316.5</f>
        <v>#N/A</v>
      </c>
    </row>
    <row r="39" spans="2:13" ht="20.149999999999999" customHeight="1" x14ac:dyDescent="0.45">
      <c r="B39" s="11" t="s">
        <v>19</v>
      </c>
      <c r="C39" s="7"/>
      <c r="D39" s="7"/>
      <c r="E39" s="7"/>
      <c r="F39" s="7"/>
      <c r="G39" s="7"/>
      <c r="H39" s="7"/>
      <c r="I39" s="7"/>
      <c r="J39" s="44" t="s">
        <v>22</v>
      </c>
      <c r="K39" s="45"/>
      <c r="L39" s="46" t="e">
        <f>L38*K39</f>
        <v>#N/A</v>
      </c>
    </row>
    <row r="40" spans="2:13" ht="20.149999999999999" customHeight="1" x14ac:dyDescent="0.45">
      <c r="B40" s="11" t="s">
        <v>20</v>
      </c>
      <c r="C40" s="7"/>
      <c r="D40" s="7"/>
      <c r="E40" s="7"/>
      <c r="F40" s="7"/>
      <c r="G40" s="7"/>
      <c r="H40" s="7"/>
      <c r="I40" s="7"/>
      <c r="J40" s="486" t="s">
        <v>21</v>
      </c>
      <c r="K40" s="487"/>
      <c r="L40" s="46" t="e">
        <f>L38-L39</f>
        <v>#N/A</v>
      </c>
    </row>
    <row r="41" spans="2:13" ht="20.149999999999999" customHeight="1" x14ac:dyDescent="0.45">
      <c r="B41" s="11" t="s">
        <v>24</v>
      </c>
      <c r="C41" s="7"/>
      <c r="D41" s="7"/>
      <c r="E41" s="7"/>
      <c r="F41" s="7"/>
      <c r="G41" s="7"/>
      <c r="H41" s="7"/>
      <c r="I41" s="7"/>
      <c r="J41" s="150" t="s">
        <v>17</v>
      </c>
      <c r="K41" s="151">
        <v>7.0000000000000007E-2</v>
      </c>
      <c r="L41" s="47" t="e">
        <f>L40*K41</f>
        <v>#N/A</v>
      </c>
    </row>
    <row r="42" spans="2:13" ht="20.149999999999999" customHeight="1" thickBot="1" x14ac:dyDescent="0.5">
      <c r="B42" s="11" t="s">
        <v>25</v>
      </c>
      <c r="C42" s="7"/>
      <c r="D42" s="7"/>
      <c r="E42" s="7"/>
      <c r="F42" s="7"/>
      <c r="G42" s="7"/>
      <c r="H42" s="7"/>
      <c r="I42" s="7"/>
      <c r="J42" s="488" t="s">
        <v>23</v>
      </c>
      <c r="K42" s="489"/>
      <c r="L42" s="48" t="e">
        <f>L40+L41</f>
        <v>#N/A</v>
      </c>
    </row>
    <row r="43" spans="2:13" ht="20.149999999999999" customHeight="1" x14ac:dyDescent="0.45">
      <c r="B43" s="11" t="s">
        <v>26</v>
      </c>
      <c r="C43" s="7"/>
      <c r="D43" s="7"/>
      <c r="E43" s="7"/>
      <c r="F43" s="7"/>
      <c r="G43" s="7"/>
      <c r="H43" s="7"/>
      <c r="I43" s="7"/>
      <c r="L43" s="42"/>
    </row>
    <row r="44" spans="2:13" ht="20.149999999999999" customHeight="1" x14ac:dyDescent="0.45">
      <c r="B44" s="224" t="s">
        <v>1379</v>
      </c>
      <c r="L44" s="42"/>
    </row>
    <row r="45" spans="2:13" ht="20.149999999999999" customHeight="1" x14ac:dyDescent="0.45">
      <c r="B45" s="41"/>
      <c r="L45" s="42"/>
    </row>
    <row r="46" spans="2:13" ht="20.149999999999999" customHeight="1" x14ac:dyDescent="0.45">
      <c r="B46" s="41"/>
      <c r="L46" s="42"/>
    </row>
    <row r="47" spans="2:13" ht="20.149999999999999" customHeight="1" x14ac:dyDescent="0.45">
      <c r="B47" s="41"/>
      <c r="L47" s="42"/>
    </row>
    <row r="48" spans="2:13" ht="20.149999999999999" customHeight="1" x14ac:dyDescent="0.45">
      <c r="B48" s="49"/>
      <c r="C48" s="50"/>
      <c r="D48" s="50"/>
      <c r="J48" s="50"/>
      <c r="K48" s="50"/>
      <c r="L48" s="51"/>
    </row>
    <row r="49" spans="2:12" ht="20.149999999999999" customHeight="1" x14ac:dyDescent="0.45">
      <c r="B49" s="41" t="s">
        <v>27</v>
      </c>
      <c r="J49" s="24" t="s">
        <v>28</v>
      </c>
      <c r="L49" s="42"/>
    </row>
    <row r="50" spans="2:12" ht="19" thickBot="1" x14ac:dyDescent="0.5">
      <c r="B50" s="52"/>
      <c r="C50" s="53"/>
      <c r="D50" s="53"/>
      <c r="E50" s="53"/>
      <c r="F50" s="53"/>
      <c r="G50" s="53"/>
      <c r="H50" s="53"/>
      <c r="I50" s="53"/>
      <c r="J50" s="53"/>
      <c r="K50" s="53"/>
      <c r="L50" s="54"/>
    </row>
  </sheetData>
  <mergeCells count="56">
    <mergeCell ref="D33:F33"/>
    <mergeCell ref="I33:J33"/>
    <mergeCell ref="J38:K38"/>
    <mergeCell ref="J40:K40"/>
    <mergeCell ref="J42:K42"/>
    <mergeCell ref="D34:F34"/>
    <mergeCell ref="I34:J34"/>
    <mergeCell ref="D35:F35"/>
    <mergeCell ref="I35:J35"/>
    <mergeCell ref="D36:F36"/>
    <mergeCell ref="I36:J36"/>
    <mergeCell ref="D30:F30"/>
    <mergeCell ref="I30:J30"/>
    <mergeCell ref="D31:F31"/>
    <mergeCell ref="I31:J31"/>
    <mergeCell ref="D32:F32"/>
    <mergeCell ref="I32:J32"/>
    <mergeCell ref="D27:F27"/>
    <mergeCell ref="I27:J27"/>
    <mergeCell ref="D28:F28"/>
    <mergeCell ref="I28:J28"/>
    <mergeCell ref="D29:F29"/>
    <mergeCell ref="I29:J29"/>
    <mergeCell ref="D24:F24"/>
    <mergeCell ref="I24:J24"/>
    <mergeCell ref="D25:F25"/>
    <mergeCell ref="I25:J25"/>
    <mergeCell ref="D26:F26"/>
    <mergeCell ref="I26:J26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5" orientation="portrait" verticalDpi="300" r:id="rId1"/>
  <drawing r:id="rId2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2160BF-54F1-4EB3-BBDD-E1D047F14948}">
  <sheetPr codeName="Sheet188">
    <tabColor rgb="FFFFFF00"/>
    <pageSetUpPr fitToPage="1"/>
  </sheetPr>
  <dimension ref="B5:T47"/>
  <sheetViews>
    <sheetView topLeftCell="B1" workbookViewId="0">
      <selection activeCell="J37" sqref="J37:K37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6.54296875" style="24" customWidth="1"/>
    <col min="7" max="7" width="8.54296875" style="24" customWidth="1"/>
    <col min="8" max="8" width="15.54296875" style="24" customWidth="1"/>
    <col min="9" max="9" width="2.54296875" style="24" customWidth="1"/>
    <col min="10" max="10" width="15.54296875" style="24" customWidth="1"/>
    <col min="11" max="11" width="10.54296875" style="24" customWidth="1"/>
    <col min="12" max="12" width="12.54296875" style="24" customWidth="1"/>
    <col min="13" max="16384" width="12.54296875" style="24"/>
  </cols>
  <sheetData>
    <row r="5" spans="2:20" ht="19" thickBot="1" x14ac:dyDescent="0.5">
      <c r="B5" s="23"/>
    </row>
    <row r="6" spans="2:20" ht="18" customHeight="1" thickTop="1" thickBot="1" x14ac:dyDescent="0.5">
      <c r="B6" s="25" t="s">
        <v>9</v>
      </c>
      <c r="C6" s="25"/>
      <c r="D6" s="26"/>
      <c r="E6" s="26"/>
      <c r="F6" s="27" t="s">
        <v>10</v>
      </c>
      <c r="G6" s="28"/>
      <c r="H6" s="28" t="s">
        <v>160</v>
      </c>
      <c r="J6" s="29" t="s">
        <v>29</v>
      </c>
      <c r="K6" s="452">
        <v>201910001</v>
      </c>
      <c r="L6" s="453"/>
    </row>
    <row r="7" spans="2:20" ht="20.149999999999999" customHeight="1" x14ac:dyDescent="0.45">
      <c r="B7" s="454" t="s">
        <v>966</v>
      </c>
      <c r="C7" s="455"/>
      <c r="D7" s="456"/>
      <c r="E7" s="30"/>
      <c r="F7" s="457" t="s">
        <v>967</v>
      </c>
      <c r="G7" s="458"/>
      <c r="H7" s="459"/>
      <c r="J7" s="31" t="s">
        <v>11</v>
      </c>
      <c r="K7" s="471" t="s">
        <v>965</v>
      </c>
      <c r="L7" s="472"/>
    </row>
    <row r="8" spans="2:20" ht="20.149999999999999" customHeight="1" x14ac:dyDescent="0.45">
      <c r="B8" s="468"/>
      <c r="C8" s="469"/>
      <c r="D8" s="470"/>
      <c r="E8" s="30"/>
      <c r="F8" s="460"/>
      <c r="G8" s="461"/>
      <c r="H8" s="462"/>
      <c r="J8" s="31" t="s">
        <v>171</v>
      </c>
      <c r="K8" s="471" t="s">
        <v>36</v>
      </c>
      <c r="L8" s="472"/>
    </row>
    <row r="9" spans="2:20" ht="20.149999999999999" customHeight="1" x14ac:dyDescent="0.45">
      <c r="B9" s="468"/>
      <c r="C9" s="469"/>
      <c r="D9" s="470"/>
      <c r="E9" s="30"/>
      <c r="F9" s="460"/>
      <c r="G9" s="461"/>
      <c r="H9" s="462"/>
      <c r="J9" s="31" t="s">
        <v>12</v>
      </c>
      <c r="K9" s="471" t="s">
        <v>14</v>
      </c>
      <c r="L9" s="472"/>
    </row>
    <row r="10" spans="2:20" ht="20.149999999999999" customHeight="1" x14ac:dyDescent="0.45">
      <c r="B10" s="468"/>
      <c r="C10" s="469"/>
      <c r="D10" s="470"/>
      <c r="E10" s="30"/>
      <c r="F10" s="460"/>
      <c r="G10" s="461"/>
      <c r="H10" s="462"/>
      <c r="J10" s="31" t="s">
        <v>30</v>
      </c>
      <c r="K10" s="471" t="s">
        <v>964</v>
      </c>
      <c r="L10" s="472"/>
    </row>
    <row r="11" spans="2:20" ht="18" customHeight="1" thickBot="1" x14ac:dyDescent="0.5">
      <c r="B11" s="552"/>
      <c r="C11" s="474"/>
      <c r="D11" s="475"/>
      <c r="E11" s="26"/>
      <c r="F11" s="463"/>
      <c r="G11" s="464"/>
      <c r="H11" s="465"/>
      <c r="J11" s="32" t="s">
        <v>13</v>
      </c>
      <c r="K11" s="476" t="s">
        <v>36</v>
      </c>
      <c r="L11" s="477"/>
    </row>
    <row r="12" spans="2:20" ht="19" thickBot="1" x14ac:dyDescent="0.5">
      <c r="J12" s="22"/>
      <c r="L12" s="24" t="s">
        <v>720</v>
      </c>
    </row>
    <row r="13" spans="2:20" ht="30" customHeight="1" thickBot="1" x14ac:dyDescent="0.5">
      <c r="B13" s="8" t="s">
        <v>2</v>
      </c>
      <c r="C13" s="9" t="s">
        <v>3</v>
      </c>
      <c r="D13" s="478" t="s">
        <v>4</v>
      </c>
      <c r="E13" s="483"/>
      <c r="F13" s="479"/>
      <c r="G13" s="19" t="s">
        <v>620</v>
      </c>
      <c r="H13" s="9" t="s">
        <v>31</v>
      </c>
      <c r="I13" s="478" t="s">
        <v>60</v>
      </c>
      <c r="J13" s="479"/>
      <c r="K13" s="9" t="s">
        <v>6</v>
      </c>
      <c r="L13" s="10" t="s">
        <v>7</v>
      </c>
      <c r="M13" s="33"/>
      <c r="N13" s="33" t="s">
        <v>840</v>
      </c>
      <c r="O13" s="33"/>
    </row>
    <row r="14" spans="2:20" ht="20.149999999999999" customHeight="1" x14ac:dyDescent="0.45">
      <c r="B14" s="34"/>
      <c r="C14" s="22" t="s">
        <v>110</v>
      </c>
      <c r="D14" s="508" t="s">
        <v>960</v>
      </c>
      <c r="E14" s="508"/>
      <c r="F14" s="508"/>
      <c r="G14" s="22">
        <v>200</v>
      </c>
      <c r="H14" s="22" t="s">
        <v>958</v>
      </c>
      <c r="I14" s="626" t="s">
        <v>959</v>
      </c>
      <c r="J14" s="626"/>
      <c r="K14" s="35">
        <v>3.5</v>
      </c>
      <c r="L14" s="36">
        <f>G14*K14</f>
        <v>700</v>
      </c>
      <c r="M14" s="78"/>
      <c r="N14" s="125" t="s">
        <v>424</v>
      </c>
      <c r="O14" s="24" t="s">
        <v>319</v>
      </c>
      <c r="R14" s="24">
        <v>3</v>
      </c>
      <c r="S14" s="24" t="s">
        <v>36</v>
      </c>
      <c r="T14" s="24" t="s">
        <v>34</v>
      </c>
    </row>
    <row r="15" spans="2:20" ht="20.149999999999999" customHeight="1" x14ac:dyDescent="0.45">
      <c r="B15" s="34"/>
      <c r="C15" s="22" t="s">
        <v>177</v>
      </c>
      <c r="D15" s="508" t="s">
        <v>961</v>
      </c>
      <c r="E15" s="508"/>
      <c r="F15" s="508"/>
      <c r="G15" s="22">
        <v>4684</v>
      </c>
      <c r="H15" s="22" t="s">
        <v>962</v>
      </c>
      <c r="I15" s="450" t="s">
        <v>959</v>
      </c>
      <c r="J15" s="450"/>
      <c r="K15" s="35">
        <v>1.9</v>
      </c>
      <c r="L15" s="36">
        <f>G15*K15</f>
        <v>8899.6</v>
      </c>
      <c r="M15" s="78"/>
      <c r="N15" s="24" t="s">
        <v>631</v>
      </c>
      <c r="O15" s="24" t="s">
        <v>283</v>
      </c>
      <c r="R15" s="24">
        <v>3</v>
      </c>
      <c r="S15" s="24" t="s">
        <v>36</v>
      </c>
      <c r="T15" s="24" t="s">
        <v>68</v>
      </c>
    </row>
    <row r="16" spans="2:20" ht="20.149999999999999" customHeight="1" x14ac:dyDescent="0.45">
      <c r="B16" s="34"/>
      <c r="C16" s="22"/>
      <c r="D16" s="508"/>
      <c r="E16" s="508"/>
      <c r="F16" s="508"/>
      <c r="G16" s="90"/>
      <c r="H16" s="68"/>
      <c r="I16" s="481"/>
      <c r="J16" s="481"/>
      <c r="K16" s="94"/>
      <c r="L16" s="77"/>
      <c r="M16" s="78"/>
      <c r="N16" s="24" t="s">
        <v>406</v>
      </c>
      <c r="O16" s="24" t="s">
        <v>305</v>
      </c>
      <c r="R16" s="24">
        <v>2</v>
      </c>
      <c r="S16" s="24" t="s">
        <v>36</v>
      </c>
      <c r="T16" s="24" t="s">
        <v>54</v>
      </c>
    </row>
    <row r="17" spans="2:20" ht="20.149999999999999" customHeight="1" x14ac:dyDescent="0.45">
      <c r="B17" s="34"/>
      <c r="C17" s="22"/>
      <c r="D17" s="508"/>
      <c r="E17" s="508"/>
      <c r="F17" s="508"/>
      <c r="G17" s="90"/>
      <c r="H17" s="68"/>
      <c r="I17" s="481"/>
      <c r="J17" s="481"/>
      <c r="K17" s="94"/>
      <c r="L17" s="77"/>
      <c r="M17" s="78"/>
      <c r="N17" s="125" t="s">
        <v>423</v>
      </c>
      <c r="O17" s="24" t="s">
        <v>464</v>
      </c>
      <c r="R17" s="24">
        <v>2</v>
      </c>
      <c r="S17" s="24" t="s">
        <v>36</v>
      </c>
      <c r="T17" s="24" t="s">
        <v>54</v>
      </c>
    </row>
    <row r="18" spans="2:20" ht="20.149999999999999" customHeight="1" x14ac:dyDescent="0.45">
      <c r="B18" s="34"/>
      <c r="C18" s="22"/>
      <c r="D18" s="508"/>
      <c r="E18" s="508"/>
      <c r="F18" s="508"/>
      <c r="G18" s="90"/>
      <c r="H18" s="68"/>
      <c r="I18" s="481"/>
      <c r="J18" s="481"/>
      <c r="K18" s="94"/>
      <c r="L18" s="77"/>
      <c r="M18" s="78"/>
      <c r="N18" s="24" t="s">
        <v>426</v>
      </c>
      <c r="O18" s="24" t="s">
        <v>296</v>
      </c>
      <c r="R18" s="24">
        <v>3</v>
      </c>
      <c r="S18" s="24" t="s">
        <v>52</v>
      </c>
      <c r="T18" s="24" t="s">
        <v>66</v>
      </c>
    </row>
    <row r="19" spans="2:20" ht="20.149999999999999" customHeight="1" x14ac:dyDescent="0.45">
      <c r="B19" s="34"/>
      <c r="C19" s="22"/>
      <c r="D19" s="508"/>
      <c r="E19" s="508"/>
      <c r="F19" s="508"/>
      <c r="G19" s="90"/>
      <c r="H19" s="68"/>
      <c r="I19" s="481"/>
      <c r="J19" s="481"/>
      <c r="K19" s="94"/>
      <c r="L19" s="77"/>
      <c r="M19" s="78"/>
      <c r="N19" s="125" t="s">
        <v>450</v>
      </c>
      <c r="O19" s="24" t="s">
        <v>614</v>
      </c>
      <c r="R19" s="24">
        <v>3</v>
      </c>
      <c r="S19" s="24" t="s">
        <v>615</v>
      </c>
      <c r="T19" s="24" t="s">
        <v>711</v>
      </c>
    </row>
    <row r="20" spans="2:20" ht="20.149999999999999" customHeight="1" x14ac:dyDescent="0.45">
      <c r="B20" s="34"/>
      <c r="C20" s="22"/>
      <c r="D20" s="508"/>
      <c r="E20" s="508"/>
      <c r="F20" s="508"/>
      <c r="G20" s="90"/>
      <c r="H20" s="68"/>
      <c r="I20" s="481"/>
      <c r="J20" s="481"/>
      <c r="K20" s="94"/>
      <c r="L20" s="77"/>
      <c r="M20" s="78"/>
    </row>
    <row r="21" spans="2:20" ht="20.149999999999999" customHeight="1" x14ac:dyDescent="0.45">
      <c r="B21" s="34"/>
      <c r="C21" s="22"/>
      <c r="D21" s="508"/>
      <c r="E21" s="508"/>
      <c r="F21" s="508"/>
      <c r="G21" s="90"/>
      <c r="H21" s="68"/>
      <c r="I21" s="481"/>
      <c r="J21" s="481"/>
      <c r="K21" s="94"/>
      <c r="L21" s="77"/>
      <c r="M21" s="78"/>
    </row>
    <row r="22" spans="2:20" ht="20.149999999999999" customHeight="1" x14ac:dyDescent="0.45">
      <c r="B22" s="34"/>
      <c r="C22" s="22"/>
      <c r="D22" s="508"/>
      <c r="E22" s="508"/>
      <c r="F22" s="508"/>
      <c r="G22" s="90"/>
      <c r="H22" s="68"/>
      <c r="I22" s="481"/>
      <c r="J22" s="481"/>
      <c r="K22" s="94"/>
      <c r="L22" s="77"/>
      <c r="M22" s="78"/>
    </row>
    <row r="23" spans="2:20" ht="20.149999999999999" customHeight="1" x14ac:dyDescent="0.45">
      <c r="B23" s="34"/>
      <c r="C23" s="22"/>
      <c r="D23" s="508"/>
      <c r="E23" s="508"/>
      <c r="F23" s="508"/>
      <c r="G23" s="90"/>
      <c r="H23" s="68"/>
      <c r="I23" s="481"/>
      <c r="J23" s="481"/>
      <c r="K23" s="94"/>
      <c r="L23" s="77"/>
      <c r="M23" s="78"/>
    </row>
    <row r="24" spans="2:20" ht="20.149999999999999" customHeight="1" x14ac:dyDescent="0.45">
      <c r="B24" s="34"/>
      <c r="C24" s="22"/>
      <c r="D24" s="508"/>
      <c r="E24" s="508"/>
      <c r="F24" s="508"/>
      <c r="G24" s="90"/>
      <c r="H24" s="68"/>
      <c r="I24" s="481"/>
      <c r="J24" s="481"/>
      <c r="K24" s="94"/>
      <c r="L24" s="77"/>
      <c r="M24" s="78"/>
    </row>
    <row r="25" spans="2:20" ht="20.149999999999999" customHeight="1" x14ac:dyDescent="0.45">
      <c r="B25" s="34"/>
      <c r="C25" s="22"/>
      <c r="D25" s="508"/>
      <c r="E25" s="508"/>
      <c r="F25" s="508"/>
      <c r="G25" s="90"/>
      <c r="H25" s="68"/>
      <c r="I25" s="481"/>
      <c r="J25" s="481"/>
      <c r="K25" s="94"/>
      <c r="L25" s="77"/>
      <c r="M25" s="78"/>
    </row>
    <row r="26" spans="2:20" ht="20.149999999999999" customHeight="1" x14ac:dyDescent="0.45">
      <c r="B26" s="34"/>
      <c r="C26" s="22"/>
      <c r="D26" s="508"/>
      <c r="E26" s="508"/>
      <c r="F26" s="508"/>
      <c r="G26" s="90"/>
      <c r="H26" s="68"/>
      <c r="I26" s="481"/>
      <c r="J26" s="481"/>
      <c r="K26" s="94"/>
      <c r="L26" s="77"/>
      <c r="M26" s="78"/>
    </row>
    <row r="27" spans="2:20" ht="20.149999999999999" customHeight="1" x14ac:dyDescent="0.45">
      <c r="B27" s="34"/>
      <c r="C27" s="22"/>
      <c r="D27" s="508"/>
      <c r="E27" s="508"/>
      <c r="F27" s="508"/>
      <c r="G27" s="90"/>
      <c r="H27" s="68"/>
      <c r="I27" s="481"/>
      <c r="J27" s="481"/>
      <c r="K27" s="94"/>
      <c r="L27" s="77"/>
      <c r="M27" s="78"/>
    </row>
    <row r="28" spans="2:20" ht="20.149999999999999" customHeight="1" x14ac:dyDescent="0.45">
      <c r="B28" s="34"/>
      <c r="C28" s="22"/>
      <c r="D28" s="508"/>
      <c r="E28" s="508"/>
      <c r="F28" s="508"/>
      <c r="G28" s="90"/>
      <c r="H28" s="68"/>
      <c r="I28" s="481"/>
      <c r="J28" s="481"/>
      <c r="K28" s="94"/>
      <c r="L28" s="77"/>
      <c r="M28" s="78"/>
    </row>
    <row r="29" spans="2:20" ht="20.149999999999999" customHeight="1" x14ac:dyDescent="0.45">
      <c r="B29" s="34"/>
      <c r="C29" s="22"/>
      <c r="D29" s="508"/>
      <c r="E29" s="508"/>
      <c r="F29" s="508"/>
      <c r="G29" s="90"/>
      <c r="H29" s="68"/>
      <c r="I29" s="481"/>
      <c r="J29" s="481"/>
      <c r="K29" s="94"/>
      <c r="L29" s="77"/>
      <c r="M29" s="78"/>
    </row>
    <row r="30" spans="2:20" ht="20.149999999999999" customHeight="1" x14ac:dyDescent="0.45">
      <c r="B30" s="34"/>
      <c r="C30" s="22"/>
      <c r="D30" s="508"/>
      <c r="E30" s="508"/>
      <c r="F30" s="508"/>
      <c r="G30" s="22"/>
      <c r="H30" s="68"/>
      <c r="I30" s="481"/>
      <c r="J30" s="481"/>
      <c r="K30" s="94"/>
      <c r="L30" s="77"/>
      <c r="M30" s="78"/>
    </row>
    <row r="31" spans="2:20" ht="20.149999999999999" customHeight="1" x14ac:dyDescent="0.45">
      <c r="B31" s="34"/>
      <c r="C31" s="22"/>
      <c r="D31" s="508"/>
      <c r="E31" s="508"/>
      <c r="F31" s="508"/>
      <c r="G31" s="22"/>
      <c r="H31" s="68"/>
      <c r="I31" s="481"/>
      <c r="J31" s="481"/>
      <c r="K31" s="94"/>
      <c r="L31" s="77"/>
      <c r="M31" s="78"/>
    </row>
    <row r="32" spans="2:20" ht="20.149999999999999" customHeight="1" x14ac:dyDescent="0.45">
      <c r="B32" s="34"/>
      <c r="C32" s="22"/>
      <c r="D32" s="508"/>
      <c r="E32" s="508"/>
      <c r="F32" s="508"/>
      <c r="G32" s="22"/>
      <c r="H32" s="68"/>
      <c r="I32" s="481"/>
      <c r="J32" s="481"/>
      <c r="K32" s="94"/>
      <c r="L32" s="77"/>
    </row>
    <row r="33" spans="2:13" ht="20.149999999999999" customHeight="1" thickBot="1" x14ac:dyDescent="0.5">
      <c r="B33" s="37"/>
      <c r="C33" s="38"/>
      <c r="D33" s="509"/>
      <c r="E33" s="509"/>
      <c r="F33" s="509"/>
      <c r="G33" s="38"/>
      <c r="H33" s="69"/>
      <c r="I33" s="451"/>
      <c r="J33" s="451"/>
      <c r="K33" s="39"/>
      <c r="L33" s="40"/>
    </row>
    <row r="34" spans="2:13" ht="20.149999999999999" customHeight="1" thickBot="1" x14ac:dyDescent="0.5">
      <c r="B34" s="41"/>
      <c r="L34" s="42"/>
    </row>
    <row r="35" spans="2:13" ht="20.149999999999999" customHeight="1" x14ac:dyDescent="0.45">
      <c r="B35" s="11" t="s">
        <v>18</v>
      </c>
      <c r="C35" s="7"/>
      <c r="D35" s="7"/>
      <c r="E35" s="7"/>
      <c r="F35" s="7"/>
      <c r="G35" s="7"/>
      <c r="H35" s="7"/>
      <c r="I35" s="7"/>
      <c r="J35" s="510" t="s">
        <v>15</v>
      </c>
      <c r="K35" s="511"/>
      <c r="L35" s="43">
        <f>SUM(L13:L32)</f>
        <v>9599.6</v>
      </c>
      <c r="M35" s="76">
        <f>166+26</f>
        <v>192</v>
      </c>
    </row>
    <row r="36" spans="2:13" ht="20.149999999999999" customHeight="1" x14ac:dyDescent="0.45">
      <c r="B36" s="11" t="s">
        <v>19</v>
      </c>
      <c r="C36" s="7"/>
      <c r="D36" s="7"/>
      <c r="E36" s="7"/>
      <c r="F36" s="7"/>
      <c r="G36" s="7"/>
      <c r="H36" s="7"/>
      <c r="I36" s="7"/>
      <c r="J36" s="44" t="s">
        <v>22</v>
      </c>
      <c r="K36" s="45"/>
      <c r="L36" s="46">
        <f>L35*K36</f>
        <v>0</v>
      </c>
    </row>
    <row r="37" spans="2:13" ht="20.149999999999999" customHeight="1" x14ac:dyDescent="0.45">
      <c r="B37" s="11" t="s">
        <v>20</v>
      </c>
      <c r="C37" s="7"/>
      <c r="D37" s="7"/>
      <c r="E37" s="7"/>
      <c r="F37" s="7"/>
      <c r="G37" s="7"/>
      <c r="H37" s="7"/>
      <c r="I37" s="7"/>
      <c r="J37" s="486" t="s">
        <v>21</v>
      </c>
      <c r="K37" s="487"/>
      <c r="L37" s="46">
        <f>L35-L36</f>
        <v>9599.6</v>
      </c>
    </row>
    <row r="38" spans="2:13" ht="20.149999999999999" customHeight="1" x14ac:dyDescent="0.45">
      <c r="B38" s="11" t="s">
        <v>24</v>
      </c>
      <c r="C38" s="7"/>
      <c r="D38" s="7"/>
      <c r="E38" s="7"/>
      <c r="F38" s="7"/>
      <c r="G38" s="7"/>
      <c r="H38" s="7"/>
      <c r="I38" s="7"/>
      <c r="J38" s="150" t="s">
        <v>17</v>
      </c>
      <c r="K38" s="151"/>
      <c r="L38" s="47"/>
    </row>
    <row r="39" spans="2:13" ht="20.149999999999999" customHeight="1" thickBot="1" x14ac:dyDescent="0.5">
      <c r="B39" s="11" t="s">
        <v>25</v>
      </c>
      <c r="C39" s="7"/>
      <c r="D39" s="7"/>
      <c r="E39" s="7"/>
      <c r="F39" s="7"/>
      <c r="G39" s="7"/>
      <c r="H39" s="7"/>
      <c r="I39" s="7"/>
      <c r="J39" s="488" t="s">
        <v>23</v>
      </c>
      <c r="K39" s="489"/>
      <c r="L39" s="48">
        <f>L37+L38</f>
        <v>9599.6</v>
      </c>
    </row>
    <row r="40" spans="2:13" ht="20.149999999999999" customHeight="1" x14ac:dyDescent="0.45">
      <c r="B40" s="11" t="s">
        <v>26</v>
      </c>
      <c r="C40" s="7"/>
      <c r="D40" s="7"/>
      <c r="E40" s="7"/>
      <c r="F40" s="7"/>
      <c r="G40" s="7"/>
      <c r="H40" s="7"/>
      <c r="I40" s="7"/>
      <c r="L40" s="42"/>
    </row>
    <row r="41" spans="2:13" ht="20.149999999999999" customHeight="1" x14ac:dyDescent="0.45">
      <c r="B41" s="41"/>
      <c r="L41" s="42"/>
    </row>
    <row r="42" spans="2:13" ht="20.149999999999999" customHeight="1" x14ac:dyDescent="0.45">
      <c r="B42" s="41"/>
      <c r="L42" s="42"/>
    </row>
    <row r="43" spans="2:13" ht="20.149999999999999" customHeight="1" x14ac:dyDescent="0.45">
      <c r="B43" s="41"/>
      <c r="L43" s="42"/>
    </row>
    <row r="44" spans="2:13" ht="20.149999999999999" customHeight="1" x14ac:dyDescent="0.45">
      <c r="B44" s="41"/>
      <c r="L44" s="42"/>
    </row>
    <row r="45" spans="2:13" ht="20.149999999999999" customHeight="1" x14ac:dyDescent="0.45">
      <c r="B45" s="49"/>
      <c r="C45" s="50"/>
      <c r="D45" s="50"/>
      <c r="J45" s="50"/>
      <c r="K45" s="50"/>
      <c r="L45" s="51"/>
    </row>
    <row r="46" spans="2:13" ht="20.149999999999999" customHeight="1" x14ac:dyDescent="0.45">
      <c r="B46" s="41" t="s">
        <v>27</v>
      </c>
      <c r="J46" s="24" t="s">
        <v>28</v>
      </c>
      <c r="L46" s="42"/>
    </row>
    <row r="47" spans="2:13" ht="19" thickBot="1" x14ac:dyDescent="0.5">
      <c r="B47" s="52"/>
      <c r="C47" s="53"/>
      <c r="D47" s="53"/>
      <c r="E47" s="53"/>
      <c r="F47" s="53"/>
      <c r="G47" s="53"/>
      <c r="H47" s="53"/>
      <c r="I47" s="53"/>
      <c r="J47" s="53"/>
      <c r="K47" s="53"/>
      <c r="L47" s="54"/>
    </row>
  </sheetData>
  <mergeCells count="57">
    <mergeCell ref="K6:L6"/>
    <mergeCell ref="B7:D7"/>
    <mergeCell ref="F7:H11"/>
    <mergeCell ref="K7:L7"/>
    <mergeCell ref="B8:D8"/>
    <mergeCell ref="K8:L8"/>
    <mergeCell ref="B9:D9"/>
    <mergeCell ref="K9:L9"/>
    <mergeCell ref="B10:D10"/>
    <mergeCell ref="K10:L10"/>
    <mergeCell ref="B11:D11"/>
    <mergeCell ref="K11:L11"/>
    <mergeCell ref="D13:F13"/>
    <mergeCell ref="I13:J13"/>
    <mergeCell ref="D14:F14"/>
    <mergeCell ref="I14:J14"/>
    <mergeCell ref="D15:F15"/>
    <mergeCell ref="I15:J15"/>
    <mergeCell ref="D16:F16"/>
    <mergeCell ref="I16:J16"/>
    <mergeCell ref="D17:F17"/>
    <mergeCell ref="I17:J17"/>
    <mergeCell ref="D18:F18"/>
    <mergeCell ref="I18:J18"/>
    <mergeCell ref="D19:F19"/>
    <mergeCell ref="I19:J19"/>
    <mergeCell ref="D20:F20"/>
    <mergeCell ref="I20:J20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D28:F28"/>
    <mergeCell ref="I28:J28"/>
    <mergeCell ref="D29:F29"/>
    <mergeCell ref="I29:J29"/>
    <mergeCell ref="D30:F30"/>
    <mergeCell ref="I30:J30"/>
    <mergeCell ref="J35:K35"/>
    <mergeCell ref="J37:K37"/>
    <mergeCell ref="J39:K39"/>
    <mergeCell ref="D31:F31"/>
    <mergeCell ref="I31:J31"/>
    <mergeCell ref="D32:F32"/>
    <mergeCell ref="I32:J32"/>
    <mergeCell ref="D33:F33"/>
    <mergeCell ref="I33:J33"/>
  </mergeCells>
  <pageMargins left="0.70866141732283505" right="0.31496062992126" top="2.1653543307086598" bottom="0" header="0.31496062992126" footer="0.31496062992126"/>
  <pageSetup paperSize="9" scale="75" orientation="portrait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F00717-B7A8-42A0-80FD-23AF8201CEED}">
  <sheetPr codeName="Sheet8">
    <pageSetUpPr fitToPage="1"/>
  </sheetPr>
  <dimension ref="B2:R74"/>
  <sheetViews>
    <sheetView workbookViewId="0">
      <selection activeCell="F10" sqref="F10"/>
    </sheetView>
  </sheetViews>
  <sheetFormatPr defaultRowHeight="14.5" x14ac:dyDescent="0.35"/>
  <cols>
    <col min="3" max="3" width="18.54296875" customWidth="1"/>
    <col min="4" max="4" width="25.1796875" customWidth="1"/>
    <col min="5" max="5" width="8.7265625" style="21"/>
    <col min="6" max="6" width="20.453125" style="21" customWidth="1"/>
    <col min="7" max="7" width="3.54296875" customWidth="1"/>
    <col min="8" max="8" width="11" customWidth="1"/>
    <col min="9" max="10" width="18.54296875" customWidth="1"/>
    <col min="11" max="11" width="8.7265625" style="21"/>
    <col min="12" max="12" width="18.54296875" style="21" customWidth="1"/>
    <col min="13" max="13" width="3.54296875" customWidth="1"/>
    <col min="15" max="16" width="18.54296875" customWidth="1"/>
    <col min="18" max="18" width="18.54296875" customWidth="1"/>
  </cols>
  <sheetData>
    <row r="2" spans="2:18" ht="30" customHeight="1" x14ac:dyDescent="0.8">
      <c r="B2" s="205" t="s">
        <v>1304</v>
      </c>
      <c r="C2" s="15"/>
    </row>
    <row r="4" spans="2:18" ht="20.149999999999999" customHeight="1" x14ac:dyDescent="0.35">
      <c r="B4" s="62" t="s">
        <v>367</v>
      </c>
      <c r="C4" s="537" t="s">
        <v>270</v>
      </c>
      <c r="D4" s="537"/>
      <c r="E4" s="6" t="s">
        <v>1037</v>
      </c>
      <c r="F4" s="6" t="s">
        <v>1265</v>
      </c>
      <c r="H4" s="62" t="s">
        <v>438</v>
      </c>
      <c r="I4" s="538" t="s">
        <v>287</v>
      </c>
      <c r="J4" s="538"/>
      <c r="K4" s="6" t="s">
        <v>1294</v>
      </c>
      <c r="L4" s="6" t="s">
        <v>984</v>
      </c>
      <c r="N4" s="62" t="s">
        <v>400</v>
      </c>
      <c r="O4" s="537" t="s">
        <v>625</v>
      </c>
      <c r="P4" s="537"/>
      <c r="Q4" s="6" t="s">
        <v>1029</v>
      </c>
      <c r="R4" s="6" t="s">
        <v>54</v>
      </c>
    </row>
    <row r="5" spans="2:18" ht="20.149999999999999" customHeight="1" x14ac:dyDescent="0.35">
      <c r="B5" s="62" t="s">
        <v>370</v>
      </c>
      <c r="C5" s="537" t="s">
        <v>1067</v>
      </c>
      <c r="D5" s="537"/>
      <c r="E5" s="6" t="s">
        <v>1266</v>
      </c>
      <c r="F5" s="6" t="s">
        <v>1267</v>
      </c>
      <c r="H5" s="62" t="s">
        <v>439</v>
      </c>
      <c r="I5" s="538" t="s">
        <v>288</v>
      </c>
      <c r="J5" s="538"/>
      <c r="K5" s="6" t="s">
        <v>1293</v>
      </c>
      <c r="L5" s="6" t="s">
        <v>1319</v>
      </c>
      <c r="N5" s="62" t="s">
        <v>402</v>
      </c>
      <c r="O5" s="145" t="s">
        <v>498</v>
      </c>
      <c r="P5" s="145"/>
      <c r="Q5" s="6" t="s">
        <v>1029</v>
      </c>
      <c r="R5" s="6" t="s">
        <v>54</v>
      </c>
    </row>
    <row r="6" spans="2:18" ht="20.149999999999999" customHeight="1" x14ac:dyDescent="0.35">
      <c r="B6" s="62" t="s">
        <v>370</v>
      </c>
      <c r="C6" s="537" t="s">
        <v>1067</v>
      </c>
      <c r="D6" s="537"/>
      <c r="E6" s="6" t="s">
        <v>1034</v>
      </c>
      <c r="F6" s="6" t="s">
        <v>1268</v>
      </c>
      <c r="H6" s="62" t="s">
        <v>440</v>
      </c>
      <c r="I6" s="538" t="s">
        <v>289</v>
      </c>
      <c r="J6" s="538"/>
      <c r="K6" s="6" t="s">
        <v>1291</v>
      </c>
      <c r="L6" s="6" t="s">
        <v>1320</v>
      </c>
      <c r="N6" s="62" t="s">
        <v>403</v>
      </c>
      <c r="O6" s="145" t="s">
        <v>609</v>
      </c>
      <c r="P6" s="204"/>
      <c r="Q6" s="6" t="s">
        <v>1030</v>
      </c>
      <c r="R6" s="6" t="s">
        <v>54</v>
      </c>
    </row>
    <row r="7" spans="2:18" ht="20.149999999999999" customHeight="1" x14ac:dyDescent="0.35">
      <c r="B7" s="62" t="s">
        <v>371</v>
      </c>
      <c r="C7" s="537" t="s">
        <v>272</v>
      </c>
      <c r="D7" s="537"/>
      <c r="E7" s="6" t="s">
        <v>1034</v>
      </c>
      <c r="F7" s="6" t="s">
        <v>1268</v>
      </c>
      <c r="H7" s="62" t="s">
        <v>441</v>
      </c>
      <c r="I7" s="538" t="s">
        <v>289</v>
      </c>
      <c r="J7" s="538"/>
      <c r="K7" s="6" t="s">
        <v>1290</v>
      </c>
      <c r="L7" s="6" t="s">
        <v>1289</v>
      </c>
      <c r="N7" s="62" t="s">
        <v>404</v>
      </c>
      <c r="O7" s="537" t="s">
        <v>303</v>
      </c>
      <c r="P7" s="537"/>
      <c r="Q7" s="6" t="s">
        <v>1029</v>
      </c>
      <c r="R7" s="6" t="s">
        <v>54</v>
      </c>
    </row>
    <row r="8" spans="2:18" ht="20.149999999999999" customHeight="1" x14ac:dyDescent="0.35">
      <c r="B8" s="62" t="s">
        <v>372</v>
      </c>
      <c r="C8" s="537" t="s">
        <v>273</v>
      </c>
      <c r="D8" s="537"/>
      <c r="E8" s="6" t="s">
        <v>1039</v>
      </c>
      <c r="F8" s="6" t="s">
        <v>1268</v>
      </c>
      <c r="H8" s="62" t="s">
        <v>442</v>
      </c>
      <c r="I8" s="538" t="s">
        <v>290</v>
      </c>
      <c r="J8" s="538"/>
      <c r="K8" s="6" t="s">
        <v>1059</v>
      </c>
      <c r="L8" s="6" t="s">
        <v>1318</v>
      </c>
      <c r="N8" s="62" t="s">
        <v>405</v>
      </c>
      <c r="O8" s="537" t="s">
        <v>304</v>
      </c>
      <c r="P8" s="537"/>
      <c r="Q8" s="6" t="s">
        <v>1029</v>
      </c>
      <c r="R8" s="6" t="s">
        <v>54</v>
      </c>
    </row>
    <row r="9" spans="2:18" ht="20.149999999999999" customHeight="1" x14ac:dyDescent="0.35">
      <c r="B9" s="62" t="s">
        <v>373</v>
      </c>
      <c r="C9" s="537" t="s">
        <v>274</v>
      </c>
      <c r="D9" s="537"/>
      <c r="E9" s="6" t="s">
        <v>1034</v>
      </c>
      <c r="F9" s="6" t="s">
        <v>1269</v>
      </c>
      <c r="H9" s="62" t="s">
        <v>443</v>
      </c>
      <c r="I9" s="538" t="s">
        <v>292</v>
      </c>
      <c r="J9" s="538"/>
      <c r="K9" s="6" t="s">
        <v>1059</v>
      </c>
      <c r="L9" s="6" t="s">
        <v>1318</v>
      </c>
      <c r="N9" s="62" t="s">
        <v>406</v>
      </c>
      <c r="O9" s="145" t="s">
        <v>305</v>
      </c>
      <c r="P9" s="129"/>
      <c r="Q9" s="6" t="s">
        <v>1031</v>
      </c>
      <c r="R9" s="6" t="s">
        <v>54</v>
      </c>
    </row>
    <row r="10" spans="2:18" ht="20.149999999999999" customHeight="1" x14ac:dyDescent="0.35">
      <c r="B10" s="62" t="s">
        <v>374</v>
      </c>
      <c r="C10" s="537" t="s">
        <v>275</v>
      </c>
      <c r="D10" s="537"/>
      <c r="E10" s="6" t="s">
        <v>1038</v>
      </c>
      <c r="F10" s="6" t="s">
        <v>1268</v>
      </c>
      <c r="H10" s="62" t="s">
        <v>444</v>
      </c>
      <c r="I10" s="492" t="s">
        <v>676</v>
      </c>
      <c r="J10" s="492"/>
      <c r="K10" s="6" t="s">
        <v>1057</v>
      </c>
      <c r="L10" s="6" t="s">
        <v>1069</v>
      </c>
      <c r="N10" s="62" t="s">
        <v>407</v>
      </c>
      <c r="O10" s="145" t="s">
        <v>306</v>
      </c>
      <c r="P10" s="129"/>
      <c r="Q10" s="6" t="s">
        <v>1030</v>
      </c>
      <c r="R10" s="6" t="s">
        <v>54</v>
      </c>
    </row>
    <row r="11" spans="2:18" ht="20.149999999999999" customHeight="1" x14ac:dyDescent="0.35">
      <c r="B11" s="62" t="s">
        <v>375</v>
      </c>
      <c r="C11" s="530" t="s">
        <v>343</v>
      </c>
      <c r="D11" s="531"/>
      <c r="E11" s="6" t="s">
        <v>1040</v>
      </c>
      <c r="F11" s="6" t="s">
        <v>1268</v>
      </c>
      <c r="H11" s="62" t="s">
        <v>445</v>
      </c>
      <c r="I11" s="492" t="s">
        <v>676</v>
      </c>
      <c r="J11" s="492"/>
      <c r="K11" s="6" t="s">
        <v>1068</v>
      </c>
      <c r="L11" s="6" t="s">
        <v>1070</v>
      </c>
      <c r="N11" s="62" t="s">
        <v>408</v>
      </c>
      <c r="O11" s="145" t="s">
        <v>307</v>
      </c>
      <c r="P11" s="129"/>
      <c r="Q11" s="6" t="s">
        <v>1032</v>
      </c>
      <c r="R11" s="6" t="s">
        <v>54</v>
      </c>
    </row>
    <row r="12" spans="2:18" ht="20.149999999999999" customHeight="1" x14ac:dyDescent="0.35">
      <c r="B12" s="62" t="s">
        <v>376</v>
      </c>
      <c r="C12" s="532" t="s">
        <v>351</v>
      </c>
      <c r="D12" s="533"/>
      <c r="E12" s="6" t="s">
        <v>1040</v>
      </c>
      <c r="F12" s="6" t="s">
        <v>1268</v>
      </c>
      <c r="H12" s="62" t="s">
        <v>446</v>
      </c>
      <c r="I12" s="492" t="s">
        <v>681</v>
      </c>
      <c r="J12" s="492"/>
      <c r="K12" s="6" t="s">
        <v>1058</v>
      </c>
      <c r="L12" s="6" t="s">
        <v>1071</v>
      </c>
      <c r="N12" s="62" t="s">
        <v>409</v>
      </c>
      <c r="O12" s="537" t="s">
        <v>308</v>
      </c>
      <c r="P12" s="537"/>
      <c r="Q12" s="6" t="s">
        <v>1033</v>
      </c>
      <c r="R12" s="6" t="s">
        <v>1026</v>
      </c>
    </row>
    <row r="13" spans="2:18" ht="20.149999999999999" customHeight="1" x14ac:dyDescent="0.35">
      <c r="B13" s="62" t="s">
        <v>377</v>
      </c>
      <c r="C13" s="532" t="s">
        <v>350</v>
      </c>
      <c r="D13" s="533"/>
      <c r="E13" s="6" t="s">
        <v>1032</v>
      </c>
      <c r="F13" s="6" t="s">
        <v>1268</v>
      </c>
      <c r="H13" s="62" t="s">
        <v>448</v>
      </c>
      <c r="I13" s="538" t="s">
        <v>294</v>
      </c>
      <c r="J13" s="538"/>
      <c r="K13" s="6" t="s">
        <v>1023</v>
      </c>
      <c r="L13" s="6" t="s">
        <v>1317</v>
      </c>
      <c r="N13" s="62" t="s">
        <v>410</v>
      </c>
      <c r="O13" s="537" t="s">
        <v>309</v>
      </c>
      <c r="P13" s="537"/>
      <c r="Q13" s="6" t="s">
        <v>1038</v>
      </c>
      <c r="R13" s="6" t="s">
        <v>54</v>
      </c>
    </row>
    <row r="14" spans="2:18" ht="20.149999999999999" customHeight="1" x14ac:dyDescent="0.35">
      <c r="B14" s="62" t="s">
        <v>378</v>
      </c>
      <c r="C14" s="537" t="s">
        <v>278</v>
      </c>
      <c r="D14" s="537"/>
      <c r="E14" s="6" t="s">
        <v>1034</v>
      </c>
      <c r="F14" s="6" t="s">
        <v>1270</v>
      </c>
      <c r="H14" s="62" t="s">
        <v>450</v>
      </c>
      <c r="I14" s="530" t="s">
        <v>327</v>
      </c>
      <c r="J14" s="531"/>
      <c r="K14" s="6" t="s">
        <v>1048</v>
      </c>
      <c r="L14" s="6" t="s">
        <v>1316</v>
      </c>
      <c r="N14" s="62" t="s">
        <v>411</v>
      </c>
      <c r="O14" s="537" t="s">
        <v>310</v>
      </c>
      <c r="P14" s="537"/>
      <c r="Q14" s="6" t="s">
        <v>1032</v>
      </c>
      <c r="R14" s="6" t="s">
        <v>54</v>
      </c>
    </row>
    <row r="15" spans="2:18" ht="20.149999999999999" customHeight="1" x14ac:dyDescent="0.35">
      <c r="B15" s="62" t="s">
        <v>539</v>
      </c>
      <c r="C15" s="537" t="s">
        <v>804</v>
      </c>
      <c r="D15" s="537"/>
      <c r="E15" s="6" t="s">
        <v>1041</v>
      </c>
      <c r="F15" s="6" t="s">
        <v>1270</v>
      </c>
      <c r="H15" s="62" t="s">
        <v>398</v>
      </c>
      <c r="I15" s="79" t="s">
        <v>336</v>
      </c>
      <c r="J15" s="79"/>
      <c r="K15" s="6" t="s">
        <v>1040</v>
      </c>
      <c r="L15" s="6" t="s">
        <v>1292</v>
      </c>
      <c r="N15" s="62" t="s">
        <v>412</v>
      </c>
      <c r="O15" s="537" t="s">
        <v>311</v>
      </c>
      <c r="P15" s="537"/>
      <c r="Q15" s="6" t="s">
        <v>1035</v>
      </c>
      <c r="R15" s="6" t="s">
        <v>54</v>
      </c>
    </row>
    <row r="16" spans="2:18" ht="20.149999999999999" customHeight="1" x14ac:dyDescent="0.35">
      <c r="B16" s="62" t="s">
        <v>540</v>
      </c>
      <c r="C16" s="532" t="s">
        <v>1271</v>
      </c>
      <c r="D16" s="533"/>
      <c r="E16" s="6" t="s">
        <v>1029</v>
      </c>
      <c r="F16" s="6" t="s">
        <v>1272</v>
      </c>
      <c r="H16" s="62" t="s">
        <v>393</v>
      </c>
      <c r="I16" s="538" t="s">
        <v>286</v>
      </c>
      <c r="J16" s="538"/>
      <c r="K16" s="6" t="s">
        <v>1059</v>
      </c>
      <c r="L16" s="6" t="s">
        <v>983</v>
      </c>
      <c r="N16" s="62" t="s">
        <v>413</v>
      </c>
      <c r="O16" s="145" t="s">
        <v>1276</v>
      </c>
      <c r="P16" s="129"/>
      <c r="Q16" s="6" t="s">
        <v>1032</v>
      </c>
      <c r="R16" s="6" t="s">
        <v>499</v>
      </c>
    </row>
    <row r="17" spans="2:18" ht="20.149999999999999" customHeight="1" x14ac:dyDescent="0.35">
      <c r="B17" s="62" t="s">
        <v>541</v>
      </c>
      <c r="C17" s="537" t="s">
        <v>281</v>
      </c>
      <c r="D17" s="537"/>
      <c r="E17" s="6" t="s">
        <v>1039</v>
      </c>
      <c r="F17" s="6" t="s">
        <v>1270</v>
      </c>
      <c r="H17" s="62" t="s">
        <v>394</v>
      </c>
      <c r="I17" s="538" t="s">
        <v>739</v>
      </c>
      <c r="J17" s="538"/>
      <c r="K17" s="6" t="s">
        <v>1060</v>
      </c>
      <c r="L17" s="6" t="s">
        <v>983</v>
      </c>
      <c r="N17" s="62" t="s">
        <v>415</v>
      </c>
      <c r="O17" s="145" t="s">
        <v>1277</v>
      </c>
      <c r="P17" s="129"/>
      <c r="Q17" s="6" t="s">
        <v>1032</v>
      </c>
      <c r="R17" s="6" t="s">
        <v>34</v>
      </c>
    </row>
    <row r="18" spans="2:18" ht="20.149999999999999" customHeight="1" x14ac:dyDescent="0.35">
      <c r="B18" s="62" t="s">
        <v>612</v>
      </c>
      <c r="C18" s="537" t="s">
        <v>282</v>
      </c>
      <c r="D18" s="537"/>
      <c r="E18" s="6" t="s">
        <v>1038</v>
      </c>
      <c r="F18" s="6" t="s">
        <v>1020</v>
      </c>
      <c r="H18" s="62" t="s">
        <v>396</v>
      </c>
      <c r="I18" s="538" t="s">
        <v>738</v>
      </c>
      <c r="J18" s="538"/>
      <c r="K18" s="6" t="s">
        <v>1008</v>
      </c>
      <c r="L18" s="6" t="s">
        <v>983</v>
      </c>
      <c r="N18" s="62" t="s">
        <v>417</v>
      </c>
      <c r="O18" s="145" t="s">
        <v>1279</v>
      </c>
      <c r="P18" s="129"/>
      <c r="Q18" s="6" t="s">
        <v>1031</v>
      </c>
      <c r="R18" s="6" t="s">
        <v>34</v>
      </c>
    </row>
    <row r="19" spans="2:18" ht="20.149999999999999" customHeight="1" x14ac:dyDescent="0.35">
      <c r="B19" s="62" t="s">
        <v>627</v>
      </c>
      <c r="C19" s="145" t="s">
        <v>341</v>
      </c>
      <c r="D19" s="145"/>
      <c r="E19" s="6" t="s">
        <v>1036</v>
      </c>
      <c r="F19" s="6" t="s">
        <v>1272</v>
      </c>
      <c r="H19" s="62" t="s">
        <v>453</v>
      </c>
      <c r="I19" s="534" t="s">
        <v>328</v>
      </c>
      <c r="J19" s="535"/>
      <c r="K19" s="6" t="s">
        <v>1052</v>
      </c>
      <c r="L19" s="6" t="s">
        <v>1315</v>
      </c>
      <c r="N19" s="62" t="s">
        <v>418</v>
      </c>
      <c r="O19" s="145" t="s">
        <v>1281</v>
      </c>
      <c r="P19" s="129"/>
      <c r="Q19" s="6" t="s">
        <v>1030</v>
      </c>
      <c r="R19" s="6" t="s">
        <v>34</v>
      </c>
    </row>
    <row r="20" spans="2:18" ht="20.149999999999999" customHeight="1" x14ac:dyDescent="0.35">
      <c r="B20" s="62" t="s">
        <v>628</v>
      </c>
      <c r="C20" s="145" t="s">
        <v>320</v>
      </c>
      <c r="D20" s="204"/>
      <c r="E20" s="6" t="s">
        <v>1042</v>
      </c>
      <c r="F20" s="6" t="s">
        <v>1270</v>
      </c>
      <c r="H20" s="62" t="s">
        <v>455</v>
      </c>
      <c r="I20" s="534" t="s">
        <v>491</v>
      </c>
      <c r="J20" s="535"/>
      <c r="K20" s="6" t="s">
        <v>1033</v>
      </c>
      <c r="L20" s="6" t="s">
        <v>1064</v>
      </c>
      <c r="N20" s="62" t="s">
        <v>419</v>
      </c>
      <c r="O20" s="145" t="s">
        <v>1280</v>
      </c>
      <c r="P20" s="129"/>
      <c r="Q20" s="6" t="s">
        <v>1278</v>
      </c>
      <c r="R20" s="6" t="s">
        <v>34</v>
      </c>
    </row>
    <row r="21" spans="2:18" ht="20.149999999999999" customHeight="1" x14ac:dyDescent="0.35">
      <c r="B21" s="62" t="s">
        <v>629</v>
      </c>
      <c r="C21" s="537" t="s">
        <v>295</v>
      </c>
      <c r="D21" s="537"/>
      <c r="E21" s="6">
        <v>10.8</v>
      </c>
      <c r="F21" s="6" t="s">
        <v>1273</v>
      </c>
      <c r="H21" s="62" t="s">
        <v>457</v>
      </c>
      <c r="I21" s="64" t="s">
        <v>344</v>
      </c>
      <c r="J21" s="1"/>
      <c r="K21" s="6" t="s">
        <v>1007</v>
      </c>
      <c r="L21" s="6" t="s">
        <v>1272</v>
      </c>
      <c r="N21" s="62" t="s">
        <v>420</v>
      </c>
      <c r="O21" s="145" t="s">
        <v>1282</v>
      </c>
      <c r="P21" s="204"/>
      <c r="Q21" s="6" t="s">
        <v>1283</v>
      </c>
      <c r="R21" s="6" t="s">
        <v>34</v>
      </c>
    </row>
    <row r="22" spans="2:18" ht="20.149999999999999" customHeight="1" x14ac:dyDescent="0.35">
      <c r="B22" s="62" t="s">
        <v>436</v>
      </c>
      <c r="C22" s="537" t="s">
        <v>295</v>
      </c>
      <c r="D22" s="537"/>
      <c r="E22" s="6" t="s">
        <v>1022</v>
      </c>
      <c r="F22" s="6" t="s">
        <v>1274</v>
      </c>
      <c r="H22" s="62" t="s">
        <v>458</v>
      </c>
      <c r="I22" s="64" t="s">
        <v>345</v>
      </c>
      <c r="J22" s="1"/>
      <c r="K22" s="6" t="s">
        <v>1007</v>
      </c>
      <c r="L22" s="6" t="s">
        <v>1272</v>
      </c>
      <c r="N22" s="62" t="s">
        <v>421</v>
      </c>
      <c r="O22" s="537" t="s">
        <v>314</v>
      </c>
      <c r="P22" s="537"/>
      <c r="Q22" s="6" t="s">
        <v>1048</v>
      </c>
      <c r="R22" s="6" t="s">
        <v>34</v>
      </c>
    </row>
    <row r="23" spans="2:18" ht="20.149999999999999" customHeight="1" x14ac:dyDescent="0.35">
      <c r="B23" s="62" t="s">
        <v>630</v>
      </c>
      <c r="C23" s="537" t="s">
        <v>277</v>
      </c>
      <c r="D23" s="537"/>
      <c r="E23" s="6" t="s">
        <v>1041</v>
      </c>
      <c r="F23" s="6" t="s">
        <v>1270</v>
      </c>
      <c r="H23" s="62" t="s">
        <v>461</v>
      </c>
      <c r="I23" s="79" t="s">
        <v>346</v>
      </c>
      <c r="J23" s="1"/>
      <c r="K23" s="6" t="s">
        <v>1007</v>
      </c>
      <c r="L23" s="6" t="s">
        <v>1272</v>
      </c>
      <c r="N23" s="62" t="s">
        <v>422</v>
      </c>
      <c r="O23" s="537" t="s">
        <v>315</v>
      </c>
      <c r="P23" s="537"/>
      <c r="Q23" s="6" t="s">
        <v>1034</v>
      </c>
      <c r="R23" s="6" t="s">
        <v>34</v>
      </c>
    </row>
    <row r="24" spans="2:18" ht="20.149999999999999" customHeight="1" x14ac:dyDescent="0.35">
      <c r="B24" s="62" t="s">
        <v>631</v>
      </c>
      <c r="C24" s="537" t="s">
        <v>283</v>
      </c>
      <c r="D24" s="537"/>
      <c r="E24" s="6" t="s">
        <v>1042</v>
      </c>
      <c r="F24" s="6" t="s">
        <v>1275</v>
      </c>
      <c r="H24" s="62" t="s">
        <v>462</v>
      </c>
      <c r="I24" s="540" t="s">
        <v>347</v>
      </c>
      <c r="J24" s="541"/>
      <c r="K24" s="6" t="s">
        <v>1059</v>
      </c>
      <c r="L24" s="6" t="s">
        <v>1272</v>
      </c>
      <c r="N24" s="62" t="s">
        <v>388</v>
      </c>
      <c r="O24" s="537" t="s">
        <v>1284</v>
      </c>
      <c r="P24" s="537"/>
      <c r="Q24" s="6" t="s">
        <v>1042</v>
      </c>
      <c r="R24" s="6" t="s">
        <v>34</v>
      </c>
    </row>
    <row r="25" spans="2:18" ht="20.149999999999999" customHeight="1" x14ac:dyDescent="0.35">
      <c r="B25" s="62" t="s">
        <v>1179</v>
      </c>
      <c r="C25" s="537" t="s">
        <v>1181</v>
      </c>
      <c r="D25" s="537"/>
      <c r="E25" s="6" t="s">
        <v>1039</v>
      </c>
      <c r="F25" s="6" t="s">
        <v>1311</v>
      </c>
      <c r="H25" s="62" t="s">
        <v>428</v>
      </c>
      <c r="I25" s="534" t="s">
        <v>280</v>
      </c>
      <c r="J25" s="535"/>
      <c r="K25" s="6" t="s">
        <v>1038</v>
      </c>
      <c r="L25" s="6" t="s">
        <v>529</v>
      </c>
      <c r="N25" s="62" t="s">
        <v>423</v>
      </c>
      <c r="O25" s="537" t="s">
        <v>464</v>
      </c>
      <c r="P25" s="537"/>
      <c r="Q25" s="6" t="s">
        <v>1044</v>
      </c>
      <c r="R25" s="6" t="s">
        <v>34</v>
      </c>
    </row>
    <row r="26" spans="2:18" ht="20.149999999999999" customHeight="1" x14ac:dyDescent="0.35">
      <c r="B26" s="62" t="s">
        <v>1180</v>
      </c>
      <c r="C26" s="537" t="s">
        <v>1182</v>
      </c>
      <c r="D26" s="537"/>
      <c r="E26" s="6" t="s">
        <v>1038</v>
      </c>
      <c r="F26" s="6" t="s">
        <v>1311</v>
      </c>
      <c r="H26" s="62" t="s">
        <v>429</v>
      </c>
      <c r="I26" s="534" t="s">
        <v>316</v>
      </c>
      <c r="J26" s="535"/>
      <c r="K26" s="6" t="s">
        <v>1056</v>
      </c>
      <c r="L26" s="6" t="s">
        <v>530</v>
      </c>
      <c r="N26" s="62" t="s">
        <v>424</v>
      </c>
      <c r="O26" s="145" t="s">
        <v>319</v>
      </c>
      <c r="P26" s="129"/>
      <c r="Q26" s="6" t="s">
        <v>1023</v>
      </c>
      <c r="R26" s="6" t="s">
        <v>34</v>
      </c>
    </row>
    <row r="27" spans="2:18" ht="20.149999999999999" customHeight="1" x14ac:dyDescent="0.35">
      <c r="B27" s="62" t="s">
        <v>1171</v>
      </c>
      <c r="C27" s="537" t="s">
        <v>1183</v>
      </c>
      <c r="D27" s="537"/>
      <c r="E27" s="6" t="s">
        <v>1039</v>
      </c>
      <c r="F27" s="6" t="s">
        <v>1311</v>
      </c>
      <c r="H27" s="62" t="s">
        <v>430</v>
      </c>
      <c r="I27" s="534" t="s">
        <v>317</v>
      </c>
      <c r="J27" s="535"/>
      <c r="K27" s="6" t="s">
        <v>1029</v>
      </c>
      <c r="L27" s="6" t="s">
        <v>530</v>
      </c>
      <c r="N27" s="62" t="s">
        <v>425</v>
      </c>
      <c r="O27" s="145" t="s">
        <v>1286</v>
      </c>
      <c r="P27" s="129"/>
      <c r="Q27" s="6" t="s">
        <v>1285</v>
      </c>
      <c r="R27" s="6" t="s">
        <v>1045</v>
      </c>
    </row>
    <row r="28" spans="2:18" ht="20.149999999999999" customHeight="1" x14ac:dyDescent="0.35">
      <c r="B28" s="62" t="s">
        <v>1092</v>
      </c>
      <c r="C28" s="145" t="s">
        <v>1160</v>
      </c>
      <c r="D28" s="145"/>
      <c r="E28" s="6" t="s">
        <v>1314</v>
      </c>
      <c r="F28" s="6" t="s">
        <v>1312</v>
      </c>
      <c r="H28" s="62" t="s">
        <v>475</v>
      </c>
      <c r="I28" s="534" t="s">
        <v>318</v>
      </c>
      <c r="J28" s="535"/>
      <c r="K28" s="6" t="s">
        <v>1007</v>
      </c>
      <c r="L28" s="6" t="s">
        <v>929</v>
      </c>
      <c r="N28" s="62" t="s">
        <v>426</v>
      </c>
      <c r="O28" s="145" t="s">
        <v>296</v>
      </c>
      <c r="P28" s="145"/>
      <c r="Q28" s="6" t="s">
        <v>1031</v>
      </c>
      <c r="R28" s="6" t="s">
        <v>1046</v>
      </c>
    </row>
    <row r="29" spans="2:18" ht="20.149999999999999" customHeight="1" x14ac:dyDescent="0.35">
      <c r="B29" s="62" t="s">
        <v>1093</v>
      </c>
      <c r="C29" s="145" t="s">
        <v>1161</v>
      </c>
      <c r="D29" s="145"/>
      <c r="E29" s="6" t="s">
        <v>1051</v>
      </c>
      <c r="F29" s="62" t="s">
        <v>1313</v>
      </c>
      <c r="H29" s="62" t="s">
        <v>433</v>
      </c>
      <c r="I29" s="534" t="s">
        <v>318</v>
      </c>
      <c r="J29" s="535"/>
      <c r="K29" s="6" t="s">
        <v>1322</v>
      </c>
      <c r="L29" s="6" t="s">
        <v>41</v>
      </c>
      <c r="N29" s="62" t="s">
        <v>483</v>
      </c>
      <c r="O29" s="537" t="s">
        <v>342</v>
      </c>
      <c r="P29" s="537"/>
      <c r="Q29" s="6" t="s">
        <v>1294</v>
      </c>
      <c r="R29" s="6" t="s">
        <v>1299</v>
      </c>
    </row>
    <row r="30" spans="2:18" ht="20.149999999999999" customHeight="1" x14ac:dyDescent="0.35">
      <c r="B30" s="62" t="s">
        <v>1094</v>
      </c>
      <c r="C30" s="537" t="s">
        <v>1162</v>
      </c>
      <c r="D30" s="537"/>
      <c r="E30" s="6" t="s">
        <v>1314</v>
      </c>
      <c r="F30" s="6" t="s">
        <v>1312</v>
      </c>
      <c r="H30" s="62" t="s">
        <v>472</v>
      </c>
      <c r="I30" s="79" t="s">
        <v>1288</v>
      </c>
      <c r="J30" s="79"/>
      <c r="K30" s="6" t="s">
        <v>1266</v>
      </c>
      <c r="L30" s="6" t="s">
        <v>1297</v>
      </c>
      <c r="N30" s="62" t="s">
        <v>484</v>
      </c>
      <c r="O30" s="537" t="s">
        <v>338</v>
      </c>
      <c r="P30" s="537"/>
      <c r="Q30" s="6" t="s">
        <v>1050</v>
      </c>
      <c r="R30" s="6" t="s">
        <v>34</v>
      </c>
    </row>
    <row r="31" spans="2:18" ht="20.149999999999999" customHeight="1" x14ac:dyDescent="0.35">
      <c r="B31" s="62"/>
      <c r="C31" s="537"/>
      <c r="D31" s="537"/>
      <c r="E31" s="6"/>
      <c r="F31" s="6"/>
      <c r="H31" s="62" t="s">
        <v>473</v>
      </c>
      <c r="I31" s="79" t="s">
        <v>1287</v>
      </c>
      <c r="J31" s="79"/>
      <c r="K31" s="6" t="s">
        <v>1298</v>
      </c>
      <c r="L31" s="6" t="s">
        <v>1055</v>
      </c>
      <c r="N31" s="62" t="s">
        <v>435</v>
      </c>
      <c r="O31" s="145" t="s">
        <v>298</v>
      </c>
      <c r="P31" s="145"/>
      <c r="Q31" s="6" t="s">
        <v>1033</v>
      </c>
      <c r="R31" s="6" t="s">
        <v>987</v>
      </c>
    </row>
    <row r="32" spans="2:18" ht="20.149999999999999" customHeight="1" x14ac:dyDescent="0.35">
      <c r="B32" s="62"/>
      <c r="C32" s="537"/>
      <c r="D32" s="537"/>
      <c r="E32" s="6"/>
      <c r="F32" s="62"/>
      <c r="H32" s="62" t="s">
        <v>474</v>
      </c>
      <c r="I32" s="79" t="s">
        <v>1053</v>
      </c>
      <c r="J32" s="79"/>
      <c r="K32" s="6" t="s">
        <v>1025</v>
      </c>
      <c r="L32" s="6" t="s">
        <v>1055</v>
      </c>
      <c r="N32" s="62" t="s">
        <v>489</v>
      </c>
      <c r="O32" s="145" t="s">
        <v>298</v>
      </c>
      <c r="P32" s="145"/>
      <c r="Q32" s="6" t="s">
        <v>1037</v>
      </c>
      <c r="R32" s="6" t="s">
        <v>1303</v>
      </c>
    </row>
    <row r="33" spans="2:18" ht="20.149999999999999" customHeight="1" x14ac:dyDescent="0.35">
      <c r="B33" s="62" t="s">
        <v>379</v>
      </c>
      <c r="C33" s="537" t="s">
        <v>603</v>
      </c>
      <c r="D33" s="537"/>
      <c r="E33" s="6" t="s">
        <v>1023</v>
      </c>
      <c r="F33" s="6" t="s">
        <v>1043</v>
      </c>
      <c r="H33" s="62" t="s">
        <v>1323</v>
      </c>
      <c r="I33" s="534" t="s">
        <v>1324</v>
      </c>
      <c r="J33" s="535"/>
      <c r="K33" s="6" t="s">
        <v>1325</v>
      </c>
      <c r="L33" s="6" t="s">
        <v>1055</v>
      </c>
      <c r="N33" s="62" t="s">
        <v>633</v>
      </c>
      <c r="O33" s="537" t="s">
        <v>322</v>
      </c>
      <c r="P33" s="537"/>
      <c r="Q33" s="6" t="s">
        <v>1032</v>
      </c>
      <c r="R33" s="6" t="s">
        <v>1302</v>
      </c>
    </row>
    <row r="34" spans="2:18" ht="20.149999999999999" customHeight="1" x14ac:dyDescent="0.35">
      <c r="B34" s="62" t="s">
        <v>381</v>
      </c>
      <c r="C34" s="537" t="s">
        <v>284</v>
      </c>
      <c r="D34" s="537"/>
      <c r="E34" s="6" t="s">
        <v>1024</v>
      </c>
      <c r="F34" s="6" t="s">
        <v>1305</v>
      </c>
      <c r="H34" s="62" t="s">
        <v>477</v>
      </c>
      <c r="I34" s="534" t="s">
        <v>331</v>
      </c>
      <c r="J34" s="535"/>
      <c r="K34" s="6" t="s">
        <v>1295</v>
      </c>
      <c r="L34" s="6" t="s">
        <v>1296</v>
      </c>
      <c r="N34" s="6" t="s">
        <v>482</v>
      </c>
      <c r="O34" s="537" t="s">
        <v>322</v>
      </c>
      <c r="P34" s="537"/>
      <c r="Q34" s="6" t="s">
        <v>1062</v>
      </c>
      <c r="R34" s="6" t="s">
        <v>1301</v>
      </c>
    </row>
    <row r="35" spans="2:18" ht="20.149999999999999" customHeight="1" x14ac:dyDescent="0.35">
      <c r="B35" s="62" t="s">
        <v>382</v>
      </c>
      <c r="C35" s="537" t="s">
        <v>285</v>
      </c>
      <c r="D35" s="537"/>
      <c r="E35" s="6" t="s">
        <v>1025</v>
      </c>
      <c r="F35" s="6" t="s">
        <v>1306</v>
      </c>
      <c r="H35" s="62" t="s">
        <v>479</v>
      </c>
      <c r="I35" s="79" t="s">
        <v>333</v>
      </c>
      <c r="J35" s="1"/>
      <c r="K35" s="6" t="s">
        <v>1068</v>
      </c>
      <c r="L35" s="6" t="s">
        <v>929</v>
      </c>
      <c r="N35" s="62" t="s">
        <v>516</v>
      </c>
      <c r="O35" s="537" t="s">
        <v>322</v>
      </c>
      <c r="P35" s="537"/>
      <c r="Q35" s="6" t="s">
        <v>1321</v>
      </c>
      <c r="R35" s="6" t="s">
        <v>1300</v>
      </c>
    </row>
    <row r="36" spans="2:18" ht="20.149999999999999" customHeight="1" x14ac:dyDescent="0.35">
      <c r="B36" s="62" t="s">
        <v>383</v>
      </c>
      <c r="C36" s="537" t="s">
        <v>1309</v>
      </c>
      <c r="D36" s="537"/>
      <c r="E36" s="6" t="s">
        <v>1035</v>
      </c>
      <c r="F36" s="6" t="s">
        <v>1310</v>
      </c>
      <c r="H36" s="62" t="s">
        <v>517</v>
      </c>
      <c r="I36" s="530" t="s">
        <v>279</v>
      </c>
      <c r="J36" s="531"/>
      <c r="K36" s="6" t="s">
        <v>1047</v>
      </c>
      <c r="L36" s="6" t="s">
        <v>34</v>
      </c>
      <c r="N36" s="62" t="s">
        <v>492</v>
      </c>
      <c r="O36" s="537" t="s">
        <v>300</v>
      </c>
      <c r="P36" s="537"/>
      <c r="Q36" s="6" t="s">
        <v>1051</v>
      </c>
      <c r="R36" s="6" t="s">
        <v>108</v>
      </c>
    </row>
    <row r="37" spans="2:18" ht="20.149999999999999" customHeight="1" x14ac:dyDescent="0.35">
      <c r="B37" s="62" t="s">
        <v>384</v>
      </c>
      <c r="C37" s="537" t="s">
        <v>353</v>
      </c>
      <c r="D37" s="537"/>
      <c r="E37" s="6" t="s">
        <v>1037</v>
      </c>
      <c r="F37" s="62" t="s">
        <v>34</v>
      </c>
      <c r="H37" s="62" t="s">
        <v>518</v>
      </c>
      <c r="I37" s="530" t="s">
        <v>323</v>
      </c>
      <c r="J37" s="531"/>
      <c r="K37" s="6" t="s">
        <v>1047</v>
      </c>
      <c r="L37" s="6" t="s">
        <v>34</v>
      </c>
      <c r="N37" s="1"/>
      <c r="O37" s="542"/>
      <c r="P37" s="542"/>
      <c r="Q37" s="1"/>
      <c r="R37" s="1"/>
    </row>
    <row r="38" spans="2:18" ht="20.149999999999999" customHeight="1" x14ac:dyDescent="0.35">
      <c r="B38" s="62" t="s">
        <v>387</v>
      </c>
      <c r="C38" s="537" t="s">
        <v>604</v>
      </c>
      <c r="D38" s="537"/>
      <c r="E38" s="6" t="s">
        <v>1024</v>
      </c>
      <c r="F38" s="6" t="s">
        <v>1307</v>
      </c>
      <c r="H38" s="62" t="s">
        <v>502</v>
      </c>
      <c r="I38" s="530" t="s">
        <v>324</v>
      </c>
      <c r="J38" s="531"/>
      <c r="K38" s="6" t="s">
        <v>1326</v>
      </c>
      <c r="L38" s="6" t="s">
        <v>34</v>
      </c>
      <c r="N38" s="223" t="s">
        <v>1364</v>
      </c>
      <c r="O38" s="542"/>
      <c r="P38" s="542"/>
      <c r="Q38" s="1"/>
      <c r="R38" s="1"/>
    </row>
    <row r="39" spans="2:18" ht="20.149999999999999" customHeight="1" x14ac:dyDescent="0.35">
      <c r="B39" s="62" t="s">
        <v>385</v>
      </c>
      <c r="C39" s="537" t="s">
        <v>607</v>
      </c>
      <c r="D39" s="537"/>
      <c r="E39" s="6" t="s">
        <v>1030</v>
      </c>
      <c r="F39" s="62" t="s">
        <v>1308</v>
      </c>
      <c r="H39" s="62" t="s">
        <v>501</v>
      </c>
      <c r="I39" s="530" t="s">
        <v>325</v>
      </c>
      <c r="J39" s="531"/>
      <c r="K39" s="6" t="s">
        <v>1049</v>
      </c>
      <c r="L39" s="6" t="s">
        <v>34</v>
      </c>
      <c r="N39" s="6">
        <v>1</v>
      </c>
      <c r="O39" s="536" t="s">
        <v>1365</v>
      </c>
      <c r="P39" s="536"/>
      <c r="Q39" s="6" t="s">
        <v>1041</v>
      </c>
      <c r="R39" s="129" t="s">
        <v>1366</v>
      </c>
    </row>
    <row r="40" spans="2:18" ht="20.149999999999999" customHeight="1" x14ac:dyDescent="0.35">
      <c r="B40" s="62"/>
      <c r="C40" s="537"/>
      <c r="D40" s="537"/>
      <c r="E40" s="6"/>
      <c r="F40" s="6"/>
      <c r="H40" s="62" t="s">
        <v>520</v>
      </c>
      <c r="I40" s="530" t="s">
        <v>326</v>
      </c>
      <c r="J40" s="531"/>
      <c r="K40" s="6" t="s">
        <v>1047</v>
      </c>
      <c r="L40" s="6" t="s">
        <v>34</v>
      </c>
      <c r="N40" s="6">
        <v>2</v>
      </c>
      <c r="O40" s="536" t="s">
        <v>1367</v>
      </c>
      <c r="P40" s="536"/>
      <c r="Q40" s="6" t="s">
        <v>1033</v>
      </c>
      <c r="R40" s="129" t="s">
        <v>1368</v>
      </c>
    </row>
    <row r="41" spans="2:18" ht="20.149999999999999" customHeight="1" x14ac:dyDescent="0.35">
      <c r="B41" s="62"/>
      <c r="C41" s="537"/>
      <c r="D41" s="537"/>
      <c r="E41" s="6"/>
      <c r="F41" s="6"/>
      <c r="H41" s="62" t="s">
        <v>521</v>
      </c>
      <c r="I41" s="530" t="s">
        <v>490</v>
      </c>
      <c r="J41" s="531"/>
      <c r="K41" s="6" t="s">
        <v>1374</v>
      </c>
      <c r="L41" s="6" t="s">
        <v>34</v>
      </c>
      <c r="N41" s="6">
        <v>3</v>
      </c>
      <c r="O41" s="536" t="s">
        <v>1369</v>
      </c>
      <c r="P41" s="536"/>
      <c r="Q41" s="6" t="s">
        <v>1040</v>
      </c>
      <c r="R41" s="129" t="s">
        <v>1368</v>
      </c>
    </row>
    <row r="42" spans="2:18" ht="20.149999999999999" customHeight="1" x14ac:dyDescent="0.35">
      <c r="B42" s="62"/>
      <c r="C42" s="537"/>
      <c r="D42" s="537"/>
      <c r="E42" s="6"/>
      <c r="F42" s="6"/>
      <c r="H42" s="62" t="s">
        <v>524</v>
      </c>
      <c r="I42" s="530" t="s">
        <v>329</v>
      </c>
      <c r="J42" s="531"/>
      <c r="K42" s="6" t="s">
        <v>1065</v>
      </c>
      <c r="L42" s="6" t="s">
        <v>34</v>
      </c>
      <c r="N42" s="6">
        <v>4</v>
      </c>
      <c r="O42" s="536" t="s">
        <v>1370</v>
      </c>
      <c r="P42" s="536"/>
      <c r="Q42" s="6" t="s">
        <v>1040</v>
      </c>
      <c r="R42" s="129" t="s">
        <v>1311</v>
      </c>
    </row>
    <row r="43" spans="2:18" ht="20.149999999999999" customHeight="1" x14ac:dyDescent="0.35">
      <c r="B43" s="62"/>
      <c r="C43" s="537"/>
      <c r="D43" s="537"/>
      <c r="E43" s="6"/>
      <c r="F43" s="6"/>
      <c r="H43" s="62" t="s">
        <v>525</v>
      </c>
      <c r="I43" s="530" t="s">
        <v>330</v>
      </c>
      <c r="J43" s="531"/>
      <c r="K43" s="6" t="s">
        <v>1049</v>
      </c>
      <c r="L43" s="6" t="s">
        <v>1066</v>
      </c>
      <c r="N43" s="6">
        <v>5</v>
      </c>
      <c r="O43" s="536" t="s">
        <v>1371</v>
      </c>
      <c r="P43" s="536"/>
      <c r="Q43" s="6" t="s">
        <v>1033</v>
      </c>
      <c r="R43" s="129" t="s">
        <v>1311</v>
      </c>
    </row>
    <row r="44" spans="2:18" ht="20.149999999999999" customHeight="1" x14ac:dyDescent="0.35">
      <c r="C44" s="208"/>
      <c r="D44" s="208"/>
      <c r="N44" s="6">
        <v>6</v>
      </c>
      <c r="O44" s="530" t="s">
        <v>1372</v>
      </c>
      <c r="P44" s="531"/>
      <c r="Q44" s="6" t="s">
        <v>1042</v>
      </c>
      <c r="R44" s="129" t="s">
        <v>1373</v>
      </c>
    </row>
    <row r="45" spans="2:18" ht="20.149999999999999" customHeight="1" x14ac:dyDescent="0.35">
      <c r="C45" s="208"/>
      <c r="D45" s="208"/>
    </row>
    <row r="46" spans="2:18" ht="20.149999999999999" customHeight="1" x14ac:dyDescent="0.35">
      <c r="C46" s="208"/>
      <c r="D46" s="208"/>
    </row>
    <row r="47" spans="2:18" ht="20.149999999999999" customHeight="1" x14ac:dyDescent="0.35">
      <c r="C47" s="208"/>
      <c r="D47" s="208"/>
    </row>
    <row r="48" spans="2:18" ht="20.149999999999999" customHeight="1" x14ac:dyDescent="0.35">
      <c r="C48" s="208"/>
      <c r="D48" s="208"/>
    </row>
    <row r="49" spans="3:10" ht="20.149999999999999" customHeight="1" x14ac:dyDescent="0.35">
      <c r="C49" s="208"/>
      <c r="D49" s="208"/>
    </row>
    <row r="50" spans="3:10" ht="20.149999999999999" customHeight="1" x14ac:dyDescent="0.35">
      <c r="C50" s="208"/>
      <c r="D50" s="208"/>
    </row>
    <row r="51" spans="3:10" ht="20.149999999999999" customHeight="1" x14ac:dyDescent="0.35">
      <c r="C51" s="208"/>
      <c r="D51" s="208"/>
    </row>
    <row r="52" spans="3:10" ht="20.149999999999999" customHeight="1" x14ac:dyDescent="0.35">
      <c r="C52" s="208"/>
      <c r="D52" s="208"/>
    </row>
    <row r="53" spans="3:10" ht="20.149999999999999" customHeight="1" x14ac:dyDescent="0.35">
      <c r="C53" s="208"/>
      <c r="D53" s="208"/>
    </row>
    <row r="54" spans="3:10" x14ac:dyDescent="0.35">
      <c r="C54" s="208"/>
      <c r="D54" s="208"/>
    </row>
    <row r="55" spans="3:10" ht="15.5" x14ac:dyDescent="0.35">
      <c r="C55" s="208"/>
      <c r="D55" s="208"/>
      <c r="H55" s="206"/>
      <c r="I55" s="207"/>
    </row>
    <row r="56" spans="3:10" x14ac:dyDescent="0.35">
      <c r="C56" s="208"/>
      <c r="D56" s="208"/>
    </row>
    <row r="57" spans="3:10" ht="15.5" x14ac:dyDescent="0.35">
      <c r="C57" s="208"/>
      <c r="D57" s="208"/>
      <c r="H57" s="206"/>
      <c r="I57" s="207"/>
    </row>
    <row r="58" spans="3:10" ht="15.5" x14ac:dyDescent="0.35">
      <c r="C58" s="208"/>
      <c r="D58" s="208"/>
      <c r="H58" s="206"/>
      <c r="I58" s="207"/>
    </row>
    <row r="59" spans="3:10" ht="15.5" x14ac:dyDescent="0.35">
      <c r="C59" s="208"/>
      <c r="D59" s="208"/>
      <c r="H59" s="206"/>
      <c r="I59" s="539"/>
      <c r="J59" s="539"/>
    </row>
    <row r="60" spans="3:10" ht="15.5" x14ac:dyDescent="0.35">
      <c r="H60" s="206"/>
      <c r="I60" s="539"/>
      <c r="J60" s="539"/>
    </row>
    <row r="61" spans="3:10" ht="15.5" x14ac:dyDescent="0.35">
      <c r="H61" s="206"/>
      <c r="I61" s="207"/>
      <c r="J61" s="209"/>
    </row>
    <row r="62" spans="3:10" ht="15.5" x14ac:dyDescent="0.35">
      <c r="H62" s="21"/>
      <c r="I62" s="207"/>
      <c r="J62" s="209"/>
    </row>
    <row r="63" spans="3:10" ht="15.5" x14ac:dyDescent="0.35">
      <c r="H63" s="206"/>
      <c r="I63" s="207"/>
      <c r="J63" s="209"/>
    </row>
    <row r="64" spans="3:10" ht="15.5" x14ac:dyDescent="0.35">
      <c r="H64" s="206"/>
      <c r="I64" s="207"/>
      <c r="J64" s="207"/>
    </row>
    <row r="65" spans="10:12" x14ac:dyDescent="0.35">
      <c r="J65" s="21"/>
      <c r="L65"/>
    </row>
    <row r="66" spans="10:12" x14ac:dyDescent="0.35">
      <c r="J66" s="21"/>
      <c r="L66"/>
    </row>
    <row r="67" spans="10:12" x14ac:dyDescent="0.35">
      <c r="J67" s="21"/>
      <c r="L67"/>
    </row>
    <row r="68" spans="10:12" x14ac:dyDescent="0.35">
      <c r="J68" s="21"/>
      <c r="L68"/>
    </row>
    <row r="69" spans="10:12" x14ac:dyDescent="0.35">
      <c r="J69" s="21"/>
      <c r="L69"/>
    </row>
    <row r="70" spans="10:12" x14ac:dyDescent="0.35">
      <c r="J70" s="21"/>
      <c r="L70"/>
    </row>
    <row r="71" spans="10:12" x14ac:dyDescent="0.35">
      <c r="J71" s="21"/>
      <c r="L71"/>
    </row>
    <row r="72" spans="10:12" x14ac:dyDescent="0.35">
      <c r="J72" s="21"/>
      <c r="L72"/>
    </row>
    <row r="73" spans="10:12" x14ac:dyDescent="0.35">
      <c r="J73" s="21"/>
      <c r="L73"/>
    </row>
    <row r="74" spans="10:12" x14ac:dyDescent="0.35">
      <c r="J74" s="21"/>
      <c r="L74"/>
    </row>
  </sheetData>
  <mergeCells count="95">
    <mergeCell ref="O35:P35"/>
    <mergeCell ref="O36:P36"/>
    <mergeCell ref="O37:P37"/>
    <mergeCell ref="O38:P38"/>
    <mergeCell ref="O39:P39"/>
    <mergeCell ref="I4:J4"/>
    <mergeCell ref="I5:J5"/>
    <mergeCell ref="C24:D24"/>
    <mergeCell ref="C26:D26"/>
    <mergeCell ref="C27:D27"/>
    <mergeCell ref="C14:D14"/>
    <mergeCell ref="C15:D15"/>
    <mergeCell ref="C17:D17"/>
    <mergeCell ref="C18:D18"/>
    <mergeCell ref="C21:D21"/>
    <mergeCell ref="C23:D23"/>
    <mergeCell ref="I6:J6"/>
    <mergeCell ref="I13:J13"/>
    <mergeCell ref="I18:J18"/>
    <mergeCell ref="C22:D22"/>
    <mergeCell ref="C25:D25"/>
    <mergeCell ref="O33:P33"/>
    <mergeCell ref="O34:P34"/>
    <mergeCell ref="C4:D4"/>
    <mergeCell ref="C7:D7"/>
    <mergeCell ref="C8:D8"/>
    <mergeCell ref="C9:D9"/>
    <mergeCell ref="C10:D10"/>
    <mergeCell ref="C5:D5"/>
    <mergeCell ref="C6:D6"/>
    <mergeCell ref="I10:J10"/>
    <mergeCell ref="I11:J11"/>
    <mergeCell ref="I12:J12"/>
    <mergeCell ref="I16:J16"/>
    <mergeCell ref="I9:J9"/>
    <mergeCell ref="I17:J17"/>
    <mergeCell ref="I27:J27"/>
    <mergeCell ref="O24:P24"/>
    <mergeCell ref="O25:P25"/>
    <mergeCell ref="O29:P29"/>
    <mergeCell ref="O30:P30"/>
    <mergeCell ref="I7:J7"/>
    <mergeCell ref="I29:J29"/>
    <mergeCell ref="I20:J20"/>
    <mergeCell ref="I24:J24"/>
    <mergeCell ref="I25:J25"/>
    <mergeCell ref="I26:J26"/>
    <mergeCell ref="I28:J28"/>
    <mergeCell ref="C35:D35"/>
    <mergeCell ref="C34:D34"/>
    <mergeCell ref="I34:J34"/>
    <mergeCell ref="I59:J59"/>
    <mergeCell ref="I60:J60"/>
    <mergeCell ref="I38:J38"/>
    <mergeCell ref="I36:J36"/>
    <mergeCell ref="I37:J37"/>
    <mergeCell ref="I39:J39"/>
    <mergeCell ref="I40:J40"/>
    <mergeCell ref="C31:D31"/>
    <mergeCell ref="C30:D30"/>
    <mergeCell ref="I33:J33"/>
    <mergeCell ref="C33:D33"/>
    <mergeCell ref="C32:D32"/>
    <mergeCell ref="O40:P40"/>
    <mergeCell ref="O41:P41"/>
    <mergeCell ref="O4:P4"/>
    <mergeCell ref="C36:D36"/>
    <mergeCell ref="C37:D37"/>
    <mergeCell ref="C38:D38"/>
    <mergeCell ref="C39:D39"/>
    <mergeCell ref="I8:J8"/>
    <mergeCell ref="O7:P7"/>
    <mergeCell ref="O8:P8"/>
    <mergeCell ref="O12:P12"/>
    <mergeCell ref="O13:P13"/>
    <mergeCell ref="O15:P15"/>
    <mergeCell ref="O14:P14"/>
    <mergeCell ref="O22:P22"/>
    <mergeCell ref="O23:P23"/>
    <mergeCell ref="O44:P44"/>
    <mergeCell ref="C11:D11"/>
    <mergeCell ref="C12:D12"/>
    <mergeCell ref="C13:D13"/>
    <mergeCell ref="C16:D16"/>
    <mergeCell ref="I19:J19"/>
    <mergeCell ref="I14:J14"/>
    <mergeCell ref="O42:P42"/>
    <mergeCell ref="O43:P43"/>
    <mergeCell ref="C40:D40"/>
    <mergeCell ref="C41:D41"/>
    <mergeCell ref="C42:D42"/>
    <mergeCell ref="C43:D43"/>
    <mergeCell ref="I41:J41"/>
    <mergeCell ref="I42:J42"/>
    <mergeCell ref="I43:J43"/>
  </mergeCells>
  <printOptions horizontalCentered="1" verticalCentered="1"/>
  <pageMargins left="0.47244094488188981" right="0" top="0.74803149606299213" bottom="0" header="0.31496062992125984" footer="0.31496062992125984"/>
  <pageSetup paperSize="9" scale="59" orientation="landscape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12CA06-69CC-44AC-B582-A6EBD284F7B9}">
  <sheetPr codeName="Sheet189">
    <tabColor rgb="FF92D050"/>
    <pageSetUpPr fitToPage="1"/>
  </sheetPr>
  <dimension ref="B4:O47"/>
  <sheetViews>
    <sheetView workbookViewId="0">
      <selection activeCell="K36" sqref="K36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2.54296875" style="24" customWidth="1"/>
    <col min="6" max="6" width="14.54296875" style="24" customWidth="1"/>
    <col min="7" max="7" width="1.54296875" style="24" customWidth="1"/>
    <col min="8" max="8" width="17.81640625" style="24" customWidth="1"/>
    <col min="9" max="12" width="12.54296875" style="24" customWidth="1"/>
    <col min="13" max="16384" width="12.54296875" style="24"/>
  </cols>
  <sheetData>
    <row r="4" spans="2:15" x14ac:dyDescent="0.45">
      <c r="B4" s="23"/>
    </row>
    <row r="5" spans="2:15" ht="8.5" customHeight="1" thickBot="1" x14ac:dyDescent="0.5">
      <c r="B5" s="23"/>
    </row>
    <row r="6" spans="2:15" ht="18" customHeight="1" thickTop="1" thickBot="1" x14ac:dyDescent="0.5">
      <c r="B6" s="25" t="s">
        <v>9</v>
      </c>
      <c r="C6" s="25"/>
      <c r="D6" s="26"/>
      <c r="E6" s="26"/>
      <c r="F6" s="27" t="s">
        <v>10</v>
      </c>
      <c r="G6" s="28"/>
      <c r="H6" s="28" t="s">
        <v>157</v>
      </c>
      <c r="J6" s="29" t="s">
        <v>29</v>
      </c>
      <c r="K6" s="452">
        <v>201910001</v>
      </c>
      <c r="L6" s="453"/>
    </row>
    <row r="7" spans="2:15" ht="20.149999999999999" customHeight="1" x14ac:dyDescent="0.45">
      <c r="B7" s="454" t="s">
        <v>966</v>
      </c>
      <c r="C7" s="455"/>
      <c r="D7" s="456"/>
      <c r="E7" s="30"/>
      <c r="F7" s="457" t="s">
        <v>967</v>
      </c>
      <c r="G7" s="458"/>
      <c r="H7" s="459"/>
      <c r="J7" s="31" t="s">
        <v>11</v>
      </c>
      <c r="K7" s="471" t="s">
        <v>965</v>
      </c>
      <c r="L7" s="472"/>
    </row>
    <row r="8" spans="2:15" ht="20.149999999999999" customHeight="1" x14ac:dyDescent="0.45">
      <c r="B8" s="468"/>
      <c r="C8" s="469"/>
      <c r="D8" s="470"/>
      <c r="E8" s="30"/>
      <c r="F8" s="460"/>
      <c r="G8" s="461"/>
      <c r="H8" s="462"/>
      <c r="J8" s="31" t="s">
        <v>171</v>
      </c>
      <c r="K8" s="471" t="s">
        <v>36</v>
      </c>
      <c r="L8" s="472"/>
    </row>
    <row r="9" spans="2:15" ht="20.149999999999999" customHeight="1" x14ac:dyDescent="0.45">
      <c r="B9" s="468"/>
      <c r="C9" s="469"/>
      <c r="D9" s="470"/>
      <c r="E9" s="30"/>
      <c r="F9" s="460"/>
      <c r="G9" s="461"/>
      <c r="H9" s="462"/>
      <c r="J9" s="31" t="s">
        <v>12</v>
      </c>
      <c r="K9" s="471" t="s">
        <v>14</v>
      </c>
      <c r="L9" s="472"/>
    </row>
    <row r="10" spans="2:15" ht="20.149999999999999" customHeight="1" x14ac:dyDescent="0.45">
      <c r="B10" s="468"/>
      <c r="C10" s="469"/>
      <c r="D10" s="470"/>
      <c r="E10" s="30"/>
      <c r="F10" s="460"/>
      <c r="G10" s="461"/>
      <c r="H10" s="462"/>
      <c r="J10" s="31" t="s">
        <v>30</v>
      </c>
      <c r="K10" s="471" t="s">
        <v>964</v>
      </c>
      <c r="L10" s="472"/>
    </row>
    <row r="11" spans="2:15" ht="18" customHeight="1" thickBot="1" x14ac:dyDescent="0.5">
      <c r="B11" s="55"/>
      <c r="C11" s="56"/>
      <c r="D11" s="57"/>
      <c r="E11" s="26"/>
      <c r="F11" s="463"/>
      <c r="G11" s="464"/>
      <c r="H11" s="465"/>
      <c r="J11" s="32" t="s">
        <v>13</v>
      </c>
      <c r="K11" s="476" t="s">
        <v>36</v>
      </c>
      <c r="L11" s="477"/>
    </row>
    <row r="12" spans="2:15" ht="19" thickBot="1" x14ac:dyDescent="0.5"/>
    <row r="13" spans="2:15" ht="30" customHeight="1" thickBot="1" x14ac:dyDescent="0.5">
      <c r="B13" s="8" t="s">
        <v>2</v>
      </c>
      <c r="C13" s="9" t="s">
        <v>3</v>
      </c>
      <c r="D13" s="478" t="s">
        <v>4</v>
      </c>
      <c r="E13" s="483"/>
      <c r="F13" s="483"/>
      <c r="G13" s="627"/>
      <c r="H13" s="20" t="s">
        <v>355</v>
      </c>
      <c r="I13" s="8" t="s">
        <v>60</v>
      </c>
      <c r="J13" s="19" t="s">
        <v>5</v>
      </c>
      <c r="K13" s="9" t="s">
        <v>6</v>
      </c>
      <c r="L13" s="10" t="s">
        <v>963</v>
      </c>
      <c r="M13" s="33"/>
      <c r="N13" s="33"/>
      <c r="O13" s="33"/>
    </row>
    <row r="14" spans="2:15" ht="20.149999999999999" customHeight="1" x14ac:dyDescent="0.45">
      <c r="B14" s="34"/>
      <c r="C14" s="22" t="s">
        <v>110</v>
      </c>
      <c r="D14" s="508" t="s">
        <v>960</v>
      </c>
      <c r="E14" s="508"/>
      <c r="F14" s="508"/>
      <c r="G14" s="22"/>
      <c r="H14" s="22" t="s">
        <v>958</v>
      </c>
      <c r="I14" s="22" t="s">
        <v>959</v>
      </c>
      <c r="J14" s="22">
        <v>200</v>
      </c>
      <c r="K14" s="35">
        <v>3.5</v>
      </c>
      <c r="L14" s="36">
        <f>J14*K14</f>
        <v>700</v>
      </c>
    </row>
    <row r="15" spans="2:15" ht="20.149999999999999" customHeight="1" x14ac:dyDescent="0.45">
      <c r="B15" s="34"/>
      <c r="C15" s="22" t="s">
        <v>177</v>
      </c>
      <c r="D15" s="508" t="s">
        <v>961</v>
      </c>
      <c r="E15" s="508"/>
      <c r="F15" s="508"/>
      <c r="G15" s="22" t="e">
        <f>VLOOKUP(B15,'Sales Master'!A$3:D$647,4,0)</f>
        <v>#N/A</v>
      </c>
      <c r="H15" s="22" t="s">
        <v>962</v>
      </c>
      <c r="I15" s="22" t="s">
        <v>959</v>
      </c>
      <c r="J15" s="22">
        <v>4684</v>
      </c>
      <c r="K15" s="35">
        <v>1.9</v>
      </c>
      <c r="L15" s="36">
        <f>J15*K15</f>
        <v>8899.6</v>
      </c>
    </row>
    <row r="16" spans="2:15" ht="20.149999999999999" customHeight="1" x14ac:dyDescent="0.45">
      <c r="B16" s="34"/>
      <c r="C16" s="22"/>
      <c r="D16" s="508"/>
      <c r="E16" s="508"/>
      <c r="F16" s="508"/>
      <c r="G16" s="22"/>
      <c r="H16" s="22"/>
      <c r="I16" s="22"/>
      <c r="J16" s="22"/>
      <c r="K16" s="35"/>
      <c r="L16" s="36"/>
    </row>
    <row r="17" spans="2:12" ht="20.149999999999999" customHeight="1" x14ac:dyDescent="0.45">
      <c r="B17" s="34"/>
      <c r="C17" s="22"/>
      <c r="D17" s="508"/>
      <c r="E17" s="508"/>
      <c r="F17" s="508"/>
      <c r="G17" s="22"/>
      <c r="H17" s="22"/>
      <c r="I17" s="22"/>
      <c r="J17" s="22"/>
      <c r="K17" s="35"/>
      <c r="L17" s="36"/>
    </row>
    <row r="18" spans="2:12" ht="20.149999999999999" customHeight="1" x14ac:dyDescent="0.45">
      <c r="B18" s="34"/>
      <c r="C18" s="22"/>
      <c r="D18" s="508"/>
      <c r="E18" s="508"/>
      <c r="F18" s="508"/>
      <c r="G18" s="22"/>
      <c r="H18" s="22"/>
      <c r="I18" s="22"/>
      <c r="J18" s="22"/>
      <c r="K18" s="35"/>
      <c r="L18" s="36"/>
    </row>
    <row r="19" spans="2:12" ht="20.149999999999999" customHeight="1" x14ac:dyDescent="0.45">
      <c r="B19" s="34"/>
      <c r="C19" s="22"/>
      <c r="D19" s="508"/>
      <c r="E19" s="508"/>
      <c r="F19" s="508"/>
      <c r="G19" s="22"/>
      <c r="H19" s="22"/>
      <c r="I19" s="22"/>
      <c r="J19" s="22"/>
      <c r="K19" s="35"/>
      <c r="L19" s="36"/>
    </row>
    <row r="20" spans="2:12" ht="20.149999999999999" customHeight="1" x14ac:dyDescent="0.45">
      <c r="B20" s="34"/>
      <c r="C20" s="22"/>
      <c r="D20" s="508"/>
      <c r="E20" s="508"/>
      <c r="F20" s="508"/>
      <c r="G20" s="22"/>
      <c r="H20" s="22"/>
      <c r="I20" s="22"/>
      <c r="J20" s="22"/>
      <c r="K20" s="35"/>
      <c r="L20" s="36"/>
    </row>
    <row r="21" spans="2:12" ht="20.149999999999999" customHeight="1" x14ac:dyDescent="0.45">
      <c r="B21" s="34"/>
      <c r="C21" s="22"/>
      <c r="D21" s="508"/>
      <c r="E21" s="508"/>
      <c r="F21" s="508"/>
      <c r="G21" s="22"/>
      <c r="H21" s="22"/>
      <c r="I21" s="22"/>
      <c r="J21" s="22"/>
      <c r="K21" s="35"/>
      <c r="L21" s="36"/>
    </row>
    <row r="22" spans="2:12" ht="20.149999999999999" customHeight="1" x14ac:dyDescent="0.45">
      <c r="B22" s="34"/>
      <c r="C22" s="22"/>
      <c r="D22" s="508"/>
      <c r="E22" s="508"/>
      <c r="F22" s="508"/>
      <c r="G22" s="22"/>
      <c r="H22" s="22"/>
      <c r="I22" s="22"/>
      <c r="J22" s="22"/>
      <c r="K22" s="35"/>
      <c r="L22" s="36"/>
    </row>
    <row r="23" spans="2:12" ht="20.149999999999999" customHeight="1" x14ac:dyDescent="0.45">
      <c r="B23" s="34"/>
      <c r="C23" s="22"/>
      <c r="D23" s="508"/>
      <c r="E23" s="508"/>
      <c r="F23" s="508"/>
      <c r="G23" s="22"/>
      <c r="H23" s="22"/>
      <c r="I23" s="22"/>
      <c r="J23" s="22"/>
      <c r="K23" s="35"/>
      <c r="L23" s="36"/>
    </row>
    <row r="24" spans="2:12" ht="20.149999999999999" customHeight="1" x14ac:dyDescent="0.45">
      <c r="B24" s="34"/>
      <c r="C24" s="22"/>
      <c r="D24" s="508"/>
      <c r="E24" s="508"/>
      <c r="F24" s="508"/>
      <c r="G24" s="22"/>
      <c r="H24" s="22"/>
      <c r="I24" s="22"/>
      <c r="J24" s="22"/>
      <c r="K24" s="35"/>
      <c r="L24" s="36"/>
    </row>
    <row r="25" spans="2:12" ht="20.149999999999999" customHeight="1" x14ac:dyDescent="0.45">
      <c r="B25" s="34"/>
      <c r="C25" s="22"/>
      <c r="D25" s="508"/>
      <c r="E25" s="508"/>
      <c r="F25" s="508"/>
      <c r="G25" s="22"/>
      <c r="H25" s="22"/>
      <c r="I25" s="22"/>
      <c r="J25" s="22"/>
      <c r="K25" s="35"/>
      <c r="L25" s="36"/>
    </row>
    <row r="26" spans="2:12" ht="20.149999999999999" customHeight="1" x14ac:dyDescent="0.45">
      <c r="B26" s="34"/>
      <c r="C26" s="22"/>
      <c r="D26" s="508"/>
      <c r="E26" s="508"/>
      <c r="F26" s="508"/>
      <c r="G26" s="22"/>
      <c r="H26" s="22"/>
      <c r="I26" s="22"/>
      <c r="J26" s="22"/>
      <c r="K26" s="35"/>
      <c r="L26" s="36"/>
    </row>
    <row r="27" spans="2:12" ht="20.149999999999999" customHeight="1" x14ac:dyDescent="0.45">
      <c r="B27" s="34"/>
      <c r="C27" s="22"/>
      <c r="D27" s="508"/>
      <c r="E27" s="508"/>
      <c r="F27" s="508"/>
      <c r="G27" s="22"/>
      <c r="H27" s="22"/>
      <c r="I27" s="22"/>
      <c r="J27" s="22"/>
      <c r="K27" s="35"/>
      <c r="L27" s="36"/>
    </row>
    <row r="28" spans="2:12" ht="20.149999999999999" customHeight="1" x14ac:dyDescent="0.45">
      <c r="B28" s="34"/>
      <c r="C28" s="22"/>
      <c r="D28" s="508"/>
      <c r="E28" s="508"/>
      <c r="F28" s="508"/>
      <c r="G28" s="22"/>
      <c r="H28" s="22"/>
      <c r="I28" s="22"/>
      <c r="J28" s="22"/>
      <c r="K28" s="35"/>
      <c r="L28" s="36"/>
    </row>
    <row r="29" spans="2:12" ht="20.149999999999999" customHeight="1" x14ac:dyDescent="0.45">
      <c r="B29" s="34"/>
      <c r="C29" s="22"/>
      <c r="D29" s="508"/>
      <c r="E29" s="508"/>
      <c r="F29" s="508"/>
      <c r="G29" s="22"/>
      <c r="H29" s="22"/>
      <c r="I29" s="22"/>
      <c r="J29" s="22"/>
      <c r="K29" s="35"/>
      <c r="L29" s="36"/>
    </row>
    <row r="30" spans="2:12" ht="20.149999999999999" customHeight="1" x14ac:dyDescent="0.45">
      <c r="B30" s="34"/>
      <c r="C30" s="22"/>
      <c r="D30" s="508"/>
      <c r="E30" s="508"/>
      <c r="F30" s="508"/>
      <c r="G30" s="22"/>
      <c r="H30" s="22"/>
      <c r="I30" s="22"/>
      <c r="J30" s="22"/>
      <c r="K30" s="35"/>
      <c r="L30" s="36"/>
    </row>
    <row r="31" spans="2:12" ht="20.149999999999999" customHeight="1" x14ac:dyDescent="0.45">
      <c r="B31" s="34"/>
      <c r="C31" s="22"/>
      <c r="D31" s="508"/>
      <c r="E31" s="508"/>
      <c r="F31" s="508"/>
      <c r="G31" s="22"/>
      <c r="H31" s="22"/>
      <c r="I31" s="22"/>
      <c r="J31" s="22"/>
      <c r="K31" s="35"/>
      <c r="L31" s="36"/>
    </row>
    <row r="32" spans="2:12" ht="20.149999999999999" customHeight="1" x14ac:dyDescent="0.45">
      <c r="B32" s="34"/>
      <c r="C32" s="22"/>
      <c r="D32" s="508"/>
      <c r="E32" s="508"/>
      <c r="F32" s="508"/>
      <c r="G32" s="22"/>
      <c r="H32" s="22"/>
      <c r="I32" s="22"/>
      <c r="J32" s="22"/>
      <c r="K32" s="35"/>
      <c r="L32" s="36"/>
    </row>
    <row r="33" spans="2:12" ht="20.149999999999999" customHeight="1" thickBot="1" x14ac:dyDescent="0.5">
      <c r="B33" s="37"/>
      <c r="C33" s="38"/>
      <c r="D33" s="509"/>
      <c r="E33" s="509"/>
      <c r="F33" s="509"/>
      <c r="G33" s="38"/>
      <c r="H33" s="38"/>
      <c r="I33" s="38"/>
      <c r="J33" s="38"/>
      <c r="K33" s="39"/>
      <c r="L33" s="40"/>
    </row>
    <row r="34" spans="2:12" ht="20.149999999999999" customHeight="1" thickBot="1" x14ac:dyDescent="0.5">
      <c r="B34" s="41"/>
      <c r="L34" s="42"/>
    </row>
    <row r="35" spans="2:12" ht="20.149999999999999" customHeight="1" x14ac:dyDescent="0.45">
      <c r="B35" s="11" t="s">
        <v>18</v>
      </c>
      <c r="C35" s="7"/>
      <c r="D35" s="7"/>
      <c r="E35" s="7"/>
      <c r="F35" s="7"/>
      <c r="G35" s="7"/>
      <c r="H35" s="7"/>
      <c r="I35" s="7"/>
      <c r="J35" s="510" t="s">
        <v>15</v>
      </c>
      <c r="K35" s="511"/>
      <c r="L35" s="43">
        <f>SUM(L14:L34)</f>
        <v>9599.6</v>
      </c>
    </row>
    <row r="36" spans="2:12" ht="20.149999999999999" customHeight="1" x14ac:dyDescent="0.45">
      <c r="B36" s="11" t="s">
        <v>19</v>
      </c>
      <c r="C36" s="7"/>
      <c r="D36" s="7"/>
      <c r="E36" s="7"/>
      <c r="F36" s="7"/>
      <c r="G36" s="7"/>
      <c r="H36" s="7"/>
      <c r="I36" s="7"/>
      <c r="J36" s="44" t="s">
        <v>17</v>
      </c>
      <c r="K36" s="45"/>
      <c r="L36" s="46">
        <v>0</v>
      </c>
    </row>
    <row r="37" spans="2:12" ht="20.149999999999999" customHeight="1" x14ac:dyDescent="0.45">
      <c r="B37" s="11" t="s">
        <v>20</v>
      </c>
      <c r="C37" s="7"/>
      <c r="D37" s="7"/>
      <c r="E37" s="7"/>
      <c r="F37" s="7"/>
      <c r="G37" s="7"/>
      <c r="H37" s="7"/>
      <c r="I37" s="7"/>
      <c r="J37" s="486" t="s">
        <v>21</v>
      </c>
      <c r="K37" s="487"/>
      <c r="L37" s="46">
        <f>SUM(L35:L36)</f>
        <v>9599.6</v>
      </c>
    </row>
    <row r="38" spans="2:12" ht="20.149999999999999" customHeight="1" x14ac:dyDescent="0.45">
      <c r="B38" s="11" t="s">
        <v>24</v>
      </c>
      <c r="C38" s="7"/>
      <c r="D38" s="7"/>
      <c r="E38" s="7"/>
      <c r="F38" s="7"/>
      <c r="G38" s="7"/>
      <c r="H38" s="7"/>
      <c r="I38" s="7"/>
      <c r="J38" s="486" t="s">
        <v>22</v>
      </c>
      <c r="K38" s="487"/>
      <c r="L38" s="47">
        <v>0</v>
      </c>
    </row>
    <row r="39" spans="2:12" ht="20.149999999999999" customHeight="1" thickBot="1" x14ac:dyDescent="0.5">
      <c r="B39" s="11" t="s">
        <v>25</v>
      </c>
      <c r="C39" s="7"/>
      <c r="D39" s="7"/>
      <c r="E39" s="7"/>
      <c r="F39" s="7"/>
      <c r="G39" s="7"/>
      <c r="H39" s="7"/>
      <c r="I39" s="7"/>
      <c r="J39" s="488" t="s">
        <v>23</v>
      </c>
      <c r="K39" s="489"/>
      <c r="L39" s="48">
        <f>L37-L38</f>
        <v>9599.6</v>
      </c>
    </row>
    <row r="40" spans="2:12" ht="20.149999999999999" customHeight="1" x14ac:dyDescent="0.45">
      <c r="B40" s="11" t="s">
        <v>26</v>
      </c>
      <c r="C40" s="7"/>
      <c r="D40" s="7"/>
      <c r="E40" s="7"/>
      <c r="F40" s="7"/>
      <c r="G40" s="7"/>
      <c r="H40" s="7"/>
      <c r="I40" s="7"/>
      <c r="L40" s="42"/>
    </row>
    <row r="41" spans="2:12" ht="20.149999999999999" customHeight="1" x14ac:dyDescent="0.45">
      <c r="B41" s="41"/>
      <c r="L41" s="42"/>
    </row>
    <row r="42" spans="2:12" ht="20.149999999999999" customHeight="1" x14ac:dyDescent="0.45">
      <c r="B42" s="41"/>
      <c r="L42" s="42"/>
    </row>
    <row r="43" spans="2:12" ht="20.149999999999999" customHeight="1" x14ac:dyDescent="0.45">
      <c r="B43" s="41"/>
      <c r="L43" s="42"/>
    </row>
    <row r="44" spans="2:12" ht="20.149999999999999" customHeight="1" x14ac:dyDescent="0.45">
      <c r="B44" s="41"/>
      <c r="L44" s="42"/>
    </row>
    <row r="45" spans="2:12" ht="20.149999999999999" customHeight="1" x14ac:dyDescent="0.45">
      <c r="B45" s="49"/>
      <c r="C45" s="50"/>
      <c r="D45" s="50"/>
      <c r="J45" s="50"/>
      <c r="K45" s="50"/>
      <c r="L45" s="51"/>
    </row>
    <row r="46" spans="2:12" ht="20.149999999999999" customHeight="1" x14ac:dyDescent="0.45">
      <c r="B46" s="41" t="s">
        <v>27</v>
      </c>
      <c r="J46" s="24" t="s">
        <v>28</v>
      </c>
      <c r="L46" s="42"/>
    </row>
    <row r="47" spans="2:12" ht="19" thickBot="1" x14ac:dyDescent="0.5">
      <c r="B47" s="52"/>
      <c r="C47" s="53"/>
      <c r="D47" s="53"/>
      <c r="E47" s="53"/>
      <c r="F47" s="53"/>
      <c r="G47" s="53"/>
      <c r="H47" s="53"/>
      <c r="I47" s="53"/>
      <c r="J47" s="53"/>
      <c r="K47" s="53"/>
      <c r="L47" s="54"/>
    </row>
  </sheetData>
  <mergeCells count="36">
    <mergeCell ref="K6:L6"/>
    <mergeCell ref="B7:D7"/>
    <mergeCell ref="K7:L7"/>
    <mergeCell ref="B8:D8"/>
    <mergeCell ref="K8:L8"/>
    <mergeCell ref="F7:H11"/>
    <mergeCell ref="K9:L9"/>
    <mergeCell ref="B10:D10"/>
    <mergeCell ref="K10:L10"/>
    <mergeCell ref="K11:L11"/>
    <mergeCell ref="D23:F23"/>
    <mergeCell ref="D24:F24"/>
    <mergeCell ref="D25:F25"/>
    <mergeCell ref="B9:D9"/>
    <mergeCell ref="D17:F17"/>
    <mergeCell ref="D18:F18"/>
    <mergeCell ref="D19:F19"/>
    <mergeCell ref="D20:F20"/>
    <mergeCell ref="D21:F21"/>
    <mergeCell ref="D13:G13"/>
    <mergeCell ref="J39:K39"/>
    <mergeCell ref="D14:F14"/>
    <mergeCell ref="D15:F15"/>
    <mergeCell ref="D16:F16"/>
    <mergeCell ref="J35:K35"/>
    <mergeCell ref="D29:F29"/>
    <mergeCell ref="D30:F30"/>
    <mergeCell ref="D31:F31"/>
    <mergeCell ref="D32:F32"/>
    <mergeCell ref="D33:F33"/>
    <mergeCell ref="D26:F26"/>
    <mergeCell ref="D27:F27"/>
    <mergeCell ref="J37:K37"/>
    <mergeCell ref="J38:K38"/>
    <mergeCell ref="D28:F28"/>
    <mergeCell ref="D22:F22"/>
  </mergeCells>
  <printOptions horizontalCentered="1" verticalCentered="1"/>
  <pageMargins left="0.70866141732283505" right="0.70866141732283505" top="2.25" bottom="0.74803149606299202" header="0.31496062992126" footer="0.31496062992126"/>
  <pageSetup scale="50" orientation="portrait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85DBA-2F51-40C0-A82E-65BC6BB16850}">
  <sheetPr codeName="Sheet9">
    <pageSetUpPr fitToPage="1"/>
  </sheetPr>
  <dimension ref="B2:F78"/>
  <sheetViews>
    <sheetView workbookViewId="0">
      <selection activeCell="J22" sqref="J22"/>
    </sheetView>
  </sheetViews>
  <sheetFormatPr defaultRowHeight="14.5" x14ac:dyDescent="0.35"/>
  <cols>
    <col min="3" max="3" width="18.54296875" customWidth="1"/>
    <col min="4" max="4" width="26" customWidth="1"/>
    <col min="5" max="5" width="8.7265625" style="21"/>
    <col min="6" max="6" width="20.453125" style="21" customWidth="1"/>
    <col min="7" max="7" width="3.54296875" customWidth="1"/>
  </cols>
  <sheetData>
    <row r="2" spans="2:6" ht="30" customHeight="1" x14ac:dyDescent="0.8">
      <c r="B2" s="205" t="s">
        <v>1304</v>
      </c>
      <c r="C2" s="15"/>
    </row>
    <row r="4" spans="2:6" ht="20.149999999999999" customHeight="1" x14ac:dyDescent="0.35">
      <c r="B4" s="62" t="s">
        <v>444</v>
      </c>
      <c r="C4" s="492" t="s">
        <v>676</v>
      </c>
      <c r="D4" s="492"/>
      <c r="E4" s="6" t="s">
        <v>1057</v>
      </c>
      <c r="F4" s="6" t="s">
        <v>1069</v>
      </c>
    </row>
    <row r="5" spans="2:6" ht="20.149999999999999" customHeight="1" x14ac:dyDescent="0.35">
      <c r="B5" s="62" t="s">
        <v>445</v>
      </c>
      <c r="C5" s="492" t="s">
        <v>676</v>
      </c>
      <c r="D5" s="492"/>
      <c r="E5" s="6" t="s">
        <v>1068</v>
      </c>
      <c r="F5" s="6" t="s">
        <v>1070</v>
      </c>
    </row>
    <row r="6" spans="2:6" ht="20.149999999999999" customHeight="1" x14ac:dyDescent="0.35">
      <c r="B6" s="62" t="s">
        <v>475</v>
      </c>
      <c r="C6" s="534" t="s">
        <v>318</v>
      </c>
      <c r="D6" s="535"/>
      <c r="E6" s="6" t="s">
        <v>1007</v>
      </c>
      <c r="F6" s="6" t="s">
        <v>929</v>
      </c>
    </row>
    <row r="7" spans="2:6" ht="20.149999999999999" customHeight="1" x14ac:dyDescent="0.35">
      <c r="B7" s="62" t="s">
        <v>433</v>
      </c>
      <c r="C7" s="534" t="s">
        <v>318</v>
      </c>
      <c r="D7" s="535"/>
      <c r="E7" s="6" t="s">
        <v>1322</v>
      </c>
      <c r="F7" s="6" t="s">
        <v>41</v>
      </c>
    </row>
    <row r="8" spans="2:6" ht="20.149999999999999" customHeight="1" x14ac:dyDescent="0.35">
      <c r="B8" s="62" t="s">
        <v>472</v>
      </c>
      <c r="C8" s="79" t="s">
        <v>1288</v>
      </c>
      <c r="D8" s="79"/>
      <c r="E8" s="6" t="s">
        <v>1266</v>
      </c>
      <c r="F8" s="6" t="s">
        <v>1297</v>
      </c>
    </row>
    <row r="9" spans="2:6" ht="20.149999999999999" customHeight="1" x14ac:dyDescent="0.35">
      <c r="B9" s="62" t="s">
        <v>473</v>
      </c>
      <c r="C9" s="79" t="s">
        <v>1287</v>
      </c>
      <c r="D9" s="79"/>
      <c r="E9" s="6" t="s">
        <v>1298</v>
      </c>
      <c r="F9" s="6" t="s">
        <v>1055</v>
      </c>
    </row>
    <row r="10" spans="2:6" ht="20.149999999999999" customHeight="1" x14ac:dyDescent="0.35">
      <c r="B10" s="62" t="s">
        <v>474</v>
      </c>
      <c r="C10" s="79" t="s">
        <v>1053</v>
      </c>
      <c r="D10" s="79"/>
      <c r="E10" s="6" t="s">
        <v>1025</v>
      </c>
      <c r="F10" s="6" t="s">
        <v>1055</v>
      </c>
    </row>
    <row r="11" spans="2:6" ht="20.149999999999999" customHeight="1" x14ac:dyDescent="0.35">
      <c r="B11" s="62" t="s">
        <v>1323</v>
      </c>
      <c r="C11" s="534" t="s">
        <v>1324</v>
      </c>
      <c r="D11" s="535"/>
      <c r="E11" s="6" t="s">
        <v>1325</v>
      </c>
      <c r="F11" s="6" t="s">
        <v>1055</v>
      </c>
    </row>
    <row r="12" spans="2:6" ht="20.149999999999999" customHeight="1" x14ac:dyDescent="0.35">
      <c r="B12" s="62" t="s">
        <v>400</v>
      </c>
      <c r="C12" s="537" t="s">
        <v>625</v>
      </c>
      <c r="D12" s="537"/>
      <c r="E12" s="6" t="s">
        <v>1029</v>
      </c>
      <c r="F12" s="6" t="s">
        <v>54</v>
      </c>
    </row>
    <row r="13" spans="2:6" ht="20.149999999999999" customHeight="1" x14ac:dyDescent="0.35">
      <c r="B13" s="62" t="s">
        <v>402</v>
      </c>
      <c r="C13" s="145" t="s">
        <v>498</v>
      </c>
      <c r="D13" s="145"/>
      <c r="E13" s="6" t="s">
        <v>1029</v>
      </c>
      <c r="F13" s="6" t="s">
        <v>54</v>
      </c>
    </row>
    <row r="14" spans="2:6" ht="20.149999999999999" customHeight="1" x14ac:dyDescent="0.35">
      <c r="B14" s="62" t="s">
        <v>403</v>
      </c>
      <c r="C14" s="145" t="s">
        <v>609</v>
      </c>
      <c r="D14" s="204"/>
      <c r="E14" s="6" t="s">
        <v>1030</v>
      </c>
      <c r="F14" s="6" t="s">
        <v>54</v>
      </c>
    </row>
    <row r="15" spans="2:6" ht="20.149999999999999" customHeight="1" x14ac:dyDescent="0.35">
      <c r="B15" s="62" t="s">
        <v>404</v>
      </c>
      <c r="C15" s="537" t="s">
        <v>303</v>
      </c>
      <c r="D15" s="537"/>
      <c r="E15" s="6" t="s">
        <v>1029</v>
      </c>
      <c r="F15" s="6" t="s">
        <v>54</v>
      </c>
    </row>
    <row r="16" spans="2:6" ht="20.149999999999999" customHeight="1" x14ac:dyDescent="0.35">
      <c r="B16" s="62" t="s">
        <v>405</v>
      </c>
      <c r="C16" s="537" t="s">
        <v>304</v>
      </c>
      <c r="D16" s="537"/>
      <c r="E16" s="6" t="s">
        <v>1029</v>
      </c>
      <c r="F16" s="6" t="s">
        <v>54</v>
      </c>
    </row>
    <row r="17" spans="2:6" ht="20.149999999999999" customHeight="1" x14ac:dyDescent="0.35">
      <c r="B17" s="62" t="s">
        <v>406</v>
      </c>
      <c r="C17" s="145" t="s">
        <v>305</v>
      </c>
      <c r="D17" s="129"/>
      <c r="E17" s="6" t="s">
        <v>1031</v>
      </c>
      <c r="F17" s="6" t="s">
        <v>54</v>
      </c>
    </row>
    <row r="18" spans="2:6" ht="20.149999999999999" customHeight="1" x14ac:dyDescent="0.35">
      <c r="B18" s="62" t="s">
        <v>407</v>
      </c>
      <c r="C18" s="145" t="s">
        <v>306</v>
      </c>
      <c r="D18" s="129"/>
      <c r="E18" s="6" t="s">
        <v>1030</v>
      </c>
      <c r="F18" s="6" t="s">
        <v>54</v>
      </c>
    </row>
    <row r="19" spans="2:6" ht="20.149999999999999" customHeight="1" x14ac:dyDescent="0.35">
      <c r="B19" s="62" t="s">
        <v>379</v>
      </c>
      <c r="C19" s="537" t="s">
        <v>603</v>
      </c>
      <c r="D19" s="537"/>
      <c r="E19" s="6" t="s">
        <v>1023</v>
      </c>
      <c r="F19" s="6" t="s">
        <v>1043</v>
      </c>
    </row>
    <row r="20" spans="2:6" ht="20.149999999999999" customHeight="1" x14ac:dyDescent="0.35">
      <c r="B20" s="62" t="s">
        <v>381</v>
      </c>
      <c r="C20" s="537" t="s">
        <v>284</v>
      </c>
      <c r="D20" s="537"/>
      <c r="E20" s="6" t="s">
        <v>1024</v>
      </c>
      <c r="F20" s="6" t="s">
        <v>1305</v>
      </c>
    </row>
    <row r="21" spans="2:6" ht="20.149999999999999" customHeight="1" x14ac:dyDescent="0.35">
      <c r="B21" s="62" t="s">
        <v>382</v>
      </c>
      <c r="C21" s="537" t="s">
        <v>285</v>
      </c>
      <c r="D21" s="537"/>
      <c r="E21" s="6" t="s">
        <v>1025</v>
      </c>
      <c r="F21" s="6" t="s">
        <v>1306</v>
      </c>
    </row>
    <row r="22" spans="2:6" ht="20.149999999999999" customHeight="1" x14ac:dyDescent="0.35">
      <c r="B22" s="62" t="s">
        <v>383</v>
      </c>
      <c r="C22" s="537" t="s">
        <v>1309</v>
      </c>
      <c r="D22" s="537"/>
      <c r="E22" s="6" t="s">
        <v>1035</v>
      </c>
      <c r="F22" s="6" t="s">
        <v>1310</v>
      </c>
    </row>
    <row r="23" spans="2:6" ht="20.149999999999999" customHeight="1" x14ac:dyDescent="0.35">
      <c r="B23" s="62" t="s">
        <v>384</v>
      </c>
      <c r="C23" s="537" t="s">
        <v>353</v>
      </c>
      <c r="D23" s="537"/>
      <c r="E23" s="6" t="s">
        <v>1037</v>
      </c>
      <c r="F23" s="62" t="s">
        <v>34</v>
      </c>
    </row>
    <row r="24" spans="2:6" ht="20.149999999999999" customHeight="1" x14ac:dyDescent="0.35">
      <c r="B24" s="62" t="s">
        <v>387</v>
      </c>
      <c r="C24" s="537" t="s">
        <v>604</v>
      </c>
      <c r="D24" s="537"/>
      <c r="E24" s="6" t="s">
        <v>1024</v>
      </c>
      <c r="F24" s="6" t="s">
        <v>1307</v>
      </c>
    </row>
    <row r="25" spans="2:6" ht="20.149999999999999" customHeight="1" x14ac:dyDescent="0.35">
      <c r="B25" s="62" t="s">
        <v>385</v>
      </c>
      <c r="C25" s="537" t="s">
        <v>607</v>
      </c>
      <c r="D25" s="537"/>
      <c r="E25" s="6" t="s">
        <v>1030</v>
      </c>
      <c r="F25" s="62" t="s">
        <v>1308</v>
      </c>
    </row>
    <row r="26" spans="2:6" ht="20.149999999999999" customHeight="1" x14ac:dyDescent="0.35">
      <c r="B26" s="62" t="s">
        <v>457</v>
      </c>
      <c r="C26" s="64" t="s">
        <v>344</v>
      </c>
      <c r="D26" s="1"/>
      <c r="E26" s="6" t="s">
        <v>1007</v>
      </c>
      <c r="F26" s="6" t="s">
        <v>1272</v>
      </c>
    </row>
    <row r="27" spans="2:6" ht="20.149999999999999" customHeight="1" x14ac:dyDescent="0.35">
      <c r="B27" s="62" t="s">
        <v>458</v>
      </c>
      <c r="C27" s="64" t="s">
        <v>345</v>
      </c>
      <c r="D27" s="1"/>
      <c r="E27" s="6" t="s">
        <v>1007</v>
      </c>
      <c r="F27" s="6" t="s">
        <v>1272</v>
      </c>
    </row>
    <row r="28" spans="2:6" ht="20.149999999999999" customHeight="1" x14ac:dyDescent="0.35">
      <c r="B28" s="62" t="s">
        <v>461</v>
      </c>
      <c r="C28" s="79" t="s">
        <v>346</v>
      </c>
      <c r="D28" s="1"/>
      <c r="E28" s="6" t="s">
        <v>1007</v>
      </c>
      <c r="F28" s="6" t="s">
        <v>1272</v>
      </c>
    </row>
    <row r="29" spans="2:6" ht="20.149999999999999" customHeight="1" x14ac:dyDescent="0.35">
      <c r="B29" s="62" t="s">
        <v>462</v>
      </c>
      <c r="C29" s="540" t="s">
        <v>347</v>
      </c>
      <c r="D29" s="541"/>
      <c r="E29" s="6" t="s">
        <v>1059</v>
      </c>
      <c r="F29" s="6" t="s">
        <v>1272</v>
      </c>
    </row>
    <row r="30" spans="2:6" ht="20.149999999999999" customHeight="1" x14ac:dyDescent="0.35">
      <c r="B30" s="62" t="s">
        <v>1092</v>
      </c>
      <c r="C30" s="145" t="s">
        <v>1160</v>
      </c>
      <c r="D30" s="145"/>
      <c r="E30" s="6" t="s">
        <v>1314</v>
      </c>
      <c r="F30" s="6" t="s">
        <v>1312</v>
      </c>
    </row>
    <row r="31" spans="2:6" ht="20.149999999999999" customHeight="1" x14ac:dyDescent="0.35">
      <c r="B31" s="62" t="s">
        <v>1093</v>
      </c>
      <c r="C31" s="145" t="s">
        <v>1161</v>
      </c>
      <c r="D31" s="145"/>
      <c r="E31" s="6" t="s">
        <v>1051</v>
      </c>
      <c r="F31" s="62" t="s">
        <v>1313</v>
      </c>
    </row>
    <row r="32" spans="2:6" ht="20.149999999999999" customHeight="1" x14ac:dyDescent="0.35">
      <c r="B32" s="62" t="s">
        <v>1094</v>
      </c>
      <c r="C32" s="537" t="s">
        <v>1162</v>
      </c>
      <c r="D32" s="537"/>
      <c r="E32" s="6" t="s">
        <v>1314</v>
      </c>
      <c r="F32" s="6" t="s">
        <v>1312</v>
      </c>
    </row>
    <row r="33" spans="5:6" ht="20.149999999999999" customHeight="1" x14ac:dyDescent="0.35">
      <c r="E33"/>
      <c r="F33"/>
    </row>
    <row r="34" spans="5:6" ht="20.149999999999999" customHeight="1" x14ac:dyDescent="0.35">
      <c r="E34"/>
      <c r="F34"/>
    </row>
    <row r="35" spans="5:6" ht="20.149999999999999" customHeight="1" x14ac:dyDescent="0.35">
      <c r="E35"/>
      <c r="F35"/>
    </row>
    <row r="36" spans="5:6" ht="20.149999999999999" customHeight="1" x14ac:dyDescent="0.35">
      <c r="E36"/>
      <c r="F36"/>
    </row>
    <row r="37" spans="5:6" ht="20.149999999999999" customHeight="1" x14ac:dyDescent="0.35">
      <c r="E37"/>
      <c r="F37"/>
    </row>
    <row r="38" spans="5:6" ht="20.149999999999999" customHeight="1" x14ac:dyDescent="0.35">
      <c r="E38"/>
      <c r="F38"/>
    </row>
    <row r="39" spans="5:6" ht="20.149999999999999" customHeight="1" x14ac:dyDescent="0.35">
      <c r="E39"/>
      <c r="F39"/>
    </row>
    <row r="40" spans="5:6" ht="20.149999999999999" customHeight="1" x14ac:dyDescent="0.35">
      <c r="E40"/>
      <c r="F40"/>
    </row>
    <row r="41" spans="5:6" ht="20.149999999999999" customHeight="1" x14ac:dyDescent="0.35">
      <c r="E41"/>
      <c r="F41"/>
    </row>
    <row r="42" spans="5:6" ht="20.149999999999999" customHeight="1" x14ac:dyDescent="0.35">
      <c r="E42"/>
      <c r="F42"/>
    </row>
    <row r="43" spans="5:6" ht="20.149999999999999" customHeight="1" x14ac:dyDescent="0.35">
      <c r="E43"/>
      <c r="F43"/>
    </row>
    <row r="44" spans="5:6" ht="20.149999999999999" customHeight="1" x14ac:dyDescent="0.35">
      <c r="E44"/>
      <c r="F44"/>
    </row>
    <row r="45" spans="5:6" ht="20.149999999999999" customHeight="1" x14ac:dyDescent="0.35">
      <c r="E45"/>
      <c r="F45"/>
    </row>
    <row r="46" spans="5:6" ht="20.149999999999999" customHeight="1" x14ac:dyDescent="0.35">
      <c r="E46"/>
      <c r="F46"/>
    </row>
    <row r="47" spans="5:6" ht="20.149999999999999" customHeight="1" x14ac:dyDescent="0.35">
      <c r="E47"/>
      <c r="F47"/>
    </row>
    <row r="48" spans="5:6" ht="20.149999999999999" customHeight="1" x14ac:dyDescent="0.35">
      <c r="E48"/>
      <c r="F48"/>
    </row>
    <row r="49" spans="5:6" ht="20.149999999999999" customHeight="1" x14ac:dyDescent="0.35">
      <c r="E49"/>
      <c r="F49"/>
    </row>
    <row r="50" spans="5:6" ht="20.149999999999999" customHeight="1" x14ac:dyDescent="0.35">
      <c r="E50"/>
      <c r="F50"/>
    </row>
    <row r="51" spans="5:6" ht="20.149999999999999" customHeight="1" x14ac:dyDescent="0.35">
      <c r="E51"/>
      <c r="F51"/>
    </row>
    <row r="52" spans="5:6" ht="20.149999999999999" customHeight="1" x14ac:dyDescent="0.35">
      <c r="E52"/>
      <c r="F52"/>
    </row>
    <row r="53" spans="5:6" ht="20.149999999999999" customHeight="1" x14ac:dyDescent="0.35">
      <c r="E53"/>
      <c r="F53"/>
    </row>
    <row r="54" spans="5:6" x14ac:dyDescent="0.35">
      <c r="E54"/>
      <c r="F54"/>
    </row>
    <row r="55" spans="5:6" x14ac:dyDescent="0.35">
      <c r="E55"/>
      <c r="F55"/>
    </row>
    <row r="56" spans="5:6" x14ac:dyDescent="0.35">
      <c r="E56"/>
      <c r="F56"/>
    </row>
    <row r="57" spans="5:6" x14ac:dyDescent="0.35">
      <c r="E57"/>
      <c r="F57"/>
    </row>
    <row r="58" spans="5:6" x14ac:dyDescent="0.35">
      <c r="E58"/>
      <c r="F58"/>
    </row>
    <row r="59" spans="5:6" x14ac:dyDescent="0.35">
      <c r="E59"/>
      <c r="F59"/>
    </row>
    <row r="60" spans="5:6" x14ac:dyDescent="0.35">
      <c r="E60"/>
      <c r="F60"/>
    </row>
    <row r="61" spans="5:6" x14ac:dyDescent="0.35">
      <c r="E61"/>
      <c r="F61"/>
    </row>
    <row r="62" spans="5:6" x14ac:dyDescent="0.35">
      <c r="E62"/>
      <c r="F62"/>
    </row>
    <row r="63" spans="5:6" x14ac:dyDescent="0.35">
      <c r="E63"/>
      <c r="F63"/>
    </row>
    <row r="64" spans="5:6" x14ac:dyDescent="0.35">
      <c r="E64"/>
      <c r="F64"/>
    </row>
    <row r="65" spans="3:6" x14ac:dyDescent="0.35">
      <c r="E65"/>
      <c r="F65"/>
    </row>
    <row r="66" spans="3:6" x14ac:dyDescent="0.35">
      <c r="E66"/>
      <c r="F66"/>
    </row>
    <row r="67" spans="3:6" x14ac:dyDescent="0.35">
      <c r="E67"/>
      <c r="F67"/>
    </row>
    <row r="68" spans="3:6" x14ac:dyDescent="0.35">
      <c r="E68"/>
      <c r="F68"/>
    </row>
    <row r="69" spans="3:6" x14ac:dyDescent="0.35">
      <c r="C69" s="208"/>
      <c r="D69" s="208"/>
    </row>
    <row r="70" spans="3:6" x14ac:dyDescent="0.35">
      <c r="C70" s="208"/>
      <c r="D70" s="208"/>
    </row>
    <row r="71" spans="3:6" x14ac:dyDescent="0.35">
      <c r="C71" s="208"/>
      <c r="D71" s="208"/>
    </row>
    <row r="72" spans="3:6" x14ac:dyDescent="0.35">
      <c r="C72" s="208"/>
      <c r="D72" s="208"/>
    </row>
    <row r="73" spans="3:6" x14ac:dyDescent="0.35">
      <c r="C73" s="208"/>
      <c r="D73" s="208"/>
    </row>
    <row r="74" spans="3:6" x14ac:dyDescent="0.35">
      <c r="C74" s="208"/>
      <c r="D74" s="208"/>
    </row>
    <row r="75" spans="3:6" x14ac:dyDescent="0.35">
      <c r="C75" s="208"/>
      <c r="D75" s="208"/>
    </row>
    <row r="76" spans="3:6" x14ac:dyDescent="0.35">
      <c r="C76" s="208"/>
      <c r="D76" s="208"/>
    </row>
    <row r="77" spans="3:6" x14ac:dyDescent="0.35">
      <c r="C77" s="208"/>
      <c r="D77" s="208"/>
    </row>
    <row r="78" spans="3:6" x14ac:dyDescent="0.35">
      <c r="C78" s="208"/>
      <c r="D78" s="208"/>
    </row>
  </sheetData>
  <mergeCells count="17">
    <mergeCell ref="C19:D19"/>
    <mergeCell ref="C11:D11"/>
    <mergeCell ref="C20:D20"/>
    <mergeCell ref="C6:D6"/>
    <mergeCell ref="C7:D7"/>
    <mergeCell ref="C4:D4"/>
    <mergeCell ref="C5:D5"/>
    <mergeCell ref="C15:D15"/>
    <mergeCell ref="C16:D16"/>
    <mergeCell ref="C12:D12"/>
    <mergeCell ref="C21:D21"/>
    <mergeCell ref="C22:D22"/>
    <mergeCell ref="C23:D23"/>
    <mergeCell ref="C32:D32"/>
    <mergeCell ref="C29:D29"/>
    <mergeCell ref="C24:D24"/>
    <mergeCell ref="C25:D25"/>
  </mergeCells>
  <printOptions horizontalCentered="1" verticalCentered="1"/>
  <pageMargins left="0.47244094488188981" right="0" top="0.74803149606299213" bottom="0" header="0.31496062992125984" footer="0.31496062992125984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A0C588-D8BA-494F-8DEA-711D47CA5F78}">
  <sheetPr codeName="Sheet10">
    <pageSetUpPr fitToPage="1"/>
  </sheetPr>
  <dimension ref="B1:AA59"/>
  <sheetViews>
    <sheetView topLeftCell="B1" workbookViewId="0">
      <selection activeCell="C6" sqref="C6"/>
    </sheetView>
  </sheetViews>
  <sheetFormatPr defaultColWidth="8.7265625" defaultRowHeight="18.5" x14ac:dyDescent="0.45"/>
  <cols>
    <col min="2" max="2" width="10.54296875" style="260" customWidth="1"/>
    <col min="3" max="3" width="32.54296875" style="260" customWidth="1"/>
    <col min="4" max="4" width="15.54296875" style="257" customWidth="1"/>
    <col min="5" max="5" width="10.54296875" style="257" customWidth="1"/>
    <col min="6" max="6" width="6.54296875" customWidth="1"/>
    <col min="7" max="7" width="2.54296875" customWidth="1"/>
    <col min="8" max="8" width="10.54296875" style="260" customWidth="1"/>
    <col min="9" max="9" width="35.54296875" style="260" customWidth="1"/>
    <col min="10" max="10" width="15.54296875" style="257" customWidth="1"/>
    <col min="11" max="11" width="10.54296875" style="257" customWidth="1"/>
    <col min="12" max="12" width="6.54296875" customWidth="1"/>
    <col min="13" max="13" width="2.54296875" customWidth="1"/>
    <col min="14" max="14" width="10.54296875" customWidth="1"/>
    <col min="15" max="15" width="35.54296875" customWidth="1"/>
    <col min="16" max="16" width="15.54296875" customWidth="1"/>
    <col min="18" max="18" width="6.54296875" customWidth="1"/>
    <col min="22" max="22" width="12.26953125" customWidth="1"/>
  </cols>
  <sheetData>
    <row r="1" spans="2:27" ht="19" thickBot="1" x14ac:dyDescent="0.5"/>
    <row r="2" spans="2:27" ht="25" customHeight="1" x14ac:dyDescent="0.35">
      <c r="B2" s="268" t="s">
        <v>1440</v>
      </c>
      <c r="C2" s="269" t="s">
        <v>270</v>
      </c>
      <c r="D2" s="270" t="s">
        <v>1444</v>
      </c>
      <c r="E2" s="270" t="s">
        <v>61</v>
      </c>
      <c r="F2" s="271"/>
      <c r="G2" s="256"/>
      <c r="H2" s="268" t="s">
        <v>1562</v>
      </c>
      <c r="I2" s="269" t="s">
        <v>295</v>
      </c>
      <c r="J2" s="270" t="s">
        <v>258</v>
      </c>
      <c r="K2" s="270" t="s">
        <v>259</v>
      </c>
      <c r="L2" s="271"/>
      <c r="M2" s="266"/>
      <c r="N2" s="268" t="s">
        <v>1683</v>
      </c>
      <c r="O2" s="269" t="s">
        <v>286</v>
      </c>
      <c r="P2" s="270" t="s">
        <v>704</v>
      </c>
      <c r="Q2" s="270" t="s">
        <v>592</v>
      </c>
      <c r="R2" s="284"/>
    </row>
    <row r="3" spans="2:27" ht="25" customHeight="1" x14ac:dyDescent="0.35">
      <c r="B3" s="272" t="s">
        <v>1445</v>
      </c>
      <c r="C3" s="261" t="s">
        <v>271</v>
      </c>
      <c r="D3" s="258" t="s">
        <v>1443</v>
      </c>
      <c r="E3" s="258" t="s">
        <v>61</v>
      </c>
      <c r="F3" s="273"/>
      <c r="G3" s="256"/>
      <c r="H3" s="272" t="s">
        <v>1566</v>
      </c>
      <c r="I3" s="261" t="s">
        <v>1239</v>
      </c>
      <c r="J3" s="258" t="s">
        <v>68</v>
      </c>
      <c r="K3" s="258" t="s">
        <v>973</v>
      </c>
      <c r="L3" s="273"/>
      <c r="M3" s="266"/>
      <c r="N3" s="272" t="s">
        <v>1685</v>
      </c>
      <c r="O3" s="261" t="s">
        <v>286</v>
      </c>
      <c r="P3" s="258" t="s">
        <v>704</v>
      </c>
      <c r="Q3" s="258" t="s">
        <v>1387</v>
      </c>
      <c r="R3" s="276"/>
    </row>
    <row r="4" spans="2:27" ht="25" customHeight="1" x14ac:dyDescent="0.35">
      <c r="B4" s="272" t="s">
        <v>1447</v>
      </c>
      <c r="C4" s="261" t="s">
        <v>272</v>
      </c>
      <c r="D4" s="258" t="s">
        <v>656</v>
      </c>
      <c r="E4" s="258" t="s">
        <v>61</v>
      </c>
      <c r="F4" s="273"/>
      <c r="G4" s="256"/>
      <c r="H4" s="272" t="s">
        <v>1567</v>
      </c>
      <c r="I4" s="261" t="s">
        <v>301</v>
      </c>
      <c r="J4" s="258" t="s">
        <v>50</v>
      </c>
      <c r="K4" s="258" t="s">
        <v>55</v>
      </c>
      <c r="L4" s="273"/>
      <c r="M4" s="266"/>
      <c r="N4" s="272" t="s">
        <v>1689</v>
      </c>
      <c r="O4" s="261" t="s">
        <v>286</v>
      </c>
      <c r="P4" s="258" t="s">
        <v>100</v>
      </c>
      <c r="Q4" s="258" t="s">
        <v>44</v>
      </c>
      <c r="R4" s="276"/>
    </row>
    <row r="5" spans="2:27" ht="25" customHeight="1" x14ac:dyDescent="0.35">
      <c r="B5" s="272" t="s">
        <v>1448</v>
      </c>
      <c r="C5" s="261" t="s">
        <v>273</v>
      </c>
      <c r="D5" s="258" t="s">
        <v>656</v>
      </c>
      <c r="E5" s="258" t="s">
        <v>61</v>
      </c>
      <c r="F5" s="273"/>
      <c r="G5" s="256"/>
      <c r="H5" s="272" t="s">
        <v>1569</v>
      </c>
      <c r="I5" s="261" t="s">
        <v>463</v>
      </c>
      <c r="J5" s="258" t="s">
        <v>1570</v>
      </c>
      <c r="K5" s="258" t="s">
        <v>1229</v>
      </c>
      <c r="L5" s="273"/>
      <c r="M5" s="266"/>
      <c r="N5" s="272" t="s">
        <v>1691</v>
      </c>
      <c r="O5" s="261" t="s">
        <v>739</v>
      </c>
      <c r="P5" s="258" t="s">
        <v>100</v>
      </c>
      <c r="Q5" s="258" t="s">
        <v>44</v>
      </c>
      <c r="R5" s="276"/>
      <c r="V5" s="15" t="s">
        <v>2072</v>
      </c>
    </row>
    <row r="6" spans="2:27" ht="25" customHeight="1" x14ac:dyDescent="0.35">
      <c r="B6" s="272" t="s">
        <v>1449</v>
      </c>
      <c r="C6" s="261" t="s">
        <v>274</v>
      </c>
      <c r="D6" s="258" t="s">
        <v>656</v>
      </c>
      <c r="E6" s="258" t="s">
        <v>61</v>
      </c>
      <c r="F6" s="273"/>
      <c r="G6" s="256"/>
      <c r="H6" s="272" t="s">
        <v>1572</v>
      </c>
      <c r="I6" s="261" t="s">
        <v>625</v>
      </c>
      <c r="J6" s="258" t="s">
        <v>54</v>
      </c>
      <c r="K6" s="258" t="s">
        <v>1531</v>
      </c>
      <c r="L6" s="273"/>
      <c r="M6" s="266"/>
      <c r="N6" s="272" t="s">
        <v>1693</v>
      </c>
      <c r="O6" s="261" t="s">
        <v>451</v>
      </c>
      <c r="P6" s="258" t="s">
        <v>100</v>
      </c>
      <c r="Q6" s="258" t="s">
        <v>44</v>
      </c>
      <c r="R6" s="276"/>
      <c r="V6" t="s">
        <v>2070</v>
      </c>
      <c r="W6">
        <v>3.25</v>
      </c>
      <c r="X6">
        <f>W6*0.07</f>
        <v>0.22750000000000004</v>
      </c>
      <c r="Y6">
        <f>W6+X6</f>
        <v>3.4775</v>
      </c>
      <c r="Z6">
        <v>5</v>
      </c>
      <c r="AA6">
        <f>Y6*Z6</f>
        <v>17.387499999999999</v>
      </c>
    </row>
    <row r="7" spans="2:27" ht="25" customHeight="1" x14ac:dyDescent="0.35">
      <c r="B7" s="272" t="s">
        <v>1450</v>
      </c>
      <c r="C7" s="261" t="s">
        <v>275</v>
      </c>
      <c r="D7" s="258" t="s">
        <v>656</v>
      </c>
      <c r="E7" s="258" t="s">
        <v>720</v>
      </c>
      <c r="F7" s="273"/>
      <c r="G7" s="256"/>
      <c r="H7" s="272" t="s">
        <v>1577</v>
      </c>
      <c r="I7" s="261" t="s">
        <v>498</v>
      </c>
      <c r="J7" s="258" t="s">
        <v>54</v>
      </c>
      <c r="K7" s="258" t="s">
        <v>1531</v>
      </c>
      <c r="L7" s="273"/>
      <c r="M7" s="266"/>
      <c r="N7" s="272" t="s">
        <v>1695</v>
      </c>
      <c r="O7" s="261" t="s">
        <v>738</v>
      </c>
      <c r="P7" s="258" t="s">
        <v>100</v>
      </c>
      <c r="Q7" s="258" t="s">
        <v>44</v>
      </c>
      <c r="R7" s="276"/>
      <c r="W7">
        <v>3.75</v>
      </c>
      <c r="X7">
        <f>W7/107*7</f>
        <v>0.24532710280373829</v>
      </c>
      <c r="Y7">
        <f>W7+X7</f>
        <v>3.9953271028037385</v>
      </c>
      <c r="Z7">
        <v>5</v>
      </c>
      <c r="AA7">
        <f>Y7*Z7</f>
        <v>19.976635514018692</v>
      </c>
    </row>
    <row r="8" spans="2:27" ht="25" customHeight="1" x14ac:dyDescent="0.35">
      <c r="B8" s="272" t="s">
        <v>1451</v>
      </c>
      <c r="C8" s="261" t="s">
        <v>1235</v>
      </c>
      <c r="D8" s="258" t="s">
        <v>720</v>
      </c>
      <c r="E8" s="258" t="s">
        <v>36</v>
      </c>
      <c r="F8" s="273"/>
      <c r="G8" s="256"/>
      <c r="H8" s="272" t="s">
        <v>1580</v>
      </c>
      <c r="I8" s="261" t="s">
        <v>609</v>
      </c>
      <c r="J8" s="258" t="s">
        <v>54</v>
      </c>
      <c r="K8" s="259" t="s">
        <v>1531</v>
      </c>
      <c r="L8" s="274"/>
      <c r="M8" s="267"/>
      <c r="N8" s="272" t="s">
        <v>1696</v>
      </c>
      <c r="O8" s="261" t="s">
        <v>287</v>
      </c>
      <c r="P8" s="258" t="s">
        <v>704</v>
      </c>
      <c r="Q8" s="258" t="s">
        <v>906</v>
      </c>
      <c r="R8" s="276"/>
      <c r="X8">
        <f>X7-X6</f>
        <v>1.7827102803738254E-2</v>
      </c>
      <c r="AA8">
        <f>AA7-AA6-X8</f>
        <v>2.5713084112149547</v>
      </c>
    </row>
    <row r="9" spans="2:27" ht="25" customHeight="1" x14ac:dyDescent="0.35">
      <c r="B9" s="272" t="s">
        <v>1452</v>
      </c>
      <c r="C9" s="261" t="s">
        <v>1236</v>
      </c>
      <c r="D9" s="258" t="s">
        <v>656</v>
      </c>
      <c r="E9" s="258" t="s">
        <v>36</v>
      </c>
      <c r="F9" s="273"/>
      <c r="G9" s="256"/>
      <c r="H9" s="272" t="s">
        <v>1582</v>
      </c>
      <c r="I9" s="261" t="s">
        <v>303</v>
      </c>
      <c r="J9" s="258" t="s">
        <v>54</v>
      </c>
      <c r="K9" s="259" t="s">
        <v>1531</v>
      </c>
      <c r="L9" s="274"/>
      <c r="M9" s="267"/>
      <c r="N9" s="272" t="s">
        <v>1698</v>
      </c>
      <c r="O9" s="261" t="s">
        <v>288</v>
      </c>
      <c r="P9" s="258" t="s">
        <v>711</v>
      </c>
      <c r="Q9" s="258" t="s">
        <v>47</v>
      </c>
      <c r="R9" s="276"/>
    </row>
    <row r="10" spans="2:27" ht="25" customHeight="1" x14ac:dyDescent="0.35">
      <c r="B10" s="272" t="s">
        <v>1453</v>
      </c>
      <c r="C10" s="261" t="s">
        <v>350</v>
      </c>
      <c r="D10" s="258" t="s">
        <v>656</v>
      </c>
      <c r="E10" s="258" t="s">
        <v>36</v>
      </c>
      <c r="F10" s="273"/>
      <c r="G10" s="256"/>
      <c r="H10" s="272" t="s">
        <v>1585</v>
      </c>
      <c r="I10" s="261" t="s">
        <v>304</v>
      </c>
      <c r="J10" s="258" t="s">
        <v>54</v>
      </c>
      <c r="K10" s="258" t="s">
        <v>1531</v>
      </c>
      <c r="L10" s="273"/>
      <c r="M10" s="266"/>
      <c r="N10" s="272" t="s">
        <v>1704</v>
      </c>
      <c r="O10" s="261" t="s">
        <v>289</v>
      </c>
      <c r="P10" s="258" t="s">
        <v>706</v>
      </c>
      <c r="Q10" s="258"/>
      <c r="R10" s="276"/>
    </row>
    <row r="11" spans="2:27" ht="25" customHeight="1" x14ac:dyDescent="0.35">
      <c r="B11" s="272" t="s">
        <v>1454</v>
      </c>
      <c r="C11" s="262" t="s">
        <v>348</v>
      </c>
      <c r="D11" s="258" t="s">
        <v>656</v>
      </c>
      <c r="E11" s="258" t="s">
        <v>36</v>
      </c>
      <c r="F11" s="273"/>
      <c r="G11" s="256"/>
      <c r="H11" s="272" t="s">
        <v>1593</v>
      </c>
      <c r="I11" s="261" t="s">
        <v>305</v>
      </c>
      <c r="J11" s="258" t="s">
        <v>1156</v>
      </c>
      <c r="K11" s="258" t="s">
        <v>1531</v>
      </c>
      <c r="L11" s="273"/>
      <c r="M11" s="266"/>
      <c r="N11" s="272" t="s">
        <v>1706</v>
      </c>
      <c r="O11" s="261" t="s">
        <v>290</v>
      </c>
      <c r="P11" s="258" t="s">
        <v>707</v>
      </c>
      <c r="Q11" s="258" t="s">
        <v>48</v>
      </c>
      <c r="R11" s="276"/>
      <c r="V11" t="s">
        <v>2071</v>
      </c>
      <c r="W11">
        <v>3.25</v>
      </c>
      <c r="X11">
        <f>W11*0.07</f>
        <v>0.22750000000000004</v>
      </c>
      <c r="Y11">
        <f>W11+X11</f>
        <v>3.4775</v>
      </c>
      <c r="Z11">
        <v>5</v>
      </c>
      <c r="AA11">
        <f>Y11*Z11</f>
        <v>17.387499999999999</v>
      </c>
    </row>
    <row r="12" spans="2:27" ht="25" customHeight="1" x14ac:dyDescent="0.35">
      <c r="B12" s="272" t="s">
        <v>1455</v>
      </c>
      <c r="C12" s="262" t="s">
        <v>349</v>
      </c>
      <c r="D12" s="258" t="s">
        <v>656</v>
      </c>
      <c r="E12" s="258" t="s">
        <v>36</v>
      </c>
      <c r="F12" s="273"/>
      <c r="G12" s="256"/>
      <c r="H12" s="272" t="s">
        <v>1599</v>
      </c>
      <c r="I12" s="261" t="s">
        <v>306</v>
      </c>
      <c r="J12" s="258" t="s">
        <v>54</v>
      </c>
      <c r="K12" s="258" t="s">
        <v>36</v>
      </c>
      <c r="L12" s="273"/>
      <c r="M12" s="266"/>
      <c r="N12" s="272" t="s">
        <v>1709</v>
      </c>
      <c r="O12" s="261" t="s">
        <v>292</v>
      </c>
      <c r="P12" s="258" t="s">
        <v>708</v>
      </c>
      <c r="Q12" s="258" t="s">
        <v>48</v>
      </c>
      <c r="R12" s="276"/>
      <c r="W12">
        <v>3.75</v>
      </c>
      <c r="X12">
        <f>W12*0.07</f>
        <v>0.26250000000000001</v>
      </c>
      <c r="Y12">
        <f>W12+X12</f>
        <v>4.0125000000000002</v>
      </c>
      <c r="Z12">
        <v>5</v>
      </c>
      <c r="AA12">
        <f>Y12*Z12</f>
        <v>20.0625</v>
      </c>
    </row>
    <row r="13" spans="2:27" ht="25" customHeight="1" x14ac:dyDescent="0.35">
      <c r="B13" s="272" t="s">
        <v>1456</v>
      </c>
      <c r="C13" s="262" t="s">
        <v>613</v>
      </c>
      <c r="D13" s="258" t="s">
        <v>56</v>
      </c>
      <c r="E13" s="258" t="s">
        <v>36</v>
      </c>
      <c r="F13" s="273"/>
      <c r="G13" s="256"/>
      <c r="H13" s="272" t="s">
        <v>1603</v>
      </c>
      <c r="I13" s="261" t="s">
        <v>307</v>
      </c>
      <c r="J13" s="258" t="s">
        <v>54</v>
      </c>
      <c r="K13" s="258" t="s">
        <v>36</v>
      </c>
      <c r="L13" s="273"/>
      <c r="M13" s="266"/>
      <c r="N13" s="272" t="s">
        <v>1712</v>
      </c>
      <c r="O13" s="261" t="s">
        <v>336</v>
      </c>
      <c r="P13" s="258" t="s">
        <v>545</v>
      </c>
      <c r="Q13" s="258" t="s">
        <v>1233</v>
      </c>
      <c r="R13" s="276"/>
      <c r="X13">
        <f>X12-X11</f>
        <v>3.4999999999999976E-2</v>
      </c>
      <c r="AA13">
        <f>AA12-AA11-X13</f>
        <v>2.6400000000000006</v>
      </c>
    </row>
    <row r="14" spans="2:27" ht="25" customHeight="1" x14ac:dyDescent="0.35">
      <c r="B14" s="272" t="s">
        <v>1457</v>
      </c>
      <c r="C14" s="261" t="s">
        <v>1238</v>
      </c>
      <c r="D14" s="258" t="s">
        <v>658</v>
      </c>
      <c r="E14" s="258" t="s">
        <v>61</v>
      </c>
      <c r="F14" s="273"/>
      <c r="G14" s="256"/>
      <c r="H14" s="272" t="s">
        <v>1606</v>
      </c>
      <c r="I14" s="261" t="s">
        <v>308</v>
      </c>
      <c r="J14" s="258" t="s">
        <v>73</v>
      </c>
      <c r="K14" s="258" t="s">
        <v>36</v>
      </c>
      <c r="L14" s="273"/>
      <c r="M14" s="266"/>
      <c r="N14" s="272" t="s">
        <v>1715</v>
      </c>
      <c r="O14" s="261" t="s">
        <v>1411</v>
      </c>
      <c r="P14" s="258" t="s">
        <v>1225</v>
      </c>
      <c r="Q14" s="258" t="s">
        <v>1412</v>
      </c>
      <c r="R14" s="276"/>
    </row>
    <row r="15" spans="2:27" ht="25" customHeight="1" x14ac:dyDescent="0.35">
      <c r="B15" s="272" t="s">
        <v>1458</v>
      </c>
      <c r="C15" s="261" t="s">
        <v>282</v>
      </c>
      <c r="D15" s="258" t="s">
        <v>529</v>
      </c>
      <c r="E15" s="258" t="s">
        <v>61</v>
      </c>
      <c r="F15" s="273"/>
      <c r="G15" s="256"/>
      <c r="H15" s="272" t="s">
        <v>1608</v>
      </c>
      <c r="I15" s="261" t="s">
        <v>309</v>
      </c>
      <c r="J15" s="258" t="s">
        <v>54</v>
      </c>
      <c r="K15" s="259" t="s">
        <v>536</v>
      </c>
      <c r="L15" s="274"/>
      <c r="M15" s="267"/>
      <c r="N15" s="272" t="s">
        <v>1717</v>
      </c>
      <c r="O15" s="261" t="s">
        <v>1410</v>
      </c>
      <c r="P15" s="258" t="s">
        <v>1224</v>
      </c>
      <c r="Q15" s="258" t="s">
        <v>673</v>
      </c>
      <c r="R15" s="276"/>
      <c r="V15" t="s">
        <v>2071</v>
      </c>
      <c r="W15">
        <v>3.25</v>
      </c>
      <c r="X15">
        <f>W15*0.07</f>
        <v>0.22750000000000004</v>
      </c>
      <c r="Y15">
        <f>W15+X15</f>
        <v>3.4775</v>
      </c>
      <c r="Z15">
        <v>5</v>
      </c>
      <c r="AA15">
        <f>Y15*Z15</f>
        <v>17.387499999999999</v>
      </c>
    </row>
    <row r="16" spans="2:27" ht="25" customHeight="1" x14ac:dyDescent="0.35">
      <c r="B16" s="272" t="s">
        <v>1459</v>
      </c>
      <c r="C16" s="440" t="s">
        <v>1835</v>
      </c>
      <c r="D16" s="258" t="s">
        <v>529</v>
      </c>
      <c r="E16" s="258" t="s">
        <v>973</v>
      </c>
      <c r="F16" s="273"/>
      <c r="G16" s="256"/>
      <c r="H16" s="272" t="s">
        <v>1611</v>
      </c>
      <c r="I16" s="261" t="s">
        <v>310</v>
      </c>
      <c r="J16" s="258" t="s">
        <v>54</v>
      </c>
      <c r="K16" s="258" t="s">
        <v>1531</v>
      </c>
      <c r="L16" s="273"/>
      <c r="M16" s="266"/>
      <c r="N16" s="272" t="s">
        <v>1720</v>
      </c>
      <c r="O16" s="261" t="s">
        <v>1719</v>
      </c>
      <c r="P16" s="258" t="s">
        <v>1226</v>
      </c>
      <c r="Q16" s="258" t="s">
        <v>682</v>
      </c>
      <c r="R16" s="276"/>
      <c r="W16">
        <v>3.35</v>
      </c>
      <c r="X16">
        <f>W16*0.07</f>
        <v>0.23450000000000004</v>
      </c>
      <c r="Y16">
        <f>W16+X16</f>
        <v>3.5845000000000002</v>
      </c>
      <c r="Z16">
        <v>5</v>
      </c>
      <c r="AA16">
        <f>Y16*Z16</f>
        <v>17.922499999999999</v>
      </c>
    </row>
    <row r="17" spans="2:27" ht="25" customHeight="1" x14ac:dyDescent="0.35">
      <c r="B17" s="272" t="s">
        <v>1460</v>
      </c>
      <c r="C17" s="261" t="s">
        <v>1237</v>
      </c>
      <c r="D17" s="258" t="s">
        <v>664</v>
      </c>
      <c r="E17" s="258" t="s">
        <v>61</v>
      </c>
      <c r="F17" s="273"/>
      <c r="G17" s="256"/>
      <c r="H17" s="272" t="s">
        <v>1615</v>
      </c>
      <c r="I17" s="261" t="s">
        <v>311</v>
      </c>
      <c r="J17" s="258" t="s">
        <v>54</v>
      </c>
      <c r="K17" s="258" t="s">
        <v>1531</v>
      </c>
      <c r="L17" s="273"/>
      <c r="M17" s="266"/>
      <c r="N17" s="272" t="s">
        <v>1726</v>
      </c>
      <c r="O17" s="261" t="s">
        <v>459</v>
      </c>
      <c r="P17" s="258" t="s">
        <v>709</v>
      </c>
      <c r="Q17" s="258" t="s">
        <v>592</v>
      </c>
      <c r="R17" s="276"/>
      <c r="X17">
        <f>X16-X15</f>
        <v>7.0000000000000062E-3</v>
      </c>
      <c r="AA17">
        <f>AA16-AA15-X17</f>
        <v>0.52800000000000014</v>
      </c>
    </row>
    <row r="18" spans="2:27" ht="25" customHeight="1" x14ac:dyDescent="0.35">
      <c r="B18" s="272" t="s">
        <v>1461</v>
      </c>
      <c r="C18" s="261" t="s">
        <v>1833</v>
      </c>
      <c r="D18" s="258" t="s">
        <v>664</v>
      </c>
      <c r="E18" s="259" t="s">
        <v>61</v>
      </c>
      <c r="F18" s="274"/>
      <c r="G18" s="256"/>
      <c r="H18" s="272" t="s">
        <v>1618</v>
      </c>
      <c r="I18" s="261" t="s">
        <v>312</v>
      </c>
      <c r="J18" s="258" t="s">
        <v>34</v>
      </c>
      <c r="K18" s="258" t="s">
        <v>256</v>
      </c>
      <c r="L18" s="273"/>
      <c r="M18" s="266"/>
      <c r="N18" s="272" t="s">
        <v>1727</v>
      </c>
      <c r="O18" s="261" t="s">
        <v>294</v>
      </c>
      <c r="P18" s="258" t="s">
        <v>710</v>
      </c>
      <c r="Q18" s="258" t="s">
        <v>467</v>
      </c>
      <c r="R18" s="276"/>
    </row>
    <row r="19" spans="2:27" ht="25" customHeight="1" x14ac:dyDescent="0.35">
      <c r="B19" s="272" t="s">
        <v>1462</v>
      </c>
      <c r="C19" s="261" t="s">
        <v>320</v>
      </c>
      <c r="D19" s="258" t="s">
        <v>803</v>
      </c>
      <c r="E19" s="258" t="s">
        <v>61</v>
      </c>
      <c r="F19" s="273"/>
      <c r="G19" s="256"/>
      <c r="H19" s="272" t="s">
        <v>1621</v>
      </c>
      <c r="I19" s="261" t="s">
        <v>312</v>
      </c>
      <c r="J19" s="258" t="s">
        <v>34</v>
      </c>
      <c r="K19" s="258" t="s">
        <v>643</v>
      </c>
      <c r="L19" s="273"/>
      <c r="M19" s="266"/>
      <c r="N19" s="272" t="s">
        <v>1733</v>
      </c>
      <c r="O19" s="261" t="s">
        <v>614</v>
      </c>
      <c r="P19" s="258" t="s">
        <v>711</v>
      </c>
      <c r="Q19" s="258" t="s">
        <v>592</v>
      </c>
      <c r="R19" s="276"/>
    </row>
    <row r="20" spans="2:27" ht="25" customHeight="1" x14ac:dyDescent="0.35">
      <c r="B20" s="272" t="s">
        <v>1471</v>
      </c>
      <c r="C20" s="261" t="s">
        <v>1160</v>
      </c>
      <c r="D20" s="258" t="s">
        <v>1095</v>
      </c>
      <c r="E20" s="264" t="s">
        <v>36</v>
      </c>
      <c r="F20" s="275"/>
      <c r="G20" s="256"/>
      <c r="H20" s="272" t="s">
        <v>1622</v>
      </c>
      <c r="I20" s="261" t="s">
        <v>876</v>
      </c>
      <c r="J20" s="258" t="s">
        <v>34</v>
      </c>
      <c r="K20" s="258" t="s">
        <v>649</v>
      </c>
      <c r="L20" s="273"/>
      <c r="M20" s="266"/>
      <c r="N20" s="272" t="s">
        <v>1736</v>
      </c>
      <c r="O20" s="261" t="s">
        <v>328</v>
      </c>
      <c r="P20" s="258" t="s">
        <v>712</v>
      </c>
      <c r="Q20" s="258" t="s">
        <v>59</v>
      </c>
      <c r="R20" s="276"/>
    </row>
    <row r="21" spans="2:27" ht="25" customHeight="1" x14ac:dyDescent="0.35">
      <c r="B21" s="272" t="s">
        <v>1479</v>
      </c>
      <c r="C21" s="261" t="s">
        <v>237</v>
      </c>
      <c r="D21" s="258" t="s">
        <v>1481</v>
      </c>
      <c r="E21" s="258" t="s">
        <v>36</v>
      </c>
      <c r="F21" s="276"/>
      <c r="G21" s="256"/>
      <c r="H21" s="272" t="s">
        <v>1624</v>
      </c>
      <c r="I21" s="261" t="s">
        <v>877</v>
      </c>
      <c r="J21" s="258" t="s">
        <v>34</v>
      </c>
      <c r="K21" s="258" t="s">
        <v>649</v>
      </c>
      <c r="L21" s="273"/>
      <c r="M21" s="266"/>
      <c r="N21" s="272" t="s">
        <v>1742</v>
      </c>
      <c r="O21" s="261" t="s">
        <v>491</v>
      </c>
      <c r="P21" s="258" t="s">
        <v>173</v>
      </c>
      <c r="Q21" s="258" t="s">
        <v>36</v>
      </c>
      <c r="R21" s="276"/>
    </row>
    <row r="22" spans="2:27" ht="25" customHeight="1" x14ac:dyDescent="0.35">
      <c r="B22" s="272" t="s">
        <v>1482</v>
      </c>
      <c r="C22" s="261" t="s">
        <v>277</v>
      </c>
      <c r="D22" s="258" t="s">
        <v>1222</v>
      </c>
      <c r="E22" s="258" t="s">
        <v>36</v>
      </c>
      <c r="F22" s="276"/>
      <c r="G22" s="256"/>
      <c r="H22" s="272" t="s">
        <v>1625</v>
      </c>
      <c r="I22" s="261" t="s">
        <v>496</v>
      </c>
      <c r="J22" s="258" t="s">
        <v>34</v>
      </c>
      <c r="K22" s="258" t="s">
        <v>643</v>
      </c>
      <c r="L22" s="273"/>
      <c r="M22" s="266"/>
      <c r="N22" s="272" t="s">
        <v>1744</v>
      </c>
      <c r="O22" s="261" t="s">
        <v>345</v>
      </c>
      <c r="P22" s="258" t="s">
        <v>268</v>
      </c>
      <c r="Q22" s="258" t="s">
        <v>36</v>
      </c>
      <c r="R22" s="276"/>
    </row>
    <row r="23" spans="2:27" ht="25" customHeight="1" x14ac:dyDescent="0.35">
      <c r="B23" s="272" t="s">
        <v>1483</v>
      </c>
      <c r="C23" s="261" t="s">
        <v>276</v>
      </c>
      <c r="D23" s="258" t="s">
        <v>1222</v>
      </c>
      <c r="E23" s="258" t="s">
        <v>36</v>
      </c>
      <c r="F23" s="276"/>
      <c r="G23" s="256"/>
      <c r="H23" s="272" t="s">
        <v>1627</v>
      </c>
      <c r="I23" s="261" t="s">
        <v>314</v>
      </c>
      <c r="J23" s="258" t="s">
        <v>34</v>
      </c>
      <c r="K23" s="258" t="s">
        <v>36</v>
      </c>
      <c r="L23" s="273"/>
      <c r="M23" s="266"/>
      <c r="N23" s="272" t="s">
        <v>1745</v>
      </c>
      <c r="O23" s="261" t="s">
        <v>346</v>
      </c>
      <c r="P23" s="258" t="s">
        <v>268</v>
      </c>
      <c r="Q23" s="258" t="s">
        <v>36</v>
      </c>
      <c r="R23" s="276"/>
    </row>
    <row r="24" spans="2:27" ht="25" customHeight="1" x14ac:dyDescent="0.35">
      <c r="B24" s="272" t="s">
        <v>1484</v>
      </c>
      <c r="C24" s="261" t="s">
        <v>278</v>
      </c>
      <c r="D24" s="258" t="s">
        <v>1222</v>
      </c>
      <c r="E24" s="258" t="s">
        <v>36</v>
      </c>
      <c r="F24" s="276"/>
      <c r="G24" s="256"/>
      <c r="H24" s="272" t="s">
        <v>1629</v>
      </c>
      <c r="I24" s="261" t="s">
        <v>315</v>
      </c>
      <c r="J24" s="258" t="s">
        <v>1401</v>
      </c>
      <c r="K24" s="258" t="s">
        <v>57</v>
      </c>
      <c r="L24" s="273"/>
      <c r="M24" s="266"/>
      <c r="N24" s="272" t="s">
        <v>1763</v>
      </c>
      <c r="O24" s="261" t="s">
        <v>1241</v>
      </c>
      <c r="P24" s="258" t="s">
        <v>71</v>
      </c>
      <c r="Q24" s="258" t="s">
        <v>36</v>
      </c>
      <c r="R24" s="276"/>
    </row>
    <row r="25" spans="2:27" ht="25" customHeight="1" x14ac:dyDescent="0.35">
      <c r="B25" s="272" t="s">
        <v>1485</v>
      </c>
      <c r="C25" s="261" t="s">
        <v>1351</v>
      </c>
      <c r="D25" s="258" t="s">
        <v>1222</v>
      </c>
      <c r="E25" s="258" t="s">
        <v>36</v>
      </c>
      <c r="F25" s="276"/>
      <c r="G25" s="256"/>
      <c r="H25" s="272" t="s">
        <v>1630</v>
      </c>
      <c r="I25" s="261" t="s">
        <v>464</v>
      </c>
      <c r="J25" s="259" t="s">
        <v>54</v>
      </c>
      <c r="K25" s="259" t="s">
        <v>36</v>
      </c>
      <c r="L25" s="274"/>
      <c r="M25" s="267"/>
      <c r="N25" s="272" t="s">
        <v>1766</v>
      </c>
      <c r="O25" s="261" t="s">
        <v>316</v>
      </c>
      <c r="P25" s="258" t="s">
        <v>530</v>
      </c>
      <c r="Q25" s="258" t="s">
        <v>610</v>
      </c>
      <c r="R25" s="276"/>
    </row>
    <row r="26" spans="2:27" ht="25" customHeight="1" x14ac:dyDescent="0.35">
      <c r="B26" s="272" t="s">
        <v>1494</v>
      </c>
      <c r="C26" s="261" t="s">
        <v>1240</v>
      </c>
      <c r="D26" s="258" t="s">
        <v>41</v>
      </c>
      <c r="E26" s="258" t="s">
        <v>36</v>
      </c>
      <c r="F26" s="276"/>
      <c r="G26" s="256"/>
      <c r="H26" s="272" t="s">
        <v>1631</v>
      </c>
      <c r="I26" s="261" t="s">
        <v>1632</v>
      </c>
      <c r="J26" s="259" t="s">
        <v>75</v>
      </c>
      <c r="K26" s="259"/>
      <c r="L26" s="274"/>
      <c r="M26" s="267"/>
      <c r="N26" s="272" t="s">
        <v>1768</v>
      </c>
      <c r="O26" s="261" t="s">
        <v>317</v>
      </c>
      <c r="P26" s="258" t="s">
        <v>530</v>
      </c>
      <c r="Q26" s="258" t="s">
        <v>610</v>
      </c>
      <c r="R26" s="276"/>
    </row>
    <row r="27" spans="2:27" ht="25" customHeight="1" x14ac:dyDescent="0.35">
      <c r="B27" s="272" t="s">
        <v>1498</v>
      </c>
      <c r="C27" s="261" t="s">
        <v>284</v>
      </c>
      <c r="D27" s="258" t="s">
        <v>1211</v>
      </c>
      <c r="E27" s="258" t="s">
        <v>537</v>
      </c>
      <c r="F27" s="276"/>
      <c r="G27" s="256"/>
      <c r="H27" s="272" t="s">
        <v>1633</v>
      </c>
      <c r="I27" s="261" t="s">
        <v>319</v>
      </c>
      <c r="J27" s="258" t="s">
        <v>34</v>
      </c>
      <c r="K27" s="258" t="s">
        <v>36</v>
      </c>
      <c r="L27" s="273"/>
      <c r="M27" s="266"/>
      <c r="N27" s="272" t="s">
        <v>1775</v>
      </c>
      <c r="O27" s="261" t="s">
        <v>318</v>
      </c>
      <c r="P27" s="258" t="s">
        <v>135</v>
      </c>
      <c r="Q27" s="258" t="s">
        <v>610</v>
      </c>
      <c r="R27" s="276"/>
    </row>
    <row r="28" spans="2:27" ht="25" customHeight="1" x14ac:dyDescent="0.35">
      <c r="B28" s="272" t="s">
        <v>1502</v>
      </c>
      <c r="C28" s="261" t="s">
        <v>285</v>
      </c>
      <c r="D28" s="258" t="s">
        <v>1353</v>
      </c>
      <c r="E28" s="258" t="s">
        <v>535</v>
      </c>
      <c r="F28" s="276"/>
      <c r="G28" s="256"/>
      <c r="H28" s="272" t="s">
        <v>1636</v>
      </c>
      <c r="I28" s="261" t="s">
        <v>321</v>
      </c>
      <c r="J28" s="258" t="s">
        <v>686</v>
      </c>
      <c r="K28" s="258" t="s">
        <v>257</v>
      </c>
      <c r="L28" s="273"/>
      <c r="M28" s="266"/>
      <c r="N28" s="272" t="s">
        <v>1776</v>
      </c>
      <c r="O28" s="261" t="s">
        <v>297</v>
      </c>
      <c r="P28" s="258" t="s">
        <v>64</v>
      </c>
      <c r="Q28" s="258"/>
      <c r="R28" s="276"/>
    </row>
    <row r="29" spans="2:27" ht="25" customHeight="1" x14ac:dyDescent="0.35">
      <c r="B29" s="272" t="s">
        <v>1505</v>
      </c>
      <c r="C29" s="261" t="s">
        <v>285</v>
      </c>
      <c r="D29" s="258" t="s">
        <v>668</v>
      </c>
      <c r="E29" s="258" t="s">
        <v>140</v>
      </c>
      <c r="F29" s="276"/>
      <c r="G29" s="256"/>
      <c r="H29" s="272" t="s">
        <v>1642</v>
      </c>
      <c r="I29" s="261" t="s">
        <v>296</v>
      </c>
      <c r="J29" s="258" t="s">
        <v>66</v>
      </c>
      <c r="K29" s="258" t="s">
        <v>52</v>
      </c>
      <c r="L29" s="273"/>
      <c r="M29" s="266"/>
      <c r="N29" s="272" t="s">
        <v>1781</v>
      </c>
      <c r="O29" s="261" t="s">
        <v>331</v>
      </c>
      <c r="P29" s="258" t="s">
        <v>486</v>
      </c>
      <c r="Q29" s="258" t="s">
        <v>36</v>
      </c>
      <c r="R29" s="276"/>
    </row>
    <row r="30" spans="2:27" ht="25" customHeight="1" x14ac:dyDescent="0.35">
      <c r="B30" s="272" t="s">
        <v>1506</v>
      </c>
      <c r="C30" s="261" t="s">
        <v>353</v>
      </c>
      <c r="D30" s="258" t="s">
        <v>34</v>
      </c>
      <c r="E30" s="258" t="s">
        <v>36</v>
      </c>
      <c r="F30" s="276"/>
      <c r="G30" s="256"/>
      <c r="H30" s="272" t="s">
        <v>1643</v>
      </c>
      <c r="I30" s="261" t="s">
        <v>623</v>
      </c>
      <c r="J30" s="258" t="s">
        <v>1362</v>
      </c>
      <c r="K30" s="258" t="s">
        <v>36</v>
      </c>
      <c r="L30" s="273"/>
      <c r="M30" s="266"/>
      <c r="N30" s="272" t="s">
        <v>1783</v>
      </c>
      <c r="O30" s="261" t="s">
        <v>333</v>
      </c>
      <c r="P30" s="258" t="s">
        <v>487</v>
      </c>
      <c r="Q30" s="258" t="s">
        <v>626</v>
      </c>
      <c r="R30" s="276"/>
    </row>
    <row r="31" spans="2:27" ht="25" customHeight="1" x14ac:dyDescent="0.35">
      <c r="B31" s="272" t="s">
        <v>1510</v>
      </c>
      <c r="C31" s="261" t="s">
        <v>604</v>
      </c>
      <c r="D31" s="258" t="s">
        <v>1511</v>
      </c>
      <c r="E31" s="258" t="s">
        <v>36</v>
      </c>
      <c r="F31" s="276"/>
      <c r="G31" s="256"/>
      <c r="H31" s="272" t="s">
        <v>1644</v>
      </c>
      <c r="I31" s="261" t="s">
        <v>337</v>
      </c>
      <c r="J31" s="258" t="s">
        <v>737</v>
      </c>
      <c r="K31" s="258"/>
      <c r="L31" s="273"/>
      <c r="M31" s="266"/>
      <c r="N31" s="272" t="s">
        <v>1788</v>
      </c>
      <c r="O31" s="261" t="s">
        <v>279</v>
      </c>
      <c r="P31" s="258" t="s">
        <v>34</v>
      </c>
      <c r="Q31" s="258" t="s">
        <v>36</v>
      </c>
      <c r="R31" s="276"/>
    </row>
    <row r="32" spans="2:27" ht="25" customHeight="1" x14ac:dyDescent="0.35">
      <c r="B32" s="272" t="s">
        <v>1516</v>
      </c>
      <c r="C32" s="261" t="s">
        <v>607</v>
      </c>
      <c r="D32" s="258" t="s">
        <v>1355</v>
      </c>
      <c r="E32" s="259" t="s">
        <v>538</v>
      </c>
      <c r="F32" s="276"/>
      <c r="G32" s="256"/>
      <c r="H32" s="272" t="s">
        <v>1646</v>
      </c>
      <c r="I32" s="261" t="s">
        <v>1242</v>
      </c>
      <c r="J32" s="258" t="s">
        <v>34</v>
      </c>
      <c r="K32" s="258" t="s">
        <v>36</v>
      </c>
      <c r="L32" s="273"/>
      <c r="M32" s="266"/>
      <c r="N32" s="272" t="s">
        <v>1789</v>
      </c>
      <c r="O32" s="261" t="s">
        <v>323</v>
      </c>
      <c r="P32" s="258" t="s">
        <v>75</v>
      </c>
      <c r="Q32" s="258" t="s">
        <v>36</v>
      </c>
      <c r="R32" s="276"/>
    </row>
    <row r="33" spans="2:18" ht="25" customHeight="1" x14ac:dyDescent="0.35">
      <c r="B33" s="272" t="s">
        <v>1518</v>
      </c>
      <c r="C33" s="261" t="s">
        <v>665</v>
      </c>
      <c r="D33" s="258" t="s">
        <v>667</v>
      </c>
      <c r="E33" s="264" t="s">
        <v>666</v>
      </c>
      <c r="F33" s="276"/>
      <c r="G33" s="256"/>
      <c r="H33" s="272" t="s">
        <v>1647</v>
      </c>
      <c r="I33" s="261" t="s">
        <v>685</v>
      </c>
      <c r="J33" s="258" t="s">
        <v>134</v>
      </c>
      <c r="K33" s="259" t="s">
        <v>182</v>
      </c>
      <c r="L33" s="274"/>
      <c r="M33" s="267"/>
      <c r="N33" s="272" t="s">
        <v>1791</v>
      </c>
      <c r="O33" s="261" t="s">
        <v>324</v>
      </c>
      <c r="P33" s="258" t="s">
        <v>75</v>
      </c>
      <c r="Q33" s="258" t="s">
        <v>1834</v>
      </c>
      <c r="R33" s="276"/>
    </row>
    <row r="34" spans="2:18" ht="25" customHeight="1" x14ac:dyDescent="0.35">
      <c r="B34" s="277" t="s">
        <v>1522</v>
      </c>
      <c r="C34" s="263" t="s">
        <v>878</v>
      </c>
      <c r="D34" s="258" t="s">
        <v>879</v>
      </c>
      <c r="E34" s="259"/>
      <c r="F34" s="276"/>
      <c r="G34" s="256"/>
      <c r="H34" s="272" t="s">
        <v>1648</v>
      </c>
      <c r="I34" s="261" t="s">
        <v>278</v>
      </c>
      <c r="J34" s="258" t="s">
        <v>529</v>
      </c>
      <c r="K34" s="258" t="s">
        <v>1249</v>
      </c>
      <c r="L34" s="273"/>
      <c r="M34" s="266"/>
      <c r="N34" s="272" t="s">
        <v>1794</v>
      </c>
      <c r="O34" s="261" t="s">
        <v>326</v>
      </c>
      <c r="P34" s="258" t="s">
        <v>34</v>
      </c>
      <c r="Q34" s="258" t="s">
        <v>1101</v>
      </c>
      <c r="R34" s="276"/>
    </row>
    <row r="35" spans="2:18" ht="25" customHeight="1" x14ac:dyDescent="0.35">
      <c r="B35" s="272" t="s">
        <v>1530</v>
      </c>
      <c r="C35" s="261" t="s">
        <v>298</v>
      </c>
      <c r="D35" s="258" t="s">
        <v>529</v>
      </c>
      <c r="E35" s="258" t="s">
        <v>1531</v>
      </c>
      <c r="F35" s="276"/>
      <c r="G35" s="256"/>
      <c r="H35" s="272" t="s">
        <v>1649</v>
      </c>
      <c r="I35" s="261" t="s">
        <v>1170</v>
      </c>
      <c r="J35" s="258" t="s">
        <v>529</v>
      </c>
      <c r="K35" s="258"/>
      <c r="L35" s="273"/>
      <c r="M35" s="266"/>
      <c r="N35" s="272" t="s">
        <v>1795</v>
      </c>
      <c r="O35" s="261" t="s">
        <v>490</v>
      </c>
      <c r="P35" s="258" t="s">
        <v>34</v>
      </c>
      <c r="Q35" s="258" t="s">
        <v>1101</v>
      </c>
      <c r="R35" s="276"/>
    </row>
    <row r="36" spans="2:18" ht="25" customHeight="1" x14ac:dyDescent="0.35">
      <c r="B36" s="272" t="s">
        <v>1540</v>
      </c>
      <c r="C36" s="261" t="s">
        <v>1539</v>
      </c>
      <c r="D36" s="258" t="s">
        <v>75</v>
      </c>
      <c r="E36" s="258" t="s">
        <v>36</v>
      </c>
      <c r="F36" s="276"/>
      <c r="G36" s="256"/>
      <c r="H36" s="272" t="s">
        <v>1650</v>
      </c>
      <c r="I36" s="261" t="s">
        <v>332</v>
      </c>
      <c r="J36" s="258" t="s">
        <v>108</v>
      </c>
      <c r="K36" s="258" t="s">
        <v>36</v>
      </c>
      <c r="L36" s="273"/>
      <c r="M36" s="266"/>
      <c r="N36" s="272" t="s">
        <v>1796</v>
      </c>
      <c r="O36" s="261" t="s">
        <v>329</v>
      </c>
      <c r="P36" s="258" t="s">
        <v>34</v>
      </c>
      <c r="Q36" s="258" t="s">
        <v>1229</v>
      </c>
      <c r="R36" s="276"/>
    </row>
    <row r="37" spans="2:18" ht="25" customHeight="1" x14ac:dyDescent="0.35">
      <c r="B37" s="272" t="s">
        <v>1543</v>
      </c>
      <c r="C37" s="261" t="s">
        <v>300</v>
      </c>
      <c r="D37" s="258" t="s">
        <v>662</v>
      </c>
      <c r="E37" s="258" t="s">
        <v>821</v>
      </c>
      <c r="F37" s="276"/>
      <c r="G37" s="256"/>
      <c r="H37" s="272" t="s">
        <v>1651</v>
      </c>
      <c r="I37" s="261" t="s">
        <v>334</v>
      </c>
      <c r="J37" s="258" t="s">
        <v>529</v>
      </c>
      <c r="K37" s="258" t="s">
        <v>36</v>
      </c>
      <c r="L37" s="273"/>
      <c r="M37" s="266"/>
      <c r="N37" s="272" t="s">
        <v>1797</v>
      </c>
      <c r="O37" s="261" t="s">
        <v>330</v>
      </c>
      <c r="P37" s="258" t="s">
        <v>112</v>
      </c>
      <c r="Q37" s="258" t="s">
        <v>1837</v>
      </c>
      <c r="R37" s="276"/>
    </row>
    <row r="38" spans="2:18" ht="25" customHeight="1" x14ac:dyDescent="0.35">
      <c r="B38" s="272" t="s">
        <v>1544</v>
      </c>
      <c r="C38" s="261" t="s">
        <v>322</v>
      </c>
      <c r="D38" s="258" t="s">
        <v>596</v>
      </c>
      <c r="E38" s="258" t="s">
        <v>595</v>
      </c>
      <c r="F38" s="276"/>
      <c r="G38" s="256"/>
      <c r="H38" s="272"/>
      <c r="I38" s="261"/>
      <c r="J38" s="258"/>
      <c r="K38" s="258"/>
      <c r="L38" s="276"/>
      <c r="N38" s="272" t="s">
        <v>1805</v>
      </c>
      <c r="O38" s="261" t="s">
        <v>670</v>
      </c>
      <c r="P38" s="258" t="s">
        <v>102</v>
      </c>
      <c r="Q38" s="258" t="s">
        <v>659</v>
      </c>
      <c r="R38" s="276"/>
    </row>
    <row r="39" spans="2:18" ht="25" customHeight="1" x14ac:dyDescent="0.35">
      <c r="B39" s="272" t="s">
        <v>1545</v>
      </c>
      <c r="C39" s="261" t="s">
        <v>322</v>
      </c>
      <c r="D39" s="258" t="s">
        <v>109</v>
      </c>
      <c r="E39" s="258" t="s">
        <v>595</v>
      </c>
      <c r="F39" s="276"/>
      <c r="G39" s="256"/>
      <c r="H39" s="272"/>
      <c r="I39" s="261"/>
      <c r="J39" s="258"/>
      <c r="K39" s="258"/>
      <c r="L39" s="276"/>
      <c r="N39" s="272" t="s">
        <v>1806</v>
      </c>
      <c r="O39" s="261" t="s">
        <v>670</v>
      </c>
      <c r="P39" s="258" t="s">
        <v>102</v>
      </c>
      <c r="Q39" s="258" t="s">
        <v>660</v>
      </c>
      <c r="R39" s="276"/>
    </row>
    <row r="40" spans="2:18" ht="25" customHeight="1" x14ac:dyDescent="0.35">
      <c r="B40" s="272" t="s">
        <v>1548</v>
      </c>
      <c r="C40" s="261" t="s">
        <v>322</v>
      </c>
      <c r="D40" s="258" t="s">
        <v>109</v>
      </c>
      <c r="E40" s="258" t="s">
        <v>1531</v>
      </c>
      <c r="F40" s="276"/>
      <c r="G40" s="256"/>
      <c r="H40" s="272"/>
      <c r="I40" s="261"/>
      <c r="J40" s="258"/>
      <c r="K40" s="258"/>
      <c r="L40" s="282"/>
      <c r="M40" s="265"/>
      <c r="N40" s="272" t="s">
        <v>1807</v>
      </c>
      <c r="O40" s="261" t="s">
        <v>670</v>
      </c>
      <c r="P40" s="258" t="s">
        <v>102</v>
      </c>
      <c r="Q40" s="258" t="s">
        <v>661</v>
      </c>
      <c r="R40" s="282"/>
    </row>
    <row r="41" spans="2:18" ht="25" customHeight="1" thickBot="1" x14ac:dyDescent="0.4">
      <c r="B41" s="278" t="s">
        <v>1554</v>
      </c>
      <c r="C41" s="279" t="s">
        <v>342</v>
      </c>
      <c r="D41" s="280" t="s">
        <v>839</v>
      </c>
      <c r="E41" s="280" t="s">
        <v>193</v>
      </c>
      <c r="F41" s="281"/>
      <c r="G41" s="256"/>
      <c r="H41" s="278"/>
      <c r="I41" s="279"/>
      <c r="J41" s="280"/>
      <c r="K41" s="280"/>
      <c r="L41" s="283"/>
      <c r="M41" s="265"/>
      <c r="N41" s="278" t="s">
        <v>1808</v>
      </c>
      <c r="O41" s="279" t="s">
        <v>670</v>
      </c>
      <c r="P41" s="280" t="s">
        <v>102</v>
      </c>
      <c r="Q41" s="280" t="s">
        <v>669</v>
      </c>
      <c r="R41" s="283"/>
    </row>
    <row r="42" spans="2:18" ht="25" customHeight="1" x14ac:dyDescent="0.45">
      <c r="G42" s="256"/>
    </row>
    <row r="43" spans="2:18" ht="25" customHeight="1" x14ac:dyDescent="0.45">
      <c r="G43" s="256"/>
    </row>
    <row r="44" spans="2:18" ht="25" customHeight="1" x14ac:dyDescent="0.45">
      <c r="G44" s="256"/>
    </row>
    <row r="45" spans="2:18" ht="25" customHeight="1" x14ac:dyDescent="0.45">
      <c r="G45" s="256"/>
    </row>
    <row r="46" spans="2:18" ht="25" customHeight="1" x14ac:dyDescent="0.45">
      <c r="G46" s="256"/>
    </row>
    <row r="47" spans="2:18" ht="25" customHeight="1" x14ac:dyDescent="0.45">
      <c r="G47" s="256"/>
    </row>
    <row r="48" spans="2:18" ht="25" customHeight="1" x14ac:dyDescent="0.45"/>
    <row r="49" ht="25" customHeight="1" x14ac:dyDescent="0.45"/>
    <row r="50" ht="25" customHeight="1" x14ac:dyDescent="0.45"/>
    <row r="51" ht="25" customHeight="1" x14ac:dyDescent="0.45"/>
    <row r="52" ht="25" customHeight="1" x14ac:dyDescent="0.45"/>
    <row r="53" ht="25" customHeight="1" x14ac:dyDescent="0.45"/>
    <row r="54" ht="25" customHeight="1" x14ac:dyDescent="0.45"/>
    <row r="55" ht="25" customHeight="1" x14ac:dyDescent="0.45"/>
    <row r="56" ht="25" customHeight="1" x14ac:dyDescent="0.45"/>
    <row r="57" ht="25" customHeight="1" x14ac:dyDescent="0.45"/>
    <row r="58" ht="25" customHeight="1" x14ac:dyDescent="0.45"/>
    <row r="59" ht="25" customHeight="1" x14ac:dyDescent="0.45"/>
  </sheetData>
  <printOptions horizontalCentered="1"/>
  <pageMargins left="0" right="0" top="0.51181102362204722" bottom="0.11811023622047245" header="0" footer="0.31496062992125984"/>
  <pageSetup paperSize="9" scale="54" orientation="landscape" horizontalDpi="300" verticalDpi="300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ACDDDC-38D9-43A8-8EC2-906A29EC7AC4}">
  <sheetPr codeName="Sheet11">
    <pageSetUpPr fitToPage="1"/>
  </sheetPr>
  <dimension ref="A6:M54"/>
  <sheetViews>
    <sheetView topLeftCell="C5" workbookViewId="0">
      <selection activeCell="I17" sqref="I17"/>
    </sheetView>
  </sheetViews>
  <sheetFormatPr defaultRowHeight="14.5" x14ac:dyDescent="0.35"/>
  <cols>
    <col min="1" max="12" width="14.54296875" customWidth="1"/>
  </cols>
  <sheetData>
    <row r="6" spans="1:13" ht="30" customHeight="1" x14ac:dyDescent="0.35">
      <c r="A6" s="309" t="s">
        <v>1907</v>
      </c>
      <c r="B6" s="309" t="s">
        <v>1908</v>
      </c>
      <c r="C6" s="309" t="s">
        <v>1909</v>
      </c>
      <c r="D6" s="318" t="s">
        <v>1910</v>
      </c>
      <c r="E6" s="318" t="s">
        <v>1911</v>
      </c>
      <c r="F6" s="309" t="s">
        <v>1912</v>
      </c>
      <c r="G6" s="318" t="s">
        <v>1913</v>
      </c>
      <c r="H6" s="309" t="s">
        <v>1914</v>
      </c>
      <c r="I6" s="309" t="s">
        <v>1915</v>
      </c>
      <c r="J6" s="309" t="s">
        <v>1916</v>
      </c>
      <c r="K6" s="309" t="s">
        <v>1917</v>
      </c>
      <c r="L6" s="309" t="s">
        <v>1260</v>
      </c>
    </row>
    <row r="7" spans="1:13" ht="30" hidden="1" customHeight="1" x14ac:dyDescent="0.35">
      <c r="A7" s="320">
        <v>44379</v>
      </c>
      <c r="B7" s="316"/>
      <c r="C7" s="316">
        <v>1</v>
      </c>
      <c r="D7" s="317"/>
      <c r="E7" s="317">
        <v>1</v>
      </c>
      <c r="F7" s="316">
        <v>1</v>
      </c>
      <c r="G7" s="317"/>
      <c r="H7" s="316"/>
      <c r="I7" s="316"/>
      <c r="J7" s="316">
        <v>2</v>
      </c>
      <c r="K7" s="316">
        <v>3</v>
      </c>
      <c r="L7" s="316" t="s">
        <v>1918</v>
      </c>
    </row>
    <row r="8" spans="1:13" ht="25" hidden="1" customHeight="1" x14ac:dyDescent="0.35">
      <c r="A8" s="319">
        <v>44389</v>
      </c>
      <c r="B8" s="6">
        <v>1</v>
      </c>
      <c r="C8" s="6">
        <v>1</v>
      </c>
      <c r="D8" s="6">
        <v>1</v>
      </c>
      <c r="E8" s="6">
        <v>1</v>
      </c>
      <c r="F8" s="6">
        <v>1</v>
      </c>
      <c r="G8" s="6">
        <v>1</v>
      </c>
      <c r="H8" s="6" t="s">
        <v>36</v>
      </c>
      <c r="I8" s="6">
        <v>1</v>
      </c>
      <c r="J8" s="6" t="s">
        <v>36</v>
      </c>
      <c r="K8" s="6" t="s">
        <v>36</v>
      </c>
      <c r="L8" s="6"/>
      <c r="M8" s="21"/>
    </row>
    <row r="9" spans="1:13" ht="25" hidden="1" customHeight="1" x14ac:dyDescent="0.35">
      <c r="A9" s="319">
        <v>44390</v>
      </c>
      <c r="B9" s="6">
        <v>1</v>
      </c>
      <c r="C9" s="6">
        <v>1</v>
      </c>
      <c r="D9" s="6" t="s">
        <v>36</v>
      </c>
      <c r="E9" s="6">
        <v>1</v>
      </c>
      <c r="F9" s="6">
        <v>1</v>
      </c>
      <c r="G9" s="6" t="s">
        <v>36</v>
      </c>
      <c r="H9" s="6">
        <v>1</v>
      </c>
      <c r="I9" s="6">
        <v>1</v>
      </c>
      <c r="J9" s="6" t="s">
        <v>36</v>
      </c>
      <c r="K9" s="6" t="s">
        <v>36</v>
      </c>
      <c r="L9" s="6"/>
      <c r="M9" s="21"/>
    </row>
    <row r="10" spans="1:13" ht="25" hidden="1" customHeight="1" x14ac:dyDescent="0.35">
      <c r="A10" s="319">
        <v>44391</v>
      </c>
      <c r="B10" s="6">
        <v>1</v>
      </c>
      <c r="C10" s="6">
        <v>1</v>
      </c>
      <c r="D10" s="6" t="s">
        <v>36</v>
      </c>
      <c r="E10" s="6">
        <v>1</v>
      </c>
      <c r="F10" s="6">
        <v>1</v>
      </c>
      <c r="G10" s="6" t="s">
        <v>36</v>
      </c>
      <c r="H10" s="6">
        <v>1</v>
      </c>
      <c r="I10" s="6">
        <v>1</v>
      </c>
      <c r="J10" s="6" t="s">
        <v>1919</v>
      </c>
      <c r="K10" s="6" t="s">
        <v>36</v>
      </c>
      <c r="L10" s="6"/>
      <c r="M10" s="21"/>
    </row>
    <row r="11" spans="1:13" ht="25" hidden="1" customHeight="1" x14ac:dyDescent="0.35">
      <c r="A11" s="319">
        <v>44392</v>
      </c>
      <c r="B11" s="223"/>
      <c r="C11" s="223"/>
      <c r="D11" s="223"/>
      <c r="E11" s="223"/>
      <c r="F11" s="223"/>
      <c r="G11" s="223"/>
      <c r="H11" s="223"/>
      <c r="I11" s="223"/>
      <c r="J11" s="223"/>
      <c r="K11" s="223"/>
      <c r="L11" s="223"/>
      <c r="M11" s="21"/>
    </row>
    <row r="12" spans="1:13" ht="25" hidden="1" customHeight="1" x14ac:dyDescent="0.35">
      <c r="A12" s="319">
        <v>44393</v>
      </c>
      <c r="B12" s="223"/>
      <c r="C12" s="223"/>
      <c r="D12" s="223"/>
      <c r="E12" s="223"/>
      <c r="F12" s="223"/>
      <c r="G12" s="223"/>
      <c r="H12" s="223"/>
      <c r="I12" s="223"/>
      <c r="J12" s="223"/>
      <c r="K12" s="223"/>
      <c r="L12" s="223"/>
      <c r="M12" s="21"/>
    </row>
    <row r="13" spans="1:13" ht="25" hidden="1" customHeight="1" x14ac:dyDescent="0.35">
      <c r="A13" s="319">
        <v>44396</v>
      </c>
      <c r="B13" s="6">
        <v>1</v>
      </c>
      <c r="C13" s="6">
        <v>1</v>
      </c>
      <c r="D13" s="6" t="s">
        <v>36</v>
      </c>
      <c r="E13" s="6">
        <v>1</v>
      </c>
      <c r="F13" s="6">
        <v>1</v>
      </c>
      <c r="G13" s="6" t="s">
        <v>36</v>
      </c>
      <c r="H13" s="6">
        <v>1</v>
      </c>
      <c r="I13" s="6">
        <v>1</v>
      </c>
      <c r="J13" s="6" t="s">
        <v>36</v>
      </c>
      <c r="K13" s="6" t="s">
        <v>36</v>
      </c>
      <c r="L13" s="6"/>
      <c r="M13" s="21"/>
    </row>
    <row r="14" spans="1:13" ht="25" hidden="1" customHeight="1" x14ac:dyDescent="0.35">
      <c r="A14" s="319">
        <v>44398</v>
      </c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21"/>
    </row>
    <row r="15" spans="1:13" ht="25" hidden="1" customHeight="1" x14ac:dyDescent="0.35">
      <c r="A15" s="319">
        <v>44399</v>
      </c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21"/>
    </row>
    <row r="16" spans="1:13" ht="25" hidden="1" customHeight="1" x14ac:dyDescent="0.35">
      <c r="A16" s="319">
        <v>44400</v>
      </c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21"/>
    </row>
    <row r="17" spans="1:13" ht="25" customHeight="1" x14ac:dyDescent="0.35">
      <c r="A17" s="319">
        <v>44403</v>
      </c>
      <c r="B17" s="6">
        <v>1</v>
      </c>
      <c r="C17" s="6">
        <v>1</v>
      </c>
      <c r="D17" s="6">
        <v>0</v>
      </c>
      <c r="E17" s="6">
        <v>1</v>
      </c>
      <c r="F17" s="6">
        <v>1</v>
      </c>
      <c r="G17" s="6">
        <v>0</v>
      </c>
      <c r="H17" s="6">
        <v>1</v>
      </c>
      <c r="I17" s="6">
        <v>1</v>
      </c>
      <c r="J17" s="6">
        <v>0</v>
      </c>
      <c r="K17" s="6">
        <v>0</v>
      </c>
      <c r="L17" s="6"/>
      <c r="M17" s="21"/>
    </row>
    <row r="18" spans="1:13" ht="25" customHeight="1" x14ac:dyDescent="0.35">
      <c r="A18" s="319">
        <v>44404</v>
      </c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21"/>
    </row>
    <row r="19" spans="1:13" ht="25" customHeight="1" x14ac:dyDescent="0.35">
      <c r="A19" s="319">
        <v>44405</v>
      </c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21"/>
    </row>
    <row r="20" spans="1:13" ht="25" customHeight="1" x14ac:dyDescent="0.35">
      <c r="A20" s="319">
        <v>44406</v>
      </c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21"/>
    </row>
    <row r="21" spans="1:13" ht="25" customHeight="1" x14ac:dyDescent="0.35">
      <c r="A21" s="319">
        <v>44407</v>
      </c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21"/>
    </row>
    <row r="22" spans="1:13" ht="25" customHeight="1" x14ac:dyDescent="0.35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21"/>
    </row>
    <row r="23" spans="1:13" ht="25" customHeight="1" x14ac:dyDescent="0.35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21"/>
    </row>
    <row r="24" spans="1:13" ht="25" customHeight="1" x14ac:dyDescent="0.35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21"/>
    </row>
    <row r="25" spans="1:13" ht="25" customHeight="1" x14ac:dyDescent="0.35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21"/>
    </row>
    <row r="26" spans="1:13" ht="25" customHeight="1" x14ac:dyDescent="0.35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21"/>
    </row>
    <row r="27" spans="1:13" ht="25" customHeight="1" x14ac:dyDescent="0.35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21"/>
    </row>
    <row r="28" spans="1:13" ht="25" customHeight="1" x14ac:dyDescent="0.35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21"/>
    </row>
    <row r="29" spans="1:13" x14ac:dyDescent="0.35">
      <c r="A29" s="21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</row>
    <row r="30" spans="1:13" x14ac:dyDescent="0.3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</row>
    <row r="31" spans="1:13" x14ac:dyDescent="0.3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</row>
    <row r="32" spans="1:13" x14ac:dyDescent="0.3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</row>
    <row r="33" spans="1:13" x14ac:dyDescent="0.3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</row>
    <row r="34" spans="1:13" x14ac:dyDescent="0.35">
      <c r="A34" s="21"/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</row>
    <row r="35" spans="1:13" x14ac:dyDescent="0.35">
      <c r="A35" s="21"/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</row>
    <row r="36" spans="1:13" x14ac:dyDescent="0.35">
      <c r="A36" s="21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</row>
    <row r="37" spans="1:13" x14ac:dyDescent="0.35">
      <c r="A37" s="21"/>
    </row>
    <row r="38" spans="1:13" x14ac:dyDescent="0.35">
      <c r="A38" s="21"/>
    </row>
    <row r="39" spans="1:13" x14ac:dyDescent="0.35">
      <c r="A39" s="21"/>
    </row>
    <row r="40" spans="1:13" x14ac:dyDescent="0.35">
      <c r="A40" s="21"/>
    </row>
    <row r="41" spans="1:13" x14ac:dyDescent="0.35">
      <c r="A41" s="21"/>
    </row>
    <row r="42" spans="1:13" x14ac:dyDescent="0.35">
      <c r="A42" s="21"/>
    </row>
    <row r="43" spans="1:13" x14ac:dyDescent="0.35">
      <c r="A43" s="21"/>
    </row>
    <row r="44" spans="1:13" x14ac:dyDescent="0.35">
      <c r="A44" s="21"/>
    </row>
    <row r="45" spans="1:13" x14ac:dyDescent="0.35">
      <c r="A45" s="21"/>
    </row>
    <row r="46" spans="1:13" x14ac:dyDescent="0.35">
      <c r="A46" s="21"/>
    </row>
    <row r="47" spans="1:13" x14ac:dyDescent="0.35">
      <c r="A47" s="21"/>
    </row>
    <row r="48" spans="1:13" x14ac:dyDescent="0.35">
      <c r="A48" s="21"/>
    </row>
    <row r="49" spans="1:1" x14ac:dyDescent="0.35">
      <c r="A49" s="21"/>
    </row>
    <row r="50" spans="1:1" x14ac:dyDescent="0.35">
      <c r="A50" s="21"/>
    </row>
    <row r="51" spans="1:1" x14ac:dyDescent="0.35">
      <c r="A51" s="21"/>
    </row>
    <row r="52" spans="1:1" x14ac:dyDescent="0.35">
      <c r="A52" s="21"/>
    </row>
    <row r="53" spans="1:1" x14ac:dyDescent="0.35">
      <c r="A53" s="21"/>
    </row>
    <row r="54" spans="1:1" x14ac:dyDescent="0.35">
      <c r="A54" s="21"/>
    </row>
  </sheetData>
  <printOptions verticalCentered="1"/>
  <pageMargins left="0.70866141732283472" right="0.70866141732283472" top="0.74803149606299213" bottom="0.74803149606299213" header="0.31496062992125984" footer="0.31496062992125984"/>
  <pageSetup paperSize="9" scale="74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F57640-B4FE-47D5-9E46-4A42B9DC54D4}">
  <sheetPr codeName="Sheet12">
    <pageSetUpPr fitToPage="1"/>
  </sheetPr>
  <dimension ref="A1:P31"/>
  <sheetViews>
    <sheetView topLeftCell="A16" workbookViewId="0">
      <selection activeCell="F5" sqref="F5"/>
    </sheetView>
  </sheetViews>
  <sheetFormatPr defaultRowHeight="14.5" x14ac:dyDescent="0.35"/>
  <cols>
    <col min="1" max="1" width="9.26953125" customWidth="1"/>
    <col min="2" max="2" width="36.54296875" customWidth="1"/>
    <col min="3" max="4" width="14.54296875" customWidth="1"/>
    <col min="5" max="5" width="16.54296875" customWidth="1"/>
    <col min="6" max="6" width="10.54296875" style="340" customWidth="1"/>
    <col min="7" max="7" width="6.54296875" customWidth="1"/>
    <col min="8" max="8" width="2.54296875" customWidth="1"/>
    <col min="9" max="9" width="10.1796875" customWidth="1"/>
    <col min="10" max="10" width="36.54296875" customWidth="1"/>
    <col min="11" max="12" width="14.54296875" customWidth="1"/>
    <col min="13" max="13" width="16.54296875" customWidth="1"/>
    <col min="14" max="14" width="10.54296875" customWidth="1"/>
    <col min="15" max="15" width="6.54296875" customWidth="1"/>
    <col min="16" max="16" width="14.54296875" customWidth="1"/>
  </cols>
  <sheetData>
    <row r="1" spans="1:16" ht="15" thickBot="1" x14ac:dyDescent="0.4"/>
    <row r="2" spans="1:16" ht="33" customHeight="1" thickBot="1" x14ac:dyDescent="0.4">
      <c r="A2" s="322" t="s">
        <v>0</v>
      </c>
      <c r="B2" s="323" t="s">
        <v>1</v>
      </c>
      <c r="C2" s="324" t="s">
        <v>845</v>
      </c>
      <c r="D2" s="323" t="s">
        <v>60</v>
      </c>
      <c r="E2" s="323" t="s">
        <v>31</v>
      </c>
      <c r="F2" s="341" t="s">
        <v>1974</v>
      </c>
      <c r="G2" s="325" t="s">
        <v>1961</v>
      </c>
      <c r="I2" s="322" t="s">
        <v>0</v>
      </c>
      <c r="J2" s="323" t="s">
        <v>1</v>
      </c>
      <c r="K2" s="324" t="s">
        <v>845</v>
      </c>
      <c r="L2" s="323" t="s">
        <v>60</v>
      </c>
      <c r="M2" s="323" t="s">
        <v>31</v>
      </c>
      <c r="N2" s="341" t="s">
        <v>1974</v>
      </c>
      <c r="O2" s="325" t="s">
        <v>1961</v>
      </c>
      <c r="P2" s="326"/>
    </row>
    <row r="3" spans="1:16" ht="22" customHeight="1" x14ac:dyDescent="0.35">
      <c r="A3" s="337" t="s">
        <v>1440</v>
      </c>
      <c r="B3" s="331" t="s">
        <v>270</v>
      </c>
      <c r="C3" s="332" t="s">
        <v>846</v>
      </c>
      <c r="D3" s="332" t="s">
        <v>61</v>
      </c>
      <c r="E3" s="327" t="s">
        <v>1971</v>
      </c>
      <c r="F3" s="335">
        <v>29</v>
      </c>
      <c r="G3" s="334"/>
      <c r="H3" s="336"/>
      <c r="I3" s="339" t="s">
        <v>1689</v>
      </c>
      <c r="J3" s="331" t="s">
        <v>286</v>
      </c>
      <c r="K3" s="332" t="s">
        <v>1834</v>
      </c>
      <c r="L3" s="332" t="s">
        <v>44</v>
      </c>
      <c r="M3" s="327" t="s">
        <v>100</v>
      </c>
      <c r="N3" s="335">
        <v>18</v>
      </c>
      <c r="O3" s="331"/>
    </row>
    <row r="4" spans="1:16" ht="22" customHeight="1" x14ac:dyDescent="0.35">
      <c r="A4" s="337" t="s">
        <v>1447</v>
      </c>
      <c r="B4" s="331" t="s">
        <v>272</v>
      </c>
      <c r="C4" s="332" t="s">
        <v>846</v>
      </c>
      <c r="D4" s="332" t="s">
        <v>61</v>
      </c>
      <c r="E4" s="327" t="s">
        <v>1962</v>
      </c>
      <c r="F4" s="335">
        <v>6</v>
      </c>
      <c r="G4" s="331"/>
      <c r="H4" s="336"/>
      <c r="I4" s="339" t="s">
        <v>1691</v>
      </c>
      <c r="J4" s="331" t="s">
        <v>739</v>
      </c>
      <c r="K4" s="332" t="s">
        <v>1834</v>
      </c>
      <c r="L4" s="332" t="s">
        <v>46</v>
      </c>
      <c r="M4" s="327" t="s">
        <v>100</v>
      </c>
      <c r="N4" s="335">
        <v>9.5</v>
      </c>
      <c r="O4" s="331"/>
    </row>
    <row r="5" spans="1:16" ht="22" customHeight="1" x14ac:dyDescent="0.35">
      <c r="A5" s="337" t="s">
        <v>1448</v>
      </c>
      <c r="B5" s="331" t="s">
        <v>273</v>
      </c>
      <c r="C5" s="332" t="s">
        <v>846</v>
      </c>
      <c r="D5" s="332" t="s">
        <v>61</v>
      </c>
      <c r="E5" s="327" t="s">
        <v>1962</v>
      </c>
      <c r="F5" s="335">
        <v>6</v>
      </c>
      <c r="G5" s="331"/>
      <c r="H5" s="336"/>
      <c r="I5" s="339" t="s">
        <v>1696</v>
      </c>
      <c r="J5" s="331" t="s">
        <v>287</v>
      </c>
      <c r="K5" s="332"/>
      <c r="L5" s="332" t="s">
        <v>1969</v>
      </c>
      <c r="M5" s="327" t="s">
        <v>704</v>
      </c>
      <c r="N5" s="335">
        <v>23</v>
      </c>
      <c r="O5" s="331"/>
    </row>
    <row r="6" spans="1:16" ht="22" customHeight="1" x14ac:dyDescent="0.35">
      <c r="A6" s="337" t="s">
        <v>1449</v>
      </c>
      <c r="B6" s="331" t="s">
        <v>274</v>
      </c>
      <c r="C6" s="332" t="s">
        <v>846</v>
      </c>
      <c r="D6" s="332" t="s">
        <v>61</v>
      </c>
      <c r="E6" s="327" t="s">
        <v>1962</v>
      </c>
      <c r="F6" s="335">
        <v>7</v>
      </c>
      <c r="G6" s="331"/>
      <c r="H6" s="336"/>
      <c r="I6" s="339" t="s">
        <v>1704</v>
      </c>
      <c r="J6" s="331" t="s">
        <v>289</v>
      </c>
      <c r="K6" s="331"/>
      <c r="L6" s="332" t="s">
        <v>47</v>
      </c>
      <c r="M6" s="327" t="s">
        <v>706</v>
      </c>
      <c r="N6" s="335">
        <v>26</v>
      </c>
      <c r="O6" s="331"/>
    </row>
    <row r="7" spans="1:16" ht="22" customHeight="1" x14ac:dyDescent="0.35">
      <c r="A7" s="337" t="s">
        <v>1458</v>
      </c>
      <c r="B7" s="331" t="s">
        <v>282</v>
      </c>
      <c r="C7" s="332" t="s">
        <v>846</v>
      </c>
      <c r="D7" s="332" t="s">
        <v>61</v>
      </c>
      <c r="E7" s="327" t="s">
        <v>529</v>
      </c>
      <c r="F7" s="335">
        <v>6.5</v>
      </c>
      <c r="G7" s="331"/>
      <c r="H7" s="336"/>
      <c r="I7" s="339" t="s">
        <v>1706</v>
      </c>
      <c r="J7" s="331" t="s">
        <v>290</v>
      </c>
      <c r="K7" s="331"/>
      <c r="L7" s="332" t="s">
        <v>48</v>
      </c>
      <c r="M7" s="327" t="s">
        <v>707</v>
      </c>
      <c r="N7" s="335">
        <v>19</v>
      </c>
      <c r="O7" s="331"/>
    </row>
    <row r="8" spans="1:16" ht="22" customHeight="1" x14ac:dyDescent="0.35">
      <c r="A8" s="337" t="s">
        <v>1482</v>
      </c>
      <c r="B8" s="331" t="s">
        <v>277</v>
      </c>
      <c r="C8" s="332" t="s">
        <v>1101</v>
      </c>
      <c r="D8" s="332" t="s">
        <v>1972</v>
      </c>
      <c r="E8" s="327" t="s">
        <v>34</v>
      </c>
      <c r="F8" s="335">
        <v>6.5</v>
      </c>
      <c r="G8" s="331"/>
      <c r="H8" s="336"/>
      <c r="I8" s="339" t="s">
        <v>1709</v>
      </c>
      <c r="J8" s="331" t="s">
        <v>292</v>
      </c>
      <c r="K8" s="331"/>
      <c r="L8" s="332" t="s">
        <v>49</v>
      </c>
      <c r="M8" s="327" t="s">
        <v>708</v>
      </c>
      <c r="N8" s="335">
        <v>19</v>
      </c>
      <c r="O8" s="331"/>
    </row>
    <row r="9" spans="1:16" ht="22" customHeight="1" x14ac:dyDescent="0.35">
      <c r="A9" s="337" t="s">
        <v>1494</v>
      </c>
      <c r="B9" s="331" t="s">
        <v>603</v>
      </c>
      <c r="C9" s="332" t="s">
        <v>1229</v>
      </c>
      <c r="D9" s="332" t="s">
        <v>36</v>
      </c>
      <c r="E9" s="327" t="s">
        <v>41</v>
      </c>
      <c r="F9" s="335">
        <v>25</v>
      </c>
      <c r="G9" s="331"/>
      <c r="H9" s="336"/>
      <c r="I9" s="339" t="s">
        <v>1715</v>
      </c>
      <c r="J9" s="329" t="s">
        <v>1411</v>
      </c>
      <c r="K9" s="328" t="s">
        <v>1232</v>
      </c>
      <c r="L9" s="332" t="s">
        <v>1412</v>
      </c>
      <c r="M9" s="327" t="s">
        <v>1970</v>
      </c>
      <c r="N9" s="335">
        <v>54</v>
      </c>
      <c r="O9" s="331"/>
    </row>
    <row r="10" spans="1:16" ht="22" customHeight="1" x14ac:dyDescent="0.35">
      <c r="A10" s="337" t="s">
        <v>1498</v>
      </c>
      <c r="B10" s="329" t="s">
        <v>284</v>
      </c>
      <c r="C10" s="327" t="s">
        <v>1963</v>
      </c>
      <c r="D10" s="332" t="s">
        <v>537</v>
      </c>
      <c r="E10" s="327" t="s">
        <v>1964</v>
      </c>
      <c r="F10" s="335">
        <v>25</v>
      </c>
      <c r="G10" s="331"/>
      <c r="H10" s="336"/>
      <c r="I10" s="337" t="s">
        <v>1763</v>
      </c>
      <c r="J10" s="331" t="s">
        <v>1241</v>
      </c>
      <c r="K10" s="332" t="s">
        <v>1834</v>
      </c>
      <c r="L10" s="332" t="s">
        <v>36</v>
      </c>
      <c r="M10" s="327" t="s">
        <v>71</v>
      </c>
      <c r="N10" s="335">
        <v>6.5</v>
      </c>
      <c r="O10" s="331"/>
    </row>
    <row r="11" spans="1:16" ht="22" customHeight="1" x14ac:dyDescent="0.35">
      <c r="A11" s="337" t="s">
        <v>1530</v>
      </c>
      <c r="B11" s="331" t="s">
        <v>298</v>
      </c>
      <c r="C11" s="332" t="s">
        <v>1103</v>
      </c>
      <c r="D11" s="332" t="s">
        <v>1531</v>
      </c>
      <c r="E11" s="327" t="s">
        <v>529</v>
      </c>
      <c r="F11" s="335">
        <v>9.3000000000000007</v>
      </c>
      <c r="G11" s="331"/>
      <c r="H11" s="336"/>
      <c r="I11" s="337" t="s">
        <v>1766</v>
      </c>
      <c r="J11" s="331" t="s">
        <v>316</v>
      </c>
      <c r="K11" s="332" t="s">
        <v>1834</v>
      </c>
      <c r="L11" s="332" t="s">
        <v>610</v>
      </c>
      <c r="M11" s="327" t="s">
        <v>530</v>
      </c>
      <c r="N11" s="335">
        <v>13.5</v>
      </c>
      <c r="O11" s="331"/>
    </row>
    <row r="12" spans="1:16" ht="22" customHeight="1" x14ac:dyDescent="0.35">
      <c r="A12" s="339" t="s">
        <v>1563</v>
      </c>
      <c r="B12" s="331" t="s">
        <v>295</v>
      </c>
      <c r="C12" s="332" t="s">
        <v>494</v>
      </c>
      <c r="D12" s="332" t="s">
        <v>259</v>
      </c>
      <c r="E12" s="330" t="s">
        <v>1340</v>
      </c>
      <c r="F12" s="335">
        <v>10.5</v>
      </c>
      <c r="G12" s="331"/>
      <c r="H12" s="336"/>
      <c r="I12" s="337" t="s">
        <v>1768</v>
      </c>
      <c r="J12" s="331" t="s">
        <v>317</v>
      </c>
      <c r="K12" s="332" t="s">
        <v>1834</v>
      </c>
      <c r="L12" s="332" t="s">
        <v>610</v>
      </c>
      <c r="M12" s="327" t="s">
        <v>530</v>
      </c>
      <c r="N12" s="335">
        <v>13.5</v>
      </c>
      <c r="O12" s="331"/>
    </row>
    <row r="13" spans="1:16" ht="22" customHeight="1" x14ac:dyDescent="0.35">
      <c r="A13" s="337" t="s">
        <v>1566</v>
      </c>
      <c r="B13" s="331" t="s">
        <v>283</v>
      </c>
      <c r="C13" s="332" t="s">
        <v>846</v>
      </c>
      <c r="D13" s="332" t="s">
        <v>973</v>
      </c>
      <c r="E13" s="327" t="s">
        <v>68</v>
      </c>
      <c r="F13" s="335">
        <v>4.8</v>
      </c>
      <c r="G13" s="331"/>
      <c r="H13" s="336"/>
      <c r="I13" s="337" t="s">
        <v>1771</v>
      </c>
      <c r="J13" s="331" t="s">
        <v>318</v>
      </c>
      <c r="K13" s="332" t="s">
        <v>1834</v>
      </c>
      <c r="L13" s="332" t="s">
        <v>1770</v>
      </c>
      <c r="M13" s="327" t="s">
        <v>135</v>
      </c>
      <c r="N13" s="335">
        <v>25</v>
      </c>
      <c r="O13" s="331"/>
    </row>
    <row r="14" spans="1:16" ht="22" customHeight="1" x14ac:dyDescent="0.35">
      <c r="A14" s="337" t="s">
        <v>1569</v>
      </c>
      <c r="B14" s="331" t="s">
        <v>463</v>
      </c>
      <c r="C14" s="332" t="s">
        <v>1103</v>
      </c>
      <c r="D14" s="332" t="s">
        <v>36</v>
      </c>
      <c r="E14" s="327" t="s">
        <v>1973</v>
      </c>
      <c r="F14" s="335">
        <v>5</v>
      </c>
      <c r="G14" s="331"/>
      <c r="H14" s="336"/>
      <c r="I14" s="337" t="s">
        <v>1779</v>
      </c>
      <c r="J14" s="329" t="s">
        <v>297</v>
      </c>
      <c r="K14" s="327" t="s">
        <v>53</v>
      </c>
      <c r="L14" s="327" t="s">
        <v>494</v>
      </c>
      <c r="M14" s="327" t="s">
        <v>64</v>
      </c>
      <c r="N14" s="335">
        <v>31</v>
      </c>
      <c r="O14" s="331"/>
    </row>
    <row r="15" spans="1:16" ht="22" customHeight="1" x14ac:dyDescent="0.35">
      <c r="A15" s="337" t="s">
        <v>1572</v>
      </c>
      <c r="B15" s="331" t="s">
        <v>302</v>
      </c>
      <c r="C15" s="332" t="s">
        <v>1103</v>
      </c>
      <c r="D15" s="332" t="s">
        <v>36</v>
      </c>
      <c r="E15" s="327" t="s">
        <v>54</v>
      </c>
      <c r="F15" s="335">
        <v>18.5</v>
      </c>
      <c r="G15" s="331"/>
      <c r="H15" s="336"/>
      <c r="I15" s="337" t="s">
        <v>1809</v>
      </c>
      <c r="J15" s="329" t="s">
        <v>611</v>
      </c>
      <c r="K15" s="332"/>
      <c r="L15" s="327" t="s">
        <v>659</v>
      </c>
      <c r="M15" s="327" t="s">
        <v>569</v>
      </c>
      <c r="N15" s="335">
        <v>20</v>
      </c>
      <c r="O15" s="331"/>
    </row>
    <row r="16" spans="1:16" ht="22" customHeight="1" x14ac:dyDescent="0.35">
      <c r="A16" s="337" t="s">
        <v>1585</v>
      </c>
      <c r="B16" s="331" t="s">
        <v>304</v>
      </c>
      <c r="C16" s="332" t="s">
        <v>1965</v>
      </c>
      <c r="D16" s="332" t="s">
        <v>36</v>
      </c>
      <c r="E16" s="327" t="s">
        <v>880</v>
      </c>
      <c r="F16" s="335">
        <v>13.5</v>
      </c>
      <c r="G16" s="331"/>
      <c r="H16" s="336"/>
      <c r="I16" s="337" t="s">
        <v>1817</v>
      </c>
      <c r="J16" s="543" t="s">
        <v>299</v>
      </c>
      <c r="K16" s="543"/>
      <c r="L16" s="332" t="s">
        <v>599</v>
      </c>
      <c r="M16" s="327" t="s">
        <v>543</v>
      </c>
      <c r="N16" s="335">
        <v>18</v>
      </c>
      <c r="O16" s="331"/>
    </row>
    <row r="17" spans="1:15" ht="22" customHeight="1" x14ac:dyDescent="0.35">
      <c r="A17" s="337" t="s">
        <v>1593</v>
      </c>
      <c r="B17" s="331" t="s">
        <v>305</v>
      </c>
      <c r="C17" s="332" t="s">
        <v>1834</v>
      </c>
      <c r="D17" s="332" t="s">
        <v>1966</v>
      </c>
      <c r="E17" s="327" t="s">
        <v>1156</v>
      </c>
      <c r="F17" s="335">
        <v>16.5</v>
      </c>
      <c r="G17" s="331"/>
      <c r="H17" s="336"/>
      <c r="I17" s="337"/>
      <c r="J17" s="329"/>
      <c r="K17" s="329"/>
      <c r="L17" s="332"/>
      <c r="M17" s="327"/>
      <c r="N17" s="338"/>
      <c r="O17" s="331"/>
    </row>
    <row r="18" spans="1:15" ht="22" customHeight="1" x14ac:dyDescent="0.35">
      <c r="A18" s="337" t="s">
        <v>1599</v>
      </c>
      <c r="B18" s="331" t="s">
        <v>306</v>
      </c>
      <c r="C18" s="332" t="s">
        <v>53</v>
      </c>
      <c r="D18" s="332" t="s">
        <v>36</v>
      </c>
      <c r="E18" s="327" t="s">
        <v>54</v>
      </c>
      <c r="F18" s="335">
        <v>18</v>
      </c>
      <c r="G18" s="331"/>
      <c r="H18" s="336"/>
      <c r="I18" s="337"/>
      <c r="J18" s="329"/>
      <c r="K18" s="327"/>
      <c r="L18" s="332"/>
      <c r="M18" s="327"/>
      <c r="N18" s="338"/>
      <c r="O18" s="331"/>
    </row>
    <row r="19" spans="1:15" ht="22" customHeight="1" x14ac:dyDescent="0.35">
      <c r="A19" s="337" t="s">
        <v>1603</v>
      </c>
      <c r="B19" s="331" t="s">
        <v>307</v>
      </c>
      <c r="C19" s="332" t="s">
        <v>1967</v>
      </c>
      <c r="D19" s="332" t="s">
        <v>36</v>
      </c>
      <c r="E19" s="327" t="s">
        <v>54</v>
      </c>
      <c r="F19" s="335">
        <v>10</v>
      </c>
      <c r="G19" s="331"/>
      <c r="H19" s="336"/>
      <c r="I19" s="337"/>
      <c r="J19" s="331"/>
      <c r="K19" s="331"/>
      <c r="L19" s="332"/>
      <c r="M19" s="327"/>
      <c r="N19" s="338"/>
      <c r="O19" s="331"/>
    </row>
    <row r="20" spans="1:15" ht="22" customHeight="1" x14ac:dyDescent="0.35">
      <c r="A20" s="337" t="s">
        <v>1606</v>
      </c>
      <c r="B20" s="331" t="s">
        <v>308</v>
      </c>
      <c r="C20" s="332" t="s">
        <v>1101</v>
      </c>
      <c r="D20" s="332" t="s">
        <v>36</v>
      </c>
      <c r="E20" s="327" t="s">
        <v>73</v>
      </c>
      <c r="F20" s="335">
        <v>8.6999999999999993</v>
      </c>
      <c r="G20" s="331"/>
      <c r="H20" s="336"/>
      <c r="I20" s="331"/>
      <c r="J20" s="331"/>
      <c r="K20" s="333"/>
      <c r="L20" s="332"/>
      <c r="M20" s="332"/>
      <c r="N20" s="335"/>
      <c r="O20" s="331"/>
    </row>
    <row r="21" spans="1:15" ht="22" customHeight="1" x14ac:dyDescent="0.35">
      <c r="A21" s="337" t="s">
        <v>1608</v>
      </c>
      <c r="B21" s="331" t="s">
        <v>309</v>
      </c>
      <c r="C21" s="332" t="s">
        <v>1968</v>
      </c>
      <c r="D21" s="332" t="s">
        <v>36</v>
      </c>
      <c r="E21" s="327" t="s">
        <v>54</v>
      </c>
      <c r="F21" s="335">
        <v>7</v>
      </c>
      <c r="G21" s="331"/>
      <c r="H21" s="336"/>
      <c r="I21" s="331"/>
      <c r="J21" s="331"/>
      <c r="K21" s="333"/>
      <c r="L21" s="332"/>
      <c r="M21" s="332"/>
      <c r="N21" s="335"/>
      <c r="O21" s="331"/>
    </row>
    <row r="22" spans="1:15" ht="22" customHeight="1" x14ac:dyDescent="0.35">
      <c r="A22" s="337" t="s">
        <v>1615</v>
      </c>
      <c r="B22" s="331" t="s">
        <v>311</v>
      </c>
      <c r="C22" s="332" t="s">
        <v>1834</v>
      </c>
      <c r="D22" s="332" t="s">
        <v>1966</v>
      </c>
      <c r="E22" s="327" t="s">
        <v>54</v>
      </c>
      <c r="F22" s="335">
        <v>10.5</v>
      </c>
      <c r="G22" s="331"/>
      <c r="H22" s="336"/>
      <c r="I22" s="331"/>
      <c r="J22" s="331"/>
      <c r="K22" s="332"/>
      <c r="L22" s="332"/>
      <c r="M22" s="332"/>
      <c r="N22" s="335"/>
      <c r="O22" s="331"/>
    </row>
    <row r="23" spans="1:15" ht="22" customHeight="1" x14ac:dyDescent="0.35">
      <c r="A23" s="337" t="s">
        <v>1618</v>
      </c>
      <c r="B23" s="331" t="s">
        <v>312</v>
      </c>
      <c r="C23" s="332" t="s">
        <v>1834</v>
      </c>
      <c r="D23" s="332" t="s">
        <v>1871</v>
      </c>
      <c r="E23" s="327" t="s">
        <v>34</v>
      </c>
      <c r="F23" s="335">
        <v>12</v>
      </c>
      <c r="G23" s="331"/>
      <c r="H23" s="336"/>
      <c r="I23" s="331"/>
      <c r="J23" s="331"/>
      <c r="K23" s="332"/>
      <c r="L23" s="332"/>
      <c r="M23" s="332"/>
      <c r="N23" s="335"/>
      <c r="O23" s="331"/>
    </row>
    <row r="24" spans="1:15" ht="22" customHeight="1" x14ac:dyDescent="0.35">
      <c r="A24" s="337" t="s">
        <v>1624</v>
      </c>
      <c r="B24" s="331" t="s">
        <v>877</v>
      </c>
      <c r="C24" s="332" t="s">
        <v>1103</v>
      </c>
      <c r="D24" s="332" t="s">
        <v>649</v>
      </c>
      <c r="E24" s="327" t="s">
        <v>34</v>
      </c>
      <c r="F24" s="335">
        <v>16</v>
      </c>
      <c r="G24" s="331"/>
      <c r="H24" s="336"/>
      <c r="I24" s="331"/>
      <c r="J24" s="331"/>
      <c r="K24" s="332"/>
      <c r="L24" s="332"/>
      <c r="M24" s="332"/>
      <c r="N24" s="335"/>
      <c r="O24" s="331"/>
    </row>
    <row r="25" spans="1:15" ht="22" customHeight="1" x14ac:dyDescent="0.35">
      <c r="A25" s="337" t="s">
        <v>1838</v>
      </c>
      <c r="B25" s="329" t="s">
        <v>464</v>
      </c>
      <c r="C25" s="327" t="s">
        <v>1103</v>
      </c>
      <c r="D25" s="332" t="s">
        <v>36</v>
      </c>
      <c r="E25" s="327" t="s">
        <v>41</v>
      </c>
      <c r="F25" s="335">
        <v>6</v>
      </c>
      <c r="G25" s="331"/>
      <c r="H25" s="336"/>
      <c r="I25" s="331"/>
      <c r="J25" s="331"/>
      <c r="K25" s="332"/>
      <c r="L25" s="332"/>
      <c r="M25" s="332"/>
      <c r="N25" s="335"/>
      <c r="O25" s="331"/>
    </row>
    <row r="26" spans="1:15" ht="22" customHeight="1" x14ac:dyDescent="0.35">
      <c r="A26" s="339" t="s">
        <v>1657</v>
      </c>
      <c r="B26" s="331" t="s">
        <v>339</v>
      </c>
      <c r="C26" s="332"/>
      <c r="D26" s="332" t="s">
        <v>36</v>
      </c>
      <c r="E26" s="327" t="s">
        <v>56</v>
      </c>
      <c r="F26" s="335">
        <v>9.5</v>
      </c>
      <c r="G26" s="331"/>
      <c r="H26" s="336"/>
      <c r="I26" s="331"/>
      <c r="J26" s="331"/>
      <c r="K26" s="333"/>
      <c r="L26" s="332"/>
      <c r="M26" s="332"/>
      <c r="N26" s="335"/>
      <c r="O26" s="331"/>
    </row>
    <row r="27" spans="1:15" x14ac:dyDescent="0.35">
      <c r="A27" s="336"/>
      <c r="B27" s="336"/>
      <c r="C27" s="336"/>
      <c r="D27" s="336"/>
      <c r="E27" s="336"/>
      <c r="F27" s="342"/>
      <c r="G27" s="336"/>
      <c r="H27" s="336"/>
      <c r="I27" s="336"/>
      <c r="J27" s="336"/>
      <c r="K27" s="336"/>
      <c r="L27" s="336"/>
      <c r="M27" s="336"/>
      <c r="N27" s="336"/>
      <c r="O27" s="336"/>
    </row>
    <row r="28" spans="1:15" x14ac:dyDescent="0.35">
      <c r="A28" s="336"/>
      <c r="B28" s="336"/>
      <c r="C28" s="336"/>
      <c r="D28" s="336"/>
      <c r="E28" s="336"/>
      <c r="F28" s="342"/>
      <c r="G28" s="336"/>
      <c r="H28" s="336"/>
      <c r="I28" s="336"/>
      <c r="J28" s="336"/>
      <c r="K28" s="336"/>
      <c r="L28" s="336"/>
      <c r="M28" s="336"/>
      <c r="N28" s="336"/>
      <c r="O28" s="336"/>
    </row>
    <row r="29" spans="1:15" x14ac:dyDescent="0.35">
      <c r="A29" s="336"/>
      <c r="B29" s="336"/>
      <c r="C29" s="336"/>
      <c r="D29" s="336"/>
      <c r="E29" s="336"/>
      <c r="F29" s="342"/>
      <c r="G29" s="336"/>
      <c r="H29" s="336"/>
      <c r="I29" s="336"/>
      <c r="J29" s="336"/>
      <c r="K29" s="336"/>
      <c r="L29" s="336"/>
      <c r="M29" s="336"/>
      <c r="N29" s="336"/>
      <c r="O29" s="336"/>
    </row>
    <row r="30" spans="1:15" x14ac:dyDescent="0.35">
      <c r="A30" s="336"/>
      <c r="B30" s="336"/>
      <c r="C30" s="336"/>
      <c r="D30" s="336"/>
      <c r="E30" s="336"/>
      <c r="F30" s="342"/>
      <c r="G30" s="336"/>
      <c r="H30" s="336"/>
      <c r="I30" s="336"/>
      <c r="J30" s="336"/>
      <c r="K30" s="336"/>
      <c r="L30" s="336"/>
      <c r="M30" s="336"/>
      <c r="N30" s="336"/>
      <c r="O30" s="336"/>
    </row>
    <row r="31" spans="1:15" x14ac:dyDescent="0.35">
      <c r="A31" s="336"/>
      <c r="B31" s="336"/>
      <c r="C31" s="336"/>
      <c r="D31" s="336"/>
      <c r="E31" s="336"/>
      <c r="F31" s="342"/>
      <c r="G31" s="336"/>
      <c r="H31" s="336"/>
      <c r="I31" s="336"/>
      <c r="J31" s="336"/>
      <c r="K31" s="336"/>
      <c r="L31" s="336"/>
      <c r="M31" s="336"/>
      <c r="N31" s="336"/>
      <c r="O31" s="336"/>
    </row>
  </sheetData>
  <mergeCells count="1">
    <mergeCell ref="J16:K16"/>
  </mergeCells>
  <pageMargins left="0.51181102362204722" right="0.19685039370078741" top="0.74803149606299213" bottom="0.15748031496062992" header="0.31496062992125984" footer="0.31496062992125984"/>
  <pageSetup paperSize="9" scale="63" fitToHeight="0" orientation="landscape"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1D622E-5D71-4D08-9DEF-8BC5F0BA3A9E}">
  <sheetPr codeName="Sheet13">
    <pageSetUpPr fitToPage="1"/>
  </sheetPr>
  <dimension ref="A2:I55"/>
  <sheetViews>
    <sheetView workbookViewId="0">
      <selection activeCell="F5" sqref="F5"/>
    </sheetView>
  </sheetViews>
  <sheetFormatPr defaultRowHeight="14.5" x14ac:dyDescent="0.35"/>
  <cols>
    <col min="1" max="1" width="9.26953125" customWidth="1"/>
    <col min="2" max="2" width="36.54296875" customWidth="1"/>
    <col min="3" max="4" width="14.54296875" customWidth="1"/>
    <col min="5" max="5" width="16.54296875" customWidth="1"/>
    <col min="6" max="6" width="10.54296875" style="340" customWidth="1"/>
    <col min="7" max="7" width="6.54296875" customWidth="1"/>
    <col min="8" max="8" width="2.54296875" customWidth="1"/>
    <col min="9" max="9" width="14.54296875" customWidth="1"/>
  </cols>
  <sheetData>
    <row r="2" spans="1:9" ht="33" customHeight="1" x14ac:dyDescent="0.35">
      <c r="A2" s="17" t="s">
        <v>0</v>
      </c>
      <c r="B2" s="18" t="s">
        <v>1</v>
      </c>
      <c r="C2" s="17" t="s">
        <v>845</v>
      </c>
      <c r="D2" s="18" t="s">
        <v>60</v>
      </c>
      <c r="E2" s="18" t="s">
        <v>31</v>
      </c>
      <c r="F2" s="345" t="s">
        <v>2019</v>
      </c>
      <c r="G2" s="309" t="s">
        <v>1961</v>
      </c>
      <c r="I2" s="326"/>
    </row>
    <row r="3" spans="1:9" ht="20.149999999999999" customHeight="1" x14ac:dyDescent="0.35">
      <c r="A3" s="200" t="s">
        <v>1440</v>
      </c>
      <c r="B3" s="200" t="s">
        <v>270</v>
      </c>
      <c r="C3" s="95" t="s">
        <v>846</v>
      </c>
      <c r="D3" s="95" t="s">
        <v>61</v>
      </c>
      <c r="E3" s="95" t="s">
        <v>1444</v>
      </c>
      <c r="F3" s="240">
        <v>29</v>
      </c>
      <c r="G3" s="331"/>
      <c r="H3" s="336"/>
    </row>
    <row r="4" spans="1:9" ht="20.149999999999999" customHeight="1" x14ac:dyDescent="0.35">
      <c r="A4" s="200" t="s">
        <v>1447</v>
      </c>
      <c r="B4" s="200" t="s">
        <v>272</v>
      </c>
      <c r="C4" s="239" t="s">
        <v>846</v>
      </c>
      <c r="D4" s="95" t="s">
        <v>61</v>
      </c>
      <c r="E4" s="95" t="s">
        <v>656</v>
      </c>
      <c r="F4" s="240">
        <v>7</v>
      </c>
      <c r="G4" s="331"/>
      <c r="H4" s="336"/>
    </row>
    <row r="5" spans="1:9" ht="20.149999999999999" customHeight="1" x14ac:dyDescent="0.35">
      <c r="A5" s="200" t="s">
        <v>1448</v>
      </c>
      <c r="B5" s="200" t="s">
        <v>273</v>
      </c>
      <c r="C5" s="239" t="s">
        <v>846</v>
      </c>
      <c r="D5" s="95" t="s">
        <v>61</v>
      </c>
      <c r="E5" s="95" t="s">
        <v>656</v>
      </c>
      <c r="F5" s="240">
        <v>6</v>
      </c>
      <c r="G5" s="331"/>
      <c r="H5" s="336"/>
    </row>
    <row r="6" spans="1:9" ht="20.149999999999999" customHeight="1" x14ac:dyDescent="0.35">
      <c r="A6" s="200" t="s">
        <v>1459</v>
      </c>
      <c r="B6" s="200" t="s">
        <v>282</v>
      </c>
      <c r="C6" s="239" t="s">
        <v>846</v>
      </c>
      <c r="D6" s="95" t="s">
        <v>973</v>
      </c>
      <c r="E6" s="95" t="s">
        <v>529</v>
      </c>
      <c r="F6" s="240">
        <v>9</v>
      </c>
      <c r="G6" s="331"/>
      <c r="H6" s="336"/>
    </row>
    <row r="7" spans="1:9" ht="20.149999999999999" customHeight="1" x14ac:dyDescent="0.35">
      <c r="A7" s="200" t="s">
        <v>1482</v>
      </c>
      <c r="B7" s="200" t="s">
        <v>277</v>
      </c>
      <c r="C7" s="239" t="s">
        <v>1101</v>
      </c>
      <c r="D7" s="95" t="s">
        <v>36</v>
      </c>
      <c r="E7" s="95" t="s">
        <v>1222</v>
      </c>
      <c r="F7" s="240">
        <v>6</v>
      </c>
      <c r="G7" s="331"/>
      <c r="H7" s="336"/>
    </row>
    <row r="8" spans="1:9" ht="20.149999999999999" customHeight="1" x14ac:dyDescent="0.35">
      <c r="A8" s="200" t="s">
        <v>1493</v>
      </c>
      <c r="B8" s="200" t="s">
        <v>1240</v>
      </c>
      <c r="C8" s="239" t="s">
        <v>1229</v>
      </c>
      <c r="D8" s="95" t="s">
        <v>36</v>
      </c>
      <c r="E8" s="95" t="s">
        <v>1496</v>
      </c>
      <c r="F8" s="240">
        <v>112</v>
      </c>
      <c r="G8" s="331"/>
      <c r="H8" s="336"/>
    </row>
    <row r="9" spans="1:9" ht="20.149999999999999" customHeight="1" x14ac:dyDescent="0.35">
      <c r="A9" s="200" t="s">
        <v>1497</v>
      </c>
      <c r="B9" s="200" t="s">
        <v>1861</v>
      </c>
      <c r="C9" s="200"/>
      <c r="D9" s="95" t="s">
        <v>537</v>
      </c>
      <c r="E9" s="95" t="s">
        <v>34</v>
      </c>
      <c r="F9" s="240">
        <v>35</v>
      </c>
      <c r="G9" s="331"/>
      <c r="H9" s="336"/>
    </row>
    <row r="10" spans="1:9" ht="20.149999999999999" customHeight="1" x14ac:dyDescent="0.35">
      <c r="A10" s="200" t="s">
        <v>1514</v>
      </c>
      <c r="B10" s="200" t="s">
        <v>607</v>
      </c>
      <c r="C10" s="95"/>
      <c r="D10" s="95" t="s">
        <v>538</v>
      </c>
      <c r="E10" s="95" t="s">
        <v>34</v>
      </c>
      <c r="F10" s="240">
        <v>40</v>
      </c>
      <c r="G10" s="331"/>
      <c r="H10" s="336"/>
    </row>
    <row r="11" spans="1:9" ht="20.149999999999999" customHeight="1" x14ac:dyDescent="0.35">
      <c r="A11" s="200" t="s">
        <v>1543</v>
      </c>
      <c r="B11" s="200" t="s">
        <v>300</v>
      </c>
      <c r="C11" s="239" t="s">
        <v>1232</v>
      </c>
      <c r="D11" s="95" t="s">
        <v>821</v>
      </c>
      <c r="E11" s="95" t="s">
        <v>662</v>
      </c>
      <c r="F11" s="240">
        <v>0.8</v>
      </c>
      <c r="G11" s="331"/>
      <c r="H11" s="336"/>
    </row>
    <row r="12" spans="1:9" ht="20.149999999999999" customHeight="1" x14ac:dyDescent="0.35">
      <c r="A12" s="200" t="s">
        <v>1563</v>
      </c>
      <c r="B12" s="200" t="s">
        <v>295</v>
      </c>
      <c r="C12" s="95" t="s">
        <v>494</v>
      </c>
      <c r="D12" s="95" t="s">
        <v>61</v>
      </c>
      <c r="E12" s="231" t="s">
        <v>1340</v>
      </c>
      <c r="F12" s="240">
        <v>10.5</v>
      </c>
      <c r="G12" s="331"/>
      <c r="H12" s="336"/>
    </row>
    <row r="13" spans="1:9" ht="20.149999999999999" customHeight="1" x14ac:dyDescent="0.35">
      <c r="A13" s="200" t="s">
        <v>1566</v>
      </c>
      <c r="B13" s="200" t="s">
        <v>1239</v>
      </c>
      <c r="C13" s="239" t="s">
        <v>846</v>
      </c>
      <c r="D13" s="95" t="s">
        <v>973</v>
      </c>
      <c r="E13" s="95" t="s">
        <v>68</v>
      </c>
      <c r="F13" s="240">
        <v>4.5</v>
      </c>
      <c r="G13" s="331"/>
      <c r="H13" s="336"/>
    </row>
    <row r="14" spans="1:9" ht="20.149999999999999" customHeight="1" x14ac:dyDescent="0.35">
      <c r="A14" s="200" t="s">
        <v>1569</v>
      </c>
      <c r="B14" s="200" t="s">
        <v>463</v>
      </c>
      <c r="C14" s="239" t="s">
        <v>1229</v>
      </c>
      <c r="D14" s="95" t="s">
        <v>36</v>
      </c>
      <c r="E14" s="95" t="s">
        <v>1570</v>
      </c>
      <c r="F14" s="240">
        <v>5</v>
      </c>
      <c r="G14" s="331"/>
      <c r="H14" s="336"/>
    </row>
    <row r="15" spans="1:9" ht="20.149999999999999" customHeight="1" x14ac:dyDescent="0.35">
      <c r="A15" s="200" t="s">
        <v>1572</v>
      </c>
      <c r="B15" s="200" t="s">
        <v>625</v>
      </c>
      <c r="C15" s="239" t="s">
        <v>1229</v>
      </c>
      <c r="D15" s="95" t="s">
        <v>36</v>
      </c>
      <c r="E15" s="95" t="s">
        <v>54</v>
      </c>
      <c r="F15" s="240">
        <v>19</v>
      </c>
      <c r="G15" s="331"/>
      <c r="H15" s="336"/>
    </row>
    <row r="16" spans="1:9" ht="20.149999999999999" customHeight="1" x14ac:dyDescent="0.35">
      <c r="A16" s="200" t="s">
        <v>1582</v>
      </c>
      <c r="B16" s="200" t="s">
        <v>303</v>
      </c>
      <c r="C16" s="95"/>
      <c r="D16" s="95" t="s">
        <v>36</v>
      </c>
      <c r="E16" s="95" t="s">
        <v>54</v>
      </c>
      <c r="F16" s="240">
        <v>18</v>
      </c>
      <c r="G16" s="331"/>
      <c r="H16" s="336"/>
    </row>
    <row r="17" spans="1:8" ht="20.149999999999999" customHeight="1" x14ac:dyDescent="0.35">
      <c r="A17" s="200" t="s">
        <v>1585</v>
      </c>
      <c r="B17" s="200" t="s">
        <v>304</v>
      </c>
      <c r="C17" s="239" t="s">
        <v>1234</v>
      </c>
      <c r="D17" s="95" t="s">
        <v>36</v>
      </c>
      <c r="E17" s="95" t="s">
        <v>54</v>
      </c>
      <c r="F17" s="240">
        <v>13</v>
      </c>
      <c r="G17" s="331"/>
      <c r="H17" s="336"/>
    </row>
    <row r="18" spans="1:8" ht="20.149999999999999" customHeight="1" x14ac:dyDescent="0.35">
      <c r="A18" s="200" t="s">
        <v>1599</v>
      </c>
      <c r="B18" s="200" t="s">
        <v>306</v>
      </c>
      <c r="C18" s="239" t="s">
        <v>494</v>
      </c>
      <c r="D18" s="95" t="s">
        <v>36</v>
      </c>
      <c r="E18" s="95" t="s">
        <v>54</v>
      </c>
      <c r="F18" s="240">
        <v>18</v>
      </c>
      <c r="G18" s="331"/>
      <c r="H18" s="336"/>
    </row>
    <row r="19" spans="1:8" ht="20.149999999999999" customHeight="1" x14ac:dyDescent="0.35">
      <c r="A19" s="200" t="s">
        <v>1603</v>
      </c>
      <c r="B19" s="200" t="s">
        <v>307</v>
      </c>
      <c r="C19" s="239" t="s">
        <v>857</v>
      </c>
      <c r="D19" s="95" t="s">
        <v>36</v>
      </c>
      <c r="E19" s="95" t="s">
        <v>54</v>
      </c>
      <c r="F19" s="240">
        <v>10</v>
      </c>
      <c r="G19" s="331"/>
      <c r="H19" s="336"/>
    </row>
    <row r="20" spans="1:8" ht="20.149999999999999" customHeight="1" x14ac:dyDescent="0.35">
      <c r="A20" s="200" t="s">
        <v>1606</v>
      </c>
      <c r="B20" s="200" t="s">
        <v>308</v>
      </c>
      <c r="C20" s="239" t="s">
        <v>1101</v>
      </c>
      <c r="D20" s="95" t="s">
        <v>36</v>
      </c>
      <c r="E20" s="95" t="s">
        <v>73</v>
      </c>
      <c r="F20" s="240">
        <v>8.5</v>
      </c>
      <c r="G20" s="331"/>
      <c r="H20" s="336"/>
    </row>
    <row r="21" spans="1:8" ht="20.149999999999999" customHeight="1" x14ac:dyDescent="0.35">
      <c r="A21" s="200" t="s">
        <v>1608</v>
      </c>
      <c r="B21" s="200" t="s">
        <v>309</v>
      </c>
      <c r="C21" s="239" t="s">
        <v>536</v>
      </c>
      <c r="D21" s="95" t="s">
        <v>36</v>
      </c>
      <c r="E21" s="95" t="s">
        <v>54</v>
      </c>
      <c r="F21" s="240">
        <v>7</v>
      </c>
      <c r="G21" s="331"/>
      <c r="H21" s="336"/>
    </row>
    <row r="22" spans="1:8" ht="20.149999999999999" customHeight="1" x14ac:dyDescent="0.35">
      <c r="A22" s="200" t="s">
        <v>1611</v>
      </c>
      <c r="B22" s="200" t="s">
        <v>310</v>
      </c>
      <c r="C22" s="239" t="s">
        <v>1232</v>
      </c>
      <c r="D22" s="95" t="s">
        <v>36</v>
      </c>
      <c r="E22" s="95" t="s">
        <v>54</v>
      </c>
      <c r="F22" s="240">
        <v>11</v>
      </c>
      <c r="G22" s="331"/>
      <c r="H22" s="336"/>
    </row>
    <row r="23" spans="1:8" ht="20.149999999999999" customHeight="1" x14ac:dyDescent="0.35">
      <c r="A23" s="200" t="s">
        <v>1615</v>
      </c>
      <c r="B23" s="200" t="s">
        <v>311</v>
      </c>
      <c r="C23" s="239" t="s">
        <v>1232</v>
      </c>
      <c r="D23" s="95" t="s">
        <v>36</v>
      </c>
      <c r="E23" s="95" t="s">
        <v>54</v>
      </c>
      <c r="F23" s="240">
        <v>10.5</v>
      </c>
      <c r="G23" s="331"/>
      <c r="H23" s="336"/>
    </row>
    <row r="24" spans="1:8" ht="20.149999999999999" customHeight="1" x14ac:dyDescent="0.35">
      <c r="A24" s="200" t="s">
        <v>1618</v>
      </c>
      <c r="B24" s="200" t="s">
        <v>312</v>
      </c>
      <c r="C24" s="239" t="s">
        <v>1232</v>
      </c>
      <c r="D24" s="95" t="s">
        <v>256</v>
      </c>
      <c r="E24" s="95" t="s">
        <v>34</v>
      </c>
      <c r="F24" s="240">
        <v>12</v>
      </c>
      <c r="G24" s="331"/>
      <c r="H24" s="336"/>
    </row>
    <row r="25" spans="1:8" ht="20.149999999999999" customHeight="1" x14ac:dyDescent="0.35">
      <c r="A25" s="200" t="s">
        <v>1622</v>
      </c>
      <c r="B25" s="200" t="s">
        <v>876</v>
      </c>
      <c r="C25" s="239" t="s">
        <v>1229</v>
      </c>
      <c r="D25" s="95" t="s">
        <v>649</v>
      </c>
      <c r="E25" s="95" t="s">
        <v>34</v>
      </c>
      <c r="F25" s="240">
        <v>16</v>
      </c>
      <c r="G25" s="331"/>
      <c r="H25" s="336"/>
    </row>
    <row r="26" spans="1:8" ht="20.149999999999999" customHeight="1" x14ac:dyDescent="0.35">
      <c r="A26" s="200" t="s">
        <v>1639</v>
      </c>
      <c r="B26" s="200" t="s">
        <v>321</v>
      </c>
      <c r="C26" s="95"/>
      <c r="D26" s="95" t="s">
        <v>1150</v>
      </c>
      <c r="E26" s="95" t="s">
        <v>686</v>
      </c>
      <c r="F26" s="240">
        <v>2.9</v>
      </c>
      <c r="G26" s="331"/>
      <c r="H26" s="336"/>
    </row>
    <row r="27" spans="1:8" ht="20.149999999999999" customHeight="1" x14ac:dyDescent="0.35">
      <c r="A27" s="200" t="s">
        <v>1685</v>
      </c>
      <c r="B27" s="200" t="s">
        <v>286</v>
      </c>
      <c r="C27" s="200"/>
      <c r="D27" s="95" t="s">
        <v>1387</v>
      </c>
      <c r="E27" s="95" t="s">
        <v>1941</v>
      </c>
      <c r="F27" s="240">
        <v>85</v>
      </c>
      <c r="G27" s="331"/>
      <c r="H27" s="336"/>
    </row>
    <row r="28" spans="1:8" ht="20.149999999999999" customHeight="1" x14ac:dyDescent="0.35">
      <c r="A28" s="200" t="s">
        <v>1686</v>
      </c>
      <c r="B28" s="200" t="s">
        <v>286</v>
      </c>
      <c r="C28" s="239" t="s">
        <v>36</v>
      </c>
      <c r="D28" s="95" t="s">
        <v>1387</v>
      </c>
      <c r="E28" s="95" t="s">
        <v>100</v>
      </c>
      <c r="F28" s="240">
        <v>14.2</v>
      </c>
      <c r="G28" s="331"/>
      <c r="H28" s="336"/>
    </row>
    <row r="29" spans="1:8" ht="20.149999999999999" customHeight="1" x14ac:dyDescent="0.35">
      <c r="A29" s="200" t="s">
        <v>1689</v>
      </c>
      <c r="B29" s="200" t="s">
        <v>286</v>
      </c>
      <c r="C29" s="239" t="s">
        <v>1232</v>
      </c>
      <c r="D29" s="95" t="s">
        <v>44</v>
      </c>
      <c r="E29" s="95" t="s">
        <v>100</v>
      </c>
      <c r="F29" s="240">
        <v>18</v>
      </c>
      <c r="G29" s="331"/>
      <c r="H29" s="336"/>
    </row>
    <row r="30" spans="1:8" ht="20.149999999999999" customHeight="1" x14ac:dyDescent="0.35">
      <c r="A30" s="200" t="s">
        <v>1691</v>
      </c>
      <c r="B30" s="200" t="s">
        <v>739</v>
      </c>
      <c r="C30" s="239" t="s">
        <v>1232</v>
      </c>
      <c r="D30" s="95" t="s">
        <v>44</v>
      </c>
      <c r="E30" s="95" t="s">
        <v>100</v>
      </c>
      <c r="F30" s="240">
        <v>9</v>
      </c>
      <c r="G30" s="331"/>
      <c r="H30" s="336"/>
    </row>
    <row r="31" spans="1:8" ht="20.149999999999999" customHeight="1" x14ac:dyDescent="0.35">
      <c r="A31" s="200" t="s">
        <v>1696</v>
      </c>
      <c r="B31" s="200" t="s">
        <v>287</v>
      </c>
      <c r="C31" s="239" t="s">
        <v>1103</v>
      </c>
      <c r="D31" s="95" t="s">
        <v>906</v>
      </c>
      <c r="E31" s="95" t="s">
        <v>704</v>
      </c>
      <c r="F31" s="240">
        <v>23</v>
      </c>
      <c r="G31" s="331"/>
      <c r="H31" s="336"/>
    </row>
    <row r="32" spans="1:8" ht="20.149999999999999" customHeight="1" x14ac:dyDescent="0.35">
      <c r="A32" s="200" t="s">
        <v>1704</v>
      </c>
      <c r="B32" s="200" t="s">
        <v>289</v>
      </c>
      <c r="C32" s="239" t="s">
        <v>1232</v>
      </c>
      <c r="D32" s="95" t="s">
        <v>47</v>
      </c>
      <c r="E32" s="95" t="s">
        <v>706</v>
      </c>
      <c r="F32" s="240">
        <v>26</v>
      </c>
      <c r="G32" s="331"/>
    </row>
    <row r="33" spans="1:7" ht="20.149999999999999" customHeight="1" x14ac:dyDescent="0.35">
      <c r="A33" s="200" t="s">
        <v>1706</v>
      </c>
      <c r="B33" s="200" t="s">
        <v>290</v>
      </c>
      <c r="C33" s="239" t="s">
        <v>1232</v>
      </c>
      <c r="D33" s="95" t="s">
        <v>48</v>
      </c>
      <c r="E33" s="95" t="s">
        <v>707</v>
      </c>
      <c r="F33" s="240">
        <v>19</v>
      </c>
      <c r="G33" s="331"/>
    </row>
    <row r="34" spans="1:7" ht="20.149999999999999" customHeight="1" x14ac:dyDescent="0.35">
      <c r="A34" s="200" t="s">
        <v>1709</v>
      </c>
      <c r="B34" s="200" t="s">
        <v>292</v>
      </c>
      <c r="C34" s="239" t="s">
        <v>1232</v>
      </c>
      <c r="D34" s="95" t="s">
        <v>48</v>
      </c>
      <c r="E34" s="95" t="s">
        <v>708</v>
      </c>
      <c r="F34" s="240">
        <v>19</v>
      </c>
      <c r="G34" s="331"/>
    </row>
    <row r="35" spans="1:7" ht="20.149999999999999" customHeight="1" x14ac:dyDescent="0.35">
      <c r="A35" s="200" t="s">
        <v>1716</v>
      </c>
      <c r="B35" s="200" t="s">
        <v>1411</v>
      </c>
      <c r="C35" s="239" t="s">
        <v>1232</v>
      </c>
      <c r="D35" s="95" t="s">
        <v>1412</v>
      </c>
      <c r="E35" s="95" t="s">
        <v>678</v>
      </c>
      <c r="F35" s="240">
        <v>1.1499999999999999</v>
      </c>
      <c r="G35" s="331"/>
    </row>
    <row r="36" spans="1:7" ht="20.149999999999999" customHeight="1" x14ac:dyDescent="0.35">
      <c r="A36" s="200" t="s">
        <v>1733</v>
      </c>
      <c r="B36" s="200" t="s">
        <v>614</v>
      </c>
      <c r="C36" s="239" t="s">
        <v>1229</v>
      </c>
      <c r="D36" s="95" t="s">
        <v>1871</v>
      </c>
      <c r="E36" s="95" t="s">
        <v>711</v>
      </c>
      <c r="F36" s="240">
        <v>36</v>
      </c>
      <c r="G36" s="331"/>
    </row>
    <row r="37" spans="1:7" ht="20.149999999999999" customHeight="1" x14ac:dyDescent="0.35">
      <c r="A37" s="200" t="s">
        <v>1763</v>
      </c>
      <c r="B37" s="200" t="s">
        <v>1241</v>
      </c>
      <c r="C37" s="239" t="s">
        <v>1101</v>
      </c>
      <c r="D37" s="95" t="s">
        <v>36</v>
      </c>
      <c r="E37" s="95" t="s">
        <v>71</v>
      </c>
      <c r="F37" s="240">
        <v>6</v>
      </c>
      <c r="G37" s="331"/>
    </row>
    <row r="38" spans="1:7" ht="20.149999999999999" customHeight="1" x14ac:dyDescent="0.35">
      <c r="A38" s="200" t="s">
        <v>1766</v>
      </c>
      <c r="B38" s="200" t="s">
        <v>316</v>
      </c>
      <c r="C38" s="239" t="s">
        <v>1101</v>
      </c>
      <c r="D38" s="95" t="s">
        <v>610</v>
      </c>
      <c r="E38" s="95" t="s">
        <v>530</v>
      </c>
      <c r="F38" s="240">
        <v>13.5</v>
      </c>
      <c r="G38" s="331"/>
    </row>
    <row r="39" spans="1:7" ht="20.149999999999999" customHeight="1" x14ac:dyDescent="0.35">
      <c r="A39" s="200" t="s">
        <v>1771</v>
      </c>
      <c r="B39" s="200" t="s">
        <v>318</v>
      </c>
      <c r="C39" s="95" t="s">
        <v>1232</v>
      </c>
      <c r="D39" s="95" t="s">
        <v>1770</v>
      </c>
      <c r="E39" s="95" t="s">
        <v>689</v>
      </c>
      <c r="F39" s="240">
        <v>25</v>
      </c>
      <c r="G39" s="331"/>
    </row>
    <row r="40" spans="1:7" ht="20.149999999999999" customHeight="1" x14ac:dyDescent="0.35">
      <c r="A40" s="200" t="s">
        <v>1776</v>
      </c>
      <c r="B40" s="200" t="s">
        <v>297</v>
      </c>
      <c r="C40" s="239" t="s">
        <v>494</v>
      </c>
      <c r="D40" s="95" t="s">
        <v>259</v>
      </c>
      <c r="E40" s="95" t="s">
        <v>64</v>
      </c>
      <c r="F40" s="240">
        <v>36</v>
      </c>
      <c r="G40" s="331"/>
    </row>
    <row r="41" spans="1:7" ht="20.149999999999999" customHeight="1" x14ac:dyDescent="0.35">
      <c r="A41" s="200" t="s">
        <v>1779</v>
      </c>
      <c r="B41" s="200" t="s">
        <v>297</v>
      </c>
      <c r="C41" s="239" t="s">
        <v>494</v>
      </c>
      <c r="D41" s="95" t="s">
        <v>494</v>
      </c>
      <c r="E41" s="95" t="s">
        <v>64</v>
      </c>
      <c r="F41" s="240">
        <v>31</v>
      </c>
      <c r="G41" s="331"/>
    </row>
    <row r="42" spans="1:7" ht="20.149999999999999" customHeight="1" x14ac:dyDescent="0.35">
      <c r="A42" s="200" t="s">
        <v>1781</v>
      </c>
      <c r="B42" s="200" t="s">
        <v>331</v>
      </c>
      <c r="C42" s="239" t="s">
        <v>1229</v>
      </c>
      <c r="D42" s="95" t="s">
        <v>36</v>
      </c>
      <c r="E42" s="95" t="s">
        <v>486</v>
      </c>
      <c r="F42" s="240">
        <v>42</v>
      </c>
      <c r="G42" s="331"/>
    </row>
    <row r="43" spans="1:7" ht="20.149999999999999" customHeight="1" x14ac:dyDescent="0.35">
      <c r="A43" s="200" t="s">
        <v>1782</v>
      </c>
      <c r="B43" s="200" t="s">
        <v>331</v>
      </c>
      <c r="C43" s="239" t="s">
        <v>1229</v>
      </c>
      <c r="D43" s="95" t="s">
        <v>36</v>
      </c>
      <c r="E43" s="95" t="s">
        <v>1391</v>
      </c>
      <c r="F43" s="240">
        <v>0.9</v>
      </c>
      <c r="G43" s="331"/>
    </row>
    <row r="44" spans="1:7" ht="20.149999999999999" customHeight="1" x14ac:dyDescent="0.35">
      <c r="A44" s="200" t="s">
        <v>1789</v>
      </c>
      <c r="B44" s="200" t="s">
        <v>323</v>
      </c>
      <c r="C44" s="239" t="s">
        <v>1101</v>
      </c>
      <c r="D44" s="95" t="s">
        <v>36</v>
      </c>
      <c r="E44" s="95" t="s">
        <v>75</v>
      </c>
      <c r="F44" s="240">
        <v>1.8</v>
      </c>
      <c r="G44" s="331"/>
    </row>
    <row r="45" spans="1:7" ht="20.149999999999999" customHeight="1" x14ac:dyDescent="0.35">
      <c r="A45" s="200" t="s">
        <v>1791</v>
      </c>
      <c r="B45" s="200" t="s">
        <v>324</v>
      </c>
      <c r="C45" s="239" t="s">
        <v>1232</v>
      </c>
      <c r="D45" s="95" t="s">
        <v>36</v>
      </c>
      <c r="E45" s="95" t="s">
        <v>75</v>
      </c>
      <c r="F45" s="240">
        <v>4</v>
      </c>
      <c r="G45" s="331"/>
    </row>
    <row r="46" spans="1:7" ht="20.149999999999999" customHeight="1" x14ac:dyDescent="0.35">
      <c r="A46" s="200" t="s">
        <v>1795</v>
      </c>
      <c r="B46" s="200" t="s">
        <v>490</v>
      </c>
      <c r="C46" s="239" t="s">
        <v>1101</v>
      </c>
      <c r="D46" s="95" t="s">
        <v>36</v>
      </c>
      <c r="E46" s="95" t="s">
        <v>34</v>
      </c>
      <c r="F46" s="240">
        <v>2.7</v>
      </c>
      <c r="G46" s="331"/>
    </row>
    <row r="47" spans="1:7" ht="20.149999999999999" customHeight="1" x14ac:dyDescent="0.35">
      <c r="A47" s="200" t="s">
        <v>1805</v>
      </c>
      <c r="B47" s="200" t="s">
        <v>670</v>
      </c>
      <c r="C47" s="239" t="s">
        <v>1101</v>
      </c>
      <c r="D47" s="95" t="s">
        <v>659</v>
      </c>
      <c r="E47" s="95" t="s">
        <v>102</v>
      </c>
      <c r="F47" s="240">
        <v>2</v>
      </c>
      <c r="G47" s="331"/>
    </row>
    <row r="48" spans="1:7" ht="20.149999999999999" customHeight="1" x14ac:dyDescent="0.35">
      <c r="A48" s="200" t="s">
        <v>1806</v>
      </c>
      <c r="B48" s="200" t="s">
        <v>670</v>
      </c>
      <c r="C48" s="239" t="s">
        <v>1101</v>
      </c>
      <c r="D48" s="95" t="s">
        <v>660</v>
      </c>
      <c r="E48" s="95" t="s">
        <v>102</v>
      </c>
      <c r="F48" s="240">
        <v>2</v>
      </c>
      <c r="G48" s="331"/>
    </row>
    <row r="49" spans="1:7" ht="20.149999999999999" customHeight="1" x14ac:dyDescent="0.35">
      <c r="A49" s="200" t="s">
        <v>1807</v>
      </c>
      <c r="B49" s="200" t="s">
        <v>670</v>
      </c>
      <c r="C49" s="239" t="s">
        <v>1101</v>
      </c>
      <c r="D49" s="95" t="s">
        <v>661</v>
      </c>
      <c r="E49" s="95" t="s">
        <v>102</v>
      </c>
      <c r="F49" s="240">
        <v>2</v>
      </c>
      <c r="G49" s="331"/>
    </row>
    <row r="50" spans="1:7" ht="20.149999999999999" customHeight="1" x14ac:dyDescent="0.35">
      <c r="A50" s="200" t="s">
        <v>1809</v>
      </c>
      <c r="B50" s="200" t="s">
        <v>611</v>
      </c>
      <c r="C50" s="95" t="s">
        <v>1101</v>
      </c>
      <c r="D50" s="95" t="s">
        <v>632</v>
      </c>
      <c r="E50" s="95" t="s">
        <v>569</v>
      </c>
      <c r="F50" s="240">
        <v>22</v>
      </c>
      <c r="G50" s="331"/>
    </row>
    <row r="51" spans="1:7" ht="20.149999999999999" customHeight="1" x14ac:dyDescent="0.35">
      <c r="A51" s="200" t="s">
        <v>1813</v>
      </c>
      <c r="B51" s="200" t="s">
        <v>299</v>
      </c>
      <c r="C51" s="95" t="s">
        <v>1101</v>
      </c>
      <c r="D51" s="95" t="s">
        <v>179</v>
      </c>
      <c r="E51" s="95" t="s">
        <v>543</v>
      </c>
      <c r="F51" s="240">
        <v>14</v>
      </c>
      <c r="G51" s="331"/>
    </row>
    <row r="52" spans="1:7" ht="20.149999999999999" customHeight="1" x14ac:dyDescent="0.35">
      <c r="A52" s="336"/>
      <c r="B52" s="336"/>
      <c r="C52" s="336"/>
      <c r="D52" s="336"/>
      <c r="E52" s="336"/>
      <c r="F52" s="336"/>
      <c r="G52" s="336"/>
    </row>
    <row r="53" spans="1:7" ht="20.149999999999999" customHeight="1" x14ac:dyDescent="0.35">
      <c r="A53" s="336"/>
      <c r="B53" s="336"/>
      <c r="C53" s="336"/>
      <c r="D53" s="336"/>
      <c r="E53" s="336"/>
      <c r="F53" s="336"/>
      <c r="G53" s="336"/>
    </row>
    <row r="54" spans="1:7" ht="20.149999999999999" customHeight="1" x14ac:dyDescent="0.35">
      <c r="A54" s="336"/>
      <c r="B54" s="336"/>
      <c r="C54" s="336"/>
      <c r="D54" s="336"/>
      <c r="E54" s="336"/>
      <c r="F54" s="336"/>
      <c r="G54" s="336"/>
    </row>
    <row r="55" spans="1:7" ht="20.149999999999999" customHeight="1" x14ac:dyDescent="0.35">
      <c r="A55" s="336"/>
      <c r="B55" s="336"/>
      <c r="C55" s="336"/>
      <c r="D55" s="336"/>
      <c r="E55" s="336"/>
      <c r="F55" s="336"/>
      <c r="G55" s="336"/>
    </row>
  </sheetData>
  <pageMargins left="0.511811023622047" right="0" top="0.74803149606299202" bottom="0" header="0.31496062992126" footer="0.31496062992126"/>
  <pageSetup paperSize="9" scale="77"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B7A6E5-3C34-4A9D-B7AF-4D1B2A91E442}">
  <sheetPr codeName="Sheet14">
    <pageSetUpPr fitToPage="1"/>
  </sheetPr>
  <dimension ref="B2:AN111"/>
  <sheetViews>
    <sheetView workbookViewId="0">
      <selection activeCell="E23" sqref="E23"/>
    </sheetView>
  </sheetViews>
  <sheetFormatPr defaultRowHeight="14.5" x14ac:dyDescent="0.35"/>
  <cols>
    <col min="4" max="4" width="34.54296875" customWidth="1"/>
    <col min="5" max="5" width="8.7265625" style="21"/>
    <col min="6" max="6" width="18.1796875" style="21" customWidth="1"/>
    <col min="8" max="8" width="11" customWidth="1"/>
    <col min="10" max="10" width="19.1796875" customWidth="1"/>
    <col min="11" max="11" width="8.7265625" style="21"/>
    <col min="12" max="12" width="21.1796875" style="21" customWidth="1"/>
  </cols>
  <sheetData>
    <row r="2" spans="2:31" ht="20.149999999999999" customHeight="1" x14ac:dyDescent="0.35">
      <c r="B2" s="127"/>
      <c r="C2" s="127"/>
      <c r="D2" s="127"/>
      <c r="E2" s="187"/>
      <c r="F2" s="187"/>
    </row>
    <row r="4" spans="2:31" ht="20.149999999999999" customHeight="1" x14ac:dyDescent="0.35">
      <c r="B4" s="62" t="s">
        <v>367</v>
      </c>
      <c r="C4" s="538" t="s">
        <v>270</v>
      </c>
      <c r="D4" s="538"/>
      <c r="E4" s="6"/>
      <c r="F4" s="6"/>
      <c r="H4" s="62" t="s">
        <v>442</v>
      </c>
      <c r="I4" s="79" t="s">
        <v>290</v>
      </c>
      <c r="J4" s="79"/>
      <c r="K4" s="6"/>
      <c r="L4" s="6" t="s">
        <v>1072</v>
      </c>
    </row>
    <row r="5" spans="2:31" ht="20.149999999999999" customHeight="1" x14ac:dyDescent="0.35">
      <c r="B5" s="62" t="s">
        <v>370</v>
      </c>
      <c r="C5" s="538" t="s">
        <v>1067</v>
      </c>
      <c r="D5" s="538"/>
      <c r="E5" s="6"/>
      <c r="F5" s="6"/>
      <c r="H5" s="62" t="s">
        <v>443</v>
      </c>
      <c r="I5" s="538" t="s">
        <v>292</v>
      </c>
      <c r="J5" s="538"/>
      <c r="K5" s="6"/>
      <c r="L5" s="6" t="s">
        <v>1072</v>
      </c>
    </row>
    <row r="6" spans="2:31" ht="20.149999999999999" customHeight="1" x14ac:dyDescent="0.35">
      <c r="B6" s="62" t="s">
        <v>371</v>
      </c>
      <c r="C6" s="538" t="s">
        <v>272</v>
      </c>
      <c r="D6" s="538"/>
      <c r="E6" s="6"/>
      <c r="F6" s="6"/>
      <c r="H6" s="62" t="s">
        <v>444</v>
      </c>
      <c r="I6" s="492" t="s">
        <v>676</v>
      </c>
      <c r="J6" s="492"/>
      <c r="K6" s="6"/>
      <c r="L6" s="6" t="s">
        <v>1069</v>
      </c>
    </row>
    <row r="7" spans="2:31" ht="20.149999999999999" customHeight="1" x14ac:dyDescent="0.35">
      <c r="B7" s="62" t="s">
        <v>372</v>
      </c>
      <c r="C7" s="538" t="s">
        <v>273</v>
      </c>
      <c r="D7" s="538"/>
      <c r="E7" s="6"/>
      <c r="F7" s="6"/>
      <c r="H7" s="62" t="s">
        <v>445</v>
      </c>
      <c r="I7" s="492" t="s">
        <v>676</v>
      </c>
      <c r="J7" s="492"/>
      <c r="K7" s="6"/>
      <c r="L7" s="6" t="s">
        <v>1070</v>
      </c>
    </row>
    <row r="8" spans="2:31" ht="20.149999999999999" customHeight="1" x14ac:dyDescent="0.35">
      <c r="B8" s="62" t="s">
        <v>373</v>
      </c>
      <c r="C8" s="538" t="s">
        <v>274</v>
      </c>
      <c r="D8" s="538"/>
      <c r="E8" s="6"/>
      <c r="F8" s="6"/>
      <c r="H8" s="62" t="s">
        <v>446</v>
      </c>
      <c r="I8" s="492" t="s">
        <v>681</v>
      </c>
      <c r="J8" s="492"/>
      <c r="K8" s="6"/>
      <c r="L8" s="6" t="s">
        <v>1071</v>
      </c>
    </row>
    <row r="9" spans="2:31" ht="20.149999999999999" customHeight="1" x14ac:dyDescent="0.35">
      <c r="B9" s="62" t="s">
        <v>374</v>
      </c>
      <c r="C9" s="538" t="s">
        <v>275</v>
      </c>
      <c r="D9" s="538"/>
      <c r="E9" s="6"/>
      <c r="F9" s="6"/>
      <c r="H9" s="62" t="s">
        <v>393</v>
      </c>
      <c r="I9" s="538" t="s">
        <v>286</v>
      </c>
      <c r="J9" s="538"/>
      <c r="K9" s="6"/>
      <c r="L9" s="6" t="s">
        <v>983</v>
      </c>
    </row>
    <row r="10" spans="2:31" ht="20.149999999999999" customHeight="1" x14ac:dyDescent="0.35">
      <c r="B10" s="62" t="s">
        <v>375</v>
      </c>
      <c r="C10" s="79" t="s">
        <v>343</v>
      </c>
      <c r="D10" s="64"/>
      <c r="E10" s="6"/>
      <c r="F10" s="6"/>
      <c r="H10" s="62" t="s">
        <v>394</v>
      </c>
      <c r="I10" s="538" t="s">
        <v>739</v>
      </c>
      <c r="J10" s="538"/>
      <c r="K10" s="6"/>
      <c r="L10" s="6" t="s">
        <v>983</v>
      </c>
    </row>
    <row r="11" spans="2:31" ht="20.149999999999999" customHeight="1" x14ac:dyDescent="0.35">
      <c r="B11" s="62" t="s">
        <v>376</v>
      </c>
      <c r="C11" s="64" t="s">
        <v>351</v>
      </c>
      <c r="D11" s="64"/>
      <c r="E11" s="6"/>
      <c r="F11" s="6"/>
      <c r="H11" s="62" t="s">
        <v>396</v>
      </c>
      <c r="I11" s="538" t="s">
        <v>738</v>
      </c>
      <c r="J11" s="538"/>
      <c r="K11" s="6"/>
      <c r="L11" s="6" t="s">
        <v>983</v>
      </c>
    </row>
    <row r="12" spans="2:31" ht="20.149999999999999" customHeight="1" x14ac:dyDescent="0.35">
      <c r="B12" s="62" t="s">
        <v>377</v>
      </c>
      <c r="C12" s="64" t="s">
        <v>350</v>
      </c>
      <c r="D12" s="64"/>
      <c r="E12" s="6"/>
      <c r="F12" s="6"/>
      <c r="H12" s="62" t="s">
        <v>438</v>
      </c>
      <c r="I12" s="538" t="s">
        <v>287</v>
      </c>
      <c r="J12" s="538"/>
      <c r="K12" s="6"/>
      <c r="L12" s="6" t="s">
        <v>984</v>
      </c>
    </row>
    <row r="13" spans="2:31" ht="20.149999999999999" customHeight="1" x14ac:dyDescent="0.35">
      <c r="B13" s="62" t="s">
        <v>378</v>
      </c>
      <c r="C13" s="538" t="s">
        <v>278</v>
      </c>
      <c r="D13" s="538"/>
      <c r="E13" s="6"/>
      <c r="F13" s="6"/>
      <c r="H13" s="62" t="s">
        <v>439</v>
      </c>
      <c r="I13" s="538" t="s">
        <v>288</v>
      </c>
      <c r="J13" s="538"/>
      <c r="K13" s="6"/>
      <c r="L13" s="6" t="s">
        <v>1061</v>
      </c>
    </row>
    <row r="14" spans="2:31" ht="20.149999999999999" customHeight="1" x14ac:dyDescent="0.35">
      <c r="B14" s="62" t="s">
        <v>539</v>
      </c>
      <c r="C14" s="538" t="s">
        <v>804</v>
      </c>
      <c r="D14" s="538"/>
      <c r="E14" s="6"/>
      <c r="F14" s="6"/>
      <c r="H14" s="62" t="s">
        <v>440</v>
      </c>
      <c r="I14" s="538" t="s">
        <v>289</v>
      </c>
      <c r="J14" s="538"/>
      <c r="K14" s="6"/>
      <c r="L14" s="6" t="s">
        <v>844</v>
      </c>
      <c r="P14" s="548" t="s">
        <v>311</v>
      </c>
      <c r="Q14" s="548"/>
      <c r="R14" s="548"/>
      <c r="S14" s="548"/>
      <c r="T14" s="548"/>
      <c r="U14" s="548"/>
      <c r="V14" s="548"/>
      <c r="W14" s="548"/>
      <c r="X14" s="548"/>
      <c r="Y14" s="548"/>
      <c r="Z14" s="548"/>
      <c r="AA14" s="548"/>
      <c r="AB14" s="548"/>
      <c r="AC14" s="548"/>
      <c r="AD14" s="548"/>
      <c r="AE14" s="548"/>
    </row>
    <row r="15" spans="2:31" ht="20.149999999999999" customHeight="1" x14ac:dyDescent="0.35">
      <c r="B15" s="62" t="s">
        <v>540</v>
      </c>
      <c r="C15" s="64" t="s">
        <v>237</v>
      </c>
      <c r="D15" s="64"/>
      <c r="E15" s="6"/>
      <c r="F15" s="6"/>
      <c r="H15" s="62" t="s">
        <v>448</v>
      </c>
      <c r="I15" s="538" t="s">
        <v>294</v>
      </c>
      <c r="J15" s="538"/>
      <c r="K15" s="6"/>
      <c r="L15" s="6"/>
      <c r="P15" s="548"/>
      <c r="Q15" s="548"/>
      <c r="R15" s="548"/>
      <c r="S15" s="548"/>
      <c r="T15" s="548"/>
      <c r="U15" s="548"/>
      <c r="V15" s="548"/>
      <c r="W15" s="548"/>
      <c r="X15" s="548"/>
      <c r="Y15" s="548"/>
      <c r="Z15" s="548"/>
      <c r="AA15" s="548"/>
      <c r="AB15" s="548"/>
      <c r="AC15" s="548"/>
      <c r="AD15" s="548"/>
      <c r="AE15" s="548"/>
    </row>
    <row r="16" spans="2:31" ht="20.149999999999999" customHeight="1" x14ac:dyDescent="0.35">
      <c r="B16" s="62" t="s">
        <v>541</v>
      </c>
      <c r="C16" s="538" t="s">
        <v>281</v>
      </c>
      <c r="D16" s="538"/>
      <c r="E16" s="6"/>
      <c r="F16" s="6"/>
      <c r="H16" s="62" t="s">
        <v>453</v>
      </c>
      <c r="I16" s="79" t="s">
        <v>328</v>
      </c>
      <c r="J16" s="65"/>
      <c r="K16" s="6"/>
      <c r="L16" s="6" t="s">
        <v>1063</v>
      </c>
      <c r="P16" s="548"/>
      <c r="Q16" s="548"/>
      <c r="R16" s="548"/>
      <c r="S16" s="548"/>
      <c r="T16" s="548"/>
      <c r="U16" s="548"/>
      <c r="V16" s="548"/>
      <c r="W16" s="548"/>
      <c r="X16" s="548"/>
      <c r="Y16" s="548"/>
      <c r="Z16" s="548"/>
      <c r="AA16" s="548"/>
      <c r="AB16" s="548"/>
      <c r="AC16" s="548"/>
      <c r="AD16" s="548"/>
      <c r="AE16" s="548"/>
    </row>
    <row r="17" spans="2:40" ht="20.149999999999999" customHeight="1" x14ac:dyDescent="0.35">
      <c r="B17" s="62" t="s">
        <v>612</v>
      </c>
      <c r="C17" s="538" t="s">
        <v>282</v>
      </c>
      <c r="D17" s="538"/>
      <c r="E17" s="6"/>
      <c r="F17" s="6"/>
      <c r="H17" s="62" t="s">
        <v>455</v>
      </c>
      <c r="I17" s="79" t="s">
        <v>491</v>
      </c>
      <c r="J17" s="1"/>
      <c r="K17" s="6"/>
      <c r="L17" s="6" t="s">
        <v>1064</v>
      </c>
      <c r="P17" s="548"/>
      <c r="Q17" s="548"/>
      <c r="R17" s="548"/>
      <c r="S17" s="548"/>
      <c r="T17" s="548"/>
      <c r="U17" s="548"/>
      <c r="V17" s="548"/>
      <c r="W17" s="548"/>
      <c r="X17" s="548"/>
      <c r="Y17" s="548"/>
      <c r="Z17" s="548"/>
      <c r="AA17" s="548"/>
      <c r="AB17" s="548"/>
      <c r="AC17" s="548"/>
      <c r="AD17" s="548"/>
      <c r="AE17" s="548"/>
    </row>
    <row r="18" spans="2:40" ht="20.149999999999999" customHeight="1" x14ac:dyDescent="0.35">
      <c r="B18" s="62" t="s">
        <v>627</v>
      </c>
      <c r="C18" s="79" t="s">
        <v>341</v>
      </c>
      <c r="D18" s="79"/>
      <c r="E18" s="6"/>
      <c r="F18" s="6"/>
      <c r="H18" s="62" t="s">
        <v>457</v>
      </c>
      <c r="I18" s="64" t="s">
        <v>344</v>
      </c>
      <c r="J18" s="1"/>
      <c r="K18" s="6"/>
      <c r="L18" s="6"/>
      <c r="P18" s="548"/>
      <c r="Q18" s="548"/>
      <c r="R18" s="548"/>
      <c r="S18" s="548"/>
      <c r="T18" s="548"/>
      <c r="U18" s="548"/>
      <c r="V18" s="548"/>
      <c r="W18" s="548"/>
      <c r="X18" s="548"/>
      <c r="Y18" s="548"/>
      <c r="Z18" s="548"/>
      <c r="AA18" s="548"/>
      <c r="AB18" s="548"/>
      <c r="AC18" s="548"/>
      <c r="AD18" s="548"/>
      <c r="AE18" s="548"/>
    </row>
    <row r="19" spans="2:40" ht="20.149999999999999" customHeight="1" x14ac:dyDescent="0.35">
      <c r="B19" s="62" t="s">
        <v>628</v>
      </c>
      <c r="C19" s="79" t="s">
        <v>320</v>
      </c>
      <c r="D19" s="65"/>
      <c r="E19" s="6"/>
      <c r="F19" s="6"/>
      <c r="H19" s="62" t="s">
        <v>458</v>
      </c>
      <c r="I19" s="64" t="s">
        <v>345</v>
      </c>
      <c r="J19" s="1"/>
      <c r="K19" s="6"/>
      <c r="L19" s="6"/>
      <c r="P19" s="547" t="s">
        <v>933</v>
      </c>
      <c r="Q19" s="547"/>
      <c r="R19" s="547"/>
      <c r="S19" s="547"/>
      <c r="T19" s="547"/>
      <c r="U19" s="547"/>
      <c r="V19" s="547"/>
      <c r="W19" s="547"/>
      <c r="X19" s="547"/>
      <c r="Y19" s="547"/>
      <c r="Z19" s="547"/>
      <c r="AA19" s="547"/>
      <c r="AB19" s="547"/>
      <c r="AC19" s="547"/>
      <c r="AD19" s="547"/>
      <c r="AE19" s="547"/>
    </row>
    <row r="20" spans="2:40" ht="20.149999999999999" customHeight="1" x14ac:dyDescent="0.35">
      <c r="B20" s="62" t="s">
        <v>629</v>
      </c>
      <c r="C20" s="538" t="s">
        <v>295</v>
      </c>
      <c r="D20" s="538"/>
      <c r="E20" s="6"/>
      <c r="F20" s="6" t="s">
        <v>1020</v>
      </c>
      <c r="H20" s="62" t="s">
        <v>461</v>
      </c>
      <c r="I20" s="79" t="s">
        <v>346</v>
      </c>
      <c r="J20" s="1"/>
      <c r="K20" s="6"/>
      <c r="L20" s="6"/>
      <c r="P20" s="547"/>
      <c r="Q20" s="547"/>
      <c r="R20" s="547"/>
      <c r="S20" s="547"/>
      <c r="T20" s="547"/>
      <c r="U20" s="547"/>
      <c r="V20" s="547"/>
      <c r="W20" s="547"/>
      <c r="X20" s="547"/>
      <c r="Y20" s="547"/>
      <c r="Z20" s="547"/>
      <c r="AA20" s="547"/>
      <c r="AB20" s="547"/>
      <c r="AC20" s="547"/>
      <c r="AD20" s="547"/>
      <c r="AE20" s="547"/>
    </row>
    <row r="21" spans="2:40" ht="20.149999999999999" customHeight="1" x14ac:dyDescent="0.35">
      <c r="B21" s="62" t="s">
        <v>436</v>
      </c>
      <c r="C21" s="538" t="s">
        <v>295</v>
      </c>
      <c r="D21" s="538"/>
      <c r="E21" s="6"/>
      <c r="F21" s="6" t="s">
        <v>1021</v>
      </c>
      <c r="H21" s="62" t="s">
        <v>462</v>
      </c>
      <c r="I21" s="64" t="s">
        <v>347</v>
      </c>
      <c r="J21" s="1"/>
      <c r="K21" s="6"/>
      <c r="L21" s="6"/>
      <c r="P21" s="547"/>
      <c r="Q21" s="547"/>
      <c r="R21" s="547"/>
      <c r="S21" s="547"/>
      <c r="T21" s="547"/>
      <c r="U21" s="547"/>
      <c r="V21" s="547"/>
      <c r="W21" s="547"/>
      <c r="X21" s="547"/>
      <c r="Y21" s="547"/>
      <c r="Z21" s="547"/>
      <c r="AA21" s="547"/>
      <c r="AB21" s="547"/>
      <c r="AC21" s="547"/>
      <c r="AD21" s="547"/>
      <c r="AE21" s="547"/>
    </row>
    <row r="22" spans="2:40" ht="20.149999999999999" customHeight="1" x14ac:dyDescent="0.35">
      <c r="B22" s="62" t="s">
        <v>630</v>
      </c>
      <c r="C22" s="538" t="s">
        <v>277</v>
      </c>
      <c r="D22" s="538"/>
      <c r="E22" s="6"/>
      <c r="F22" s="6"/>
      <c r="H22" s="62"/>
      <c r="I22" s="64"/>
      <c r="J22" s="1"/>
      <c r="K22" s="6"/>
      <c r="L22" s="6"/>
      <c r="P22" s="547"/>
      <c r="Q22" s="547"/>
      <c r="R22" s="547"/>
      <c r="S22" s="547"/>
      <c r="T22" s="547"/>
      <c r="U22" s="547"/>
      <c r="V22" s="547"/>
      <c r="W22" s="547"/>
      <c r="X22" s="547"/>
      <c r="Y22" s="547"/>
      <c r="Z22" s="547"/>
      <c r="AA22" s="547"/>
      <c r="AB22" s="547"/>
      <c r="AC22" s="547"/>
      <c r="AD22" s="547"/>
      <c r="AE22" s="547"/>
    </row>
    <row r="23" spans="2:40" ht="20.149999999999999" customHeight="1" x14ac:dyDescent="0.35">
      <c r="B23" s="62" t="s">
        <v>631</v>
      </c>
      <c r="C23" s="538" t="s">
        <v>283</v>
      </c>
      <c r="D23" s="538"/>
      <c r="E23" s="6"/>
      <c r="F23" s="6"/>
      <c r="P23" s="547"/>
      <c r="Q23" s="547"/>
      <c r="R23" s="547"/>
      <c r="S23" s="547"/>
      <c r="T23" s="547"/>
      <c r="U23" s="547"/>
      <c r="V23" s="547"/>
      <c r="W23" s="547"/>
      <c r="X23" s="547"/>
      <c r="Y23" s="547"/>
      <c r="Z23" s="547"/>
      <c r="AA23" s="547"/>
      <c r="AB23" s="547"/>
      <c r="AC23" s="547"/>
      <c r="AD23" s="547"/>
      <c r="AE23" s="547"/>
    </row>
    <row r="24" spans="2:40" ht="20.149999999999999" customHeight="1" x14ac:dyDescent="0.35">
      <c r="P24" s="547"/>
      <c r="Q24" s="547"/>
      <c r="R24" s="547"/>
      <c r="S24" s="547"/>
      <c r="T24" s="547"/>
      <c r="U24" s="547"/>
      <c r="V24" s="547"/>
      <c r="W24" s="547"/>
      <c r="X24" s="547"/>
      <c r="Y24" s="547"/>
      <c r="Z24" s="547"/>
      <c r="AA24" s="547"/>
      <c r="AB24" s="547"/>
      <c r="AC24" s="547"/>
      <c r="AD24" s="547"/>
      <c r="AE24" s="547"/>
    </row>
    <row r="25" spans="2:40" ht="20.149999999999999" customHeight="1" x14ac:dyDescent="0.35">
      <c r="B25" s="62" t="s">
        <v>379</v>
      </c>
      <c r="C25" s="538" t="s">
        <v>603</v>
      </c>
      <c r="D25" s="538"/>
      <c r="E25" s="6"/>
      <c r="F25" s="6" t="s">
        <v>1043</v>
      </c>
      <c r="H25" s="62" t="s">
        <v>428</v>
      </c>
      <c r="I25" s="538" t="s">
        <v>280</v>
      </c>
      <c r="J25" s="538"/>
      <c r="K25" s="6"/>
      <c r="L25" s="6" t="s">
        <v>529</v>
      </c>
    </row>
    <row r="26" spans="2:40" ht="20.149999999999999" customHeight="1" x14ac:dyDescent="0.35">
      <c r="B26" s="62" t="s">
        <v>380</v>
      </c>
      <c r="C26" s="538" t="s">
        <v>284</v>
      </c>
      <c r="D26" s="538"/>
      <c r="E26" s="6"/>
      <c r="F26" s="6" t="s">
        <v>1027</v>
      </c>
      <c r="H26" s="62" t="s">
        <v>429</v>
      </c>
      <c r="I26" s="79" t="s">
        <v>316</v>
      </c>
      <c r="J26" s="79"/>
      <c r="K26" s="6"/>
      <c r="L26" s="6" t="s">
        <v>530</v>
      </c>
    </row>
    <row r="27" spans="2:40" ht="20.149999999999999" customHeight="1" x14ac:dyDescent="0.35">
      <c r="B27" s="62" t="s">
        <v>382</v>
      </c>
      <c r="C27" s="538" t="s">
        <v>285</v>
      </c>
      <c r="D27" s="538"/>
      <c r="E27" s="6"/>
      <c r="F27" s="6" t="s">
        <v>1028</v>
      </c>
      <c r="H27" s="62" t="s">
        <v>430</v>
      </c>
      <c r="I27" s="79" t="s">
        <v>317</v>
      </c>
      <c r="J27" s="65"/>
      <c r="K27" s="6"/>
      <c r="L27" s="6" t="s">
        <v>530</v>
      </c>
      <c r="AJ27" t="s">
        <v>939</v>
      </c>
    </row>
    <row r="28" spans="2:40" ht="20.149999999999999" customHeight="1" x14ac:dyDescent="0.35">
      <c r="B28" s="62" t="s">
        <v>400</v>
      </c>
      <c r="C28" s="538" t="s">
        <v>625</v>
      </c>
      <c r="D28" s="538"/>
      <c r="E28" s="6"/>
      <c r="F28" s="6" t="s">
        <v>54</v>
      </c>
      <c r="H28" s="62" t="s">
        <v>432</v>
      </c>
      <c r="I28" s="79" t="s">
        <v>318</v>
      </c>
      <c r="J28" s="1"/>
      <c r="K28" s="6"/>
      <c r="L28" s="6" t="s">
        <v>929</v>
      </c>
      <c r="P28" t="s">
        <v>934</v>
      </c>
    </row>
    <row r="29" spans="2:40" ht="20.149999999999999" customHeight="1" x14ac:dyDescent="0.35">
      <c r="B29" s="62" t="s">
        <v>402</v>
      </c>
      <c r="C29" s="79" t="s">
        <v>498</v>
      </c>
      <c r="D29" s="79"/>
      <c r="E29" s="6"/>
      <c r="F29" s="6" t="s">
        <v>54</v>
      </c>
      <c r="H29" s="62" t="s">
        <v>474</v>
      </c>
      <c r="I29" s="538" t="s">
        <v>1053</v>
      </c>
      <c r="J29" s="538"/>
      <c r="K29" s="6"/>
      <c r="L29" s="6" t="s">
        <v>1055</v>
      </c>
      <c r="AJ29" s="79" t="s">
        <v>318</v>
      </c>
    </row>
    <row r="30" spans="2:40" ht="20.149999999999999" customHeight="1" x14ac:dyDescent="0.5">
      <c r="B30" s="62" t="s">
        <v>403</v>
      </c>
      <c r="C30" s="79" t="s">
        <v>609</v>
      </c>
      <c r="D30" s="65"/>
      <c r="E30" s="6"/>
      <c r="F30" s="6" t="s">
        <v>54</v>
      </c>
      <c r="H30" s="62" t="s">
        <v>477</v>
      </c>
      <c r="I30" s="79" t="s">
        <v>331</v>
      </c>
      <c r="J30" s="1"/>
      <c r="K30" s="6"/>
      <c r="L30" s="6" t="s">
        <v>1055</v>
      </c>
      <c r="P30" s="546" t="s">
        <v>935</v>
      </c>
      <c r="Q30" s="546"/>
      <c r="R30" s="546"/>
      <c r="S30" s="546"/>
      <c r="T30" s="546"/>
      <c r="U30" s="546" t="s">
        <v>936</v>
      </c>
      <c r="V30" s="546"/>
      <c r="W30" s="546"/>
      <c r="X30" s="546"/>
      <c r="Y30" s="546"/>
      <c r="Z30" s="546"/>
      <c r="AA30" s="546"/>
      <c r="AB30" s="546"/>
      <c r="AC30" s="546" t="s">
        <v>942</v>
      </c>
      <c r="AD30" s="546"/>
      <c r="AE30" s="546"/>
      <c r="AG30" s="538" t="s">
        <v>625</v>
      </c>
      <c r="AH30" s="538"/>
      <c r="AJ30" s="79" t="s">
        <v>496</v>
      </c>
    </row>
    <row r="31" spans="2:40" ht="20.149999999999999" customHeight="1" x14ac:dyDescent="0.45">
      <c r="B31" s="62" t="s">
        <v>404</v>
      </c>
      <c r="C31" s="79" t="s">
        <v>303</v>
      </c>
      <c r="D31" s="1"/>
      <c r="E31" s="6"/>
      <c r="F31" s="6" t="s">
        <v>54</v>
      </c>
      <c r="H31" s="62" t="s">
        <v>479</v>
      </c>
      <c r="I31" s="79" t="s">
        <v>333</v>
      </c>
      <c r="J31" s="1"/>
      <c r="K31" s="6"/>
      <c r="L31" s="6" t="s">
        <v>1055</v>
      </c>
      <c r="P31" s="545" t="s">
        <v>938</v>
      </c>
      <c r="Q31" s="545"/>
      <c r="R31" s="545"/>
      <c r="S31" s="545"/>
      <c r="T31" s="545"/>
      <c r="U31" s="544" t="s">
        <v>937</v>
      </c>
      <c r="V31" s="544"/>
      <c r="W31" s="544"/>
      <c r="X31" s="544"/>
      <c r="Y31" s="544"/>
      <c r="Z31" s="544"/>
      <c r="AA31" s="544"/>
      <c r="AB31" s="544"/>
      <c r="AC31" s="544" t="s">
        <v>880</v>
      </c>
      <c r="AD31" s="544"/>
      <c r="AE31" s="544"/>
    </row>
    <row r="32" spans="2:40" ht="20.149999999999999" customHeight="1" x14ac:dyDescent="0.45">
      <c r="B32" s="62" t="s">
        <v>405</v>
      </c>
      <c r="C32" s="79" t="s">
        <v>304</v>
      </c>
      <c r="D32" s="1"/>
      <c r="E32" s="6"/>
      <c r="F32" s="6" t="s">
        <v>54</v>
      </c>
      <c r="P32" s="545" t="s">
        <v>953</v>
      </c>
      <c r="Q32" s="545"/>
      <c r="R32" s="545"/>
      <c r="S32" s="545"/>
      <c r="T32" s="545"/>
      <c r="U32" s="544" t="s">
        <v>940</v>
      </c>
      <c r="V32" s="544"/>
      <c r="W32" s="544"/>
      <c r="X32" s="544"/>
      <c r="Y32" s="544"/>
      <c r="Z32" s="544"/>
      <c r="AA32" s="544"/>
      <c r="AB32" s="544"/>
      <c r="AC32" s="544" t="s">
        <v>75</v>
      </c>
      <c r="AD32" s="544"/>
      <c r="AE32" s="544"/>
      <c r="AG32" s="79" t="s">
        <v>304</v>
      </c>
      <c r="AI32" s="79" t="s">
        <v>306</v>
      </c>
      <c r="AL32" s="79" t="s">
        <v>309</v>
      </c>
      <c r="AN32" s="79" t="s">
        <v>311</v>
      </c>
    </row>
    <row r="33" spans="2:33" ht="20.149999999999999" customHeight="1" x14ac:dyDescent="0.45">
      <c r="B33" s="62" t="s">
        <v>406</v>
      </c>
      <c r="C33" s="79" t="s">
        <v>305</v>
      </c>
      <c r="D33" s="1"/>
      <c r="E33" s="6"/>
      <c r="F33" s="6" t="s">
        <v>54</v>
      </c>
      <c r="P33" s="545" t="s">
        <v>954</v>
      </c>
      <c r="Q33" s="545"/>
      <c r="R33" s="545"/>
      <c r="S33" s="545"/>
      <c r="T33" s="545"/>
      <c r="U33" s="544" t="s">
        <v>321</v>
      </c>
      <c r="V33" s="544"/>
      <c r="W33" s="544"/>
      <c r="X33" s="544"/>
      <c r="Y33" s="544"/>
      <c r="Z33" s="544"/>
      <c r="AA33" s="544"/>
      <c r="AB33" s="544"/>
      <c r="AC33" s="544" t="s">
        <v>941</v>
      </c>
      <c r="AD33" s="544"/>
      <c r="AE33" s="544"/>
      <c r="AG33" t="s">
        <v>937</v>
      </c>
    </row>
    <row r="34" spans="2:33" ht="20.149999999999999" customHeight="1" x14ac:dyDescent="0.45">
      <c r="B34" s="62" t="s">
        <v>407</v>
      </c>
      <c r="C34" s="79" t="s">
        <v>306</v>
      </c>
      <c r="D34" s="1"/>
      <c r="E34" s="6"/>
      <c r="F34" s="6" t="s">
        <v>54</v>
      </c>
      <c r="P34" s="545" t="s">
        <v>943</v>
      </c>
      <c r="Q34" s="545"/>
      <c r="R34" s="545"/>
      <c r="S34" s="545"/>
      <c r="T34" s="545"/>
      <c r="U34" s="544" t="s">
        <v>326</v>
      </c>
      <c r="V34" s="544"/>
      <c r="W34" s="544"/>
      <c r="X34" s="544"/>
      <c r="Y34" s="544"/>
      <c r="Z34" s="544"/>
      <c r="AA34" s="544"/>
      <c r="AB34" s="544"/>
      <c r="AC34" s="544" t="s">
        <v>944</v>
      </c>
      <c r="AD34" s="544"/>
      <c r="AE34" s="544"/>
    </row>
    <row r="35" spans="2:33" ht="20.149999999999999" customHeight="1" x14ac:dyDescent="0.45">
      <c r="B35" s="62" t="s">
        <v>408</v>
      </c>
      <c r="C35" s="79" t="s">
        <v>307</v>
      </c>
      <c r="D35" s="1"/>
      <c r="E35" s="6"/>
      <c r="F35" s="6" t="s">
        <v>54</v>
      </c>
      <c r="H35" s="62" t="s">
        <v>483</v>
      </c>
      <c r="I35" s="79" t="s">
        <v>342</v>
      </c>
      <c r="J35" s="1"/>
      <c r="K35" s="6"/>
      <c r="L35" s="6"/>
      <c r="P35" s="545" t="s">
        <v>945</v>
      </c>
      <c r="Q35" s="545"/>
      <c r="R35" s="545"/>
      <c r="S35" s="545"/>
      <c r="T35" s="545"/>
      <c r="U35" s="544" t="s">
        <v>282</v>
      </c>
      <c r="V35" s="544"/>
      <c r="W35" s="544"/>
      <c r="X35" s="544"/>
      <c r="Y35" s="544"/>
      <c r="Z35" s="544"/>
      <c r="AA35" s="544"/>
      <c r="AB35" s="544"/>
      <c r="AC35" s="544" t="s">
        <v>946</v>
      </c>
      <c r="AD35" s="544"/>
      <c r="AE35" s="544"/>
    </row>
    <row r="36" spans="2:33" ht="20.149999999999999" customHeight="1" x14ac:dyDescent="0.45">
      <c r="B36" s="62" t="s">
        <v>409</v>
      </c>
      <c r="C36" s="79" t="s">
        <v>308</v>
      </c>
      <c r="D36" s="1"/>
      <c r="E36" s="6"/>
      <c r="F36" s="6" t="s">
        <v>1026</v>
      </c>
      <c r="H36" s="62" t="s">
        <v>484</v>
      </c>
      <c r="I36" s="79" t="s">
        <v>338</v>
      </c>
      <c r="J36" s="1"/>
      <c r="K36" s="6"/>
      <c r="L36" s="6"/>
      <c r="P36" s="545" t="s">
        <v>949</v>
      </c>
      <c r="Q36" s="545"/>
      <c r="R36" s="545"/>
      <c r="S36" s="545"/>
      <c r="T36" s="545"/>
      <c r="U36" s="544"/>
      <c r="V36" s="544"/>
      <c r="W36" s="544"/>
      <c r="X36" s="544"/>
      <c r="Y36" s="544"/>
      <c r="Z36" s="544"/>
      <c r="AA36" s="544"/>
      <c r="AB36" s="544"/>
      <c r="AC36" s="544"/>
      <c r="AD36" s="544"/>
      <c r="AE36" s="544"/>
    </row>
    <row r="37" spans="2:33" ht="20.149999999999999" customHeight="1" x14ac:dyDescent="0.45">
      <c r="B37" s="62" t="s">
        <v>410</v>
      </c>
      <c r="C37" s="79" t="s">
        <v>309</v>
      </c>
      <c r="D37" s="1"/>
      <c r="E37" s="6"/>
      <c r="F37" s="6" t="s">
        <v>54</v>
      </c>
      <c r="H37" s="62" t="s">
        <v>435</v>
      </c>
      <c r="I37" s="79" t="s">
        <v>298</v>
      </c>
      <c r="J37" s="79"/>
      <c r="K37" s="6"/>
      <c r="L37" s="6" t="s">
        <v>987</v>
      </c>
      <c r="P37" s="545" t="s">
        <v>947</v>
      </c>
      <c r="Q37" s="545"/>
      <c r="R37" s="545"/>
      <c r="S37" s="545"/>
      <c r="T37" s="545"/>
      <c r="U37" s="544"/>
      <c r="V37" s="544"/>
      <c r="W37" s="544"/>
      <c r="X37" s="544"/>
      <c r="Y37" s="544"/>
      <c r="Z37" s="544"/>
      <c r="AA37" s="544"/>
      <c r="AB37" s="544"/>
      <c r="AC37" s="544"/>
      <c r="AD37" s="544"/>
      <c r="AE37" s="544"/>
    </row>
    <row r="38" spans="2:33" ht="20.149999999999999" customHeight="1" x14ac:dyDescent="0.45">
      <c r="B38" s="62" t="s">
        <v>411</v>
      </c>
      <c r="C38" s="79" t="s">
        <v>310</v>
      </c>
      <c r="D38" s="1"/>
      <c r="E38" s="6"/>
      <c r="F38" s="6" t="s">
        <v>54</v>
      </c>
      <c r="H38" s="62" t="s">
        <v>492</v>
      </c>
      <c r="I38" s="79" t="s">
        <v>300</v>
      </c>
      <c r="J38" s="79"/>
      <c r="K38" s="6"/>
      <c r="L38" s="6" t="s">
        <v>108</v>
      </c>
      <c r="P38" s="545" t="s">
        <v>948</v>
      </c>
      <c r="Q38" s="545"/>
      <c r="R38" s="545"/>
      <c r="S38" s="545"/>
      <c r="T38" s="545"/>
      <c r="U38" s="544"/>
      <c r="V38" s="544"/>
      <c r="W38" s="544"/>
      <c r="X38" s="544"/>
      <c r="Y38" s="544"/>
      <c r="Z38" s="544"/>
      <c r="AA38" s="544"/>
      <c r="AB38" s="544"/>
      <c r="AC38" s="544"/>
      <c r="AD38" s="544"/>
      <c r="AE38" s="544"/>
    </row>
    <row r="39" spans="2:33" ht="20.149999999999999" customHeight="1" x14ac:dyDescent="0.45">
      <c r="B39" s="62" t="s">
        <v>412</v>
      </c>
      <c r="C39" s="79" t="s">
        <v>311</v>
      </c>
      <c r="D39" s="1"/>
      <c r="E39" s="6"/>
      <c r="F39" s="6" t="s">
        <v>54</v>
      </c>
      <c r="H39" s="62" t="s">
        <v>516</v>
      </c>
      <c r="I39" s="79" t="s">
        <v>322</v>
      </c>
      <c r="J39" s="65"/>
      <c r="K39" s="6"/>
      <c r="L39" s="6" t="s">
        <v>988</v>
      </c>
      <c r="P39" s="545" t="s">
        <v>950</v>
      </c>
      <c r="Q39" s="545"/>
      <c r="R39" s="545"/>
      <c r="S39" s="545"/>
      <c r="T39" s="545"/>
      <c r="U39" s="544" t="s">
        <v>281</v>
      </c>
      <c r="V39" s="544"/>
      <c r="W39" s="544"/>
      <c r="X39" s="544"/>
      <c r="Y39" s="544"/>
      <c r="Z39" s="544"/>
      <c r="AA39" s="544"/>
      <c r="AB39" s="544"/>
      <c r="AC39" s="544" t="s">
        <v>75</v>
      </c>
      <c r="AD39" s="544"/>
      <c r="AE39" s="544"/>
    </row>
    <row r="40" spans="2:33" ht="20.149999999999999" customHeight="1" x14ac:dyDescent="0.45">
      <c r="B40" s="62" t="s">
        <v>413</v>
      </c>
      <c r="C40" s="79" t="s">
        <v>312</v>
      </c>
      <c r="D40" s="1"/>
      <c r="E40" s="6"/>
      <c r="F40" s="6" t="s">
        <v>34</v>
      </c>
      <c r="P40" s="545" t="s">
        <v>951</v>
      </c>
      <c r="Q40" s="545"/>
      <c r="R40" s="545"/>
      <c r="S40" s="545"/>
      <c r="T40" s="545"/>
      <c r="U40" s="544" t="s">
        <v>284</v>
      </c>
      <c r="V40" s="544"/>
      <c r="W40" s="544"/>
      <c r="X40" s="544"/>
      <c r="Y40" s="544"/>
      <c r="Z40" s="544"/>
      <c r="AA40" s="544"/>
      <c r="AB40" s="544"/>
      <c r="AC40" s="544" t="s">
        <v>952</v>
      </c>
      <c r="AD40" s="544"/>
      <c r="AE40" s="544"/>
    </row>
    <row r="41" spans="2:33" ht="20.149999999999999" customHeight="1" x14ac:dyDescent="0.35">
      <c r="B41" s="62" t="s">
        <v>415</v>
      </c>
      <c r="C41" s="79" t="s">
        <v>352</v>
      </c>
      <c r="D41" s="1"/>
      <c r="E41" s="6"/>
      <c r="F41" s="6" t="s">
        <v>34</v>
      </c>
      <c r="H41" s="62" t="s">
        <v>517</v>
      </c>
      <c r="I41" s="538" t="s">
        <v>279</v>
      </c>
      <c r="J41" s="538"/>
      <c r="K41" s="6"/>
      <c r="L41" s="6" t="s">
        <v>34</v>
      </c>
    </row>
    <row r="42" spans="2:33" ht="20.149999999999999" customHeight="1" x14ac:dyDescent="0.35">
      <c r="B42" s="62" t="s">
        <v>417</v>
      </c>
      <c r="C42" s="79" t="s">
        <v>313</v>
      </c>
      <c r="D42" s="1"/>
      <c r="E42" s="6"/>
      <c r="F42" s="6" t="s">
        <v>34</v>
      </c>
      <c r="H42" s="62" t="s">
        <v>518</v>
      </c>
      <c r="I42" s="79" t="s">
        <v>323</v>
      </c>
      <c r="J42" s="65"/>
      <c r="K42" s="6"/>
      <c r="L42" s="6" t="s">
        <v>34</v>
      </c>
    </row>
    <row r="43" spans="2:33" ht="20.149999999999999" customHeight="1" x14ac:dyDescent="0.35">
      <c r="B43" s="62" t="s">
        <v>420</v>
      </c>
      <c r="C43" s="79" t="s">
        <v>496</v>
      </c>
      <c r="D43" s="65"/>
      <c r="E43" s="6"/>
      <c r="F43" s="6" t="s">
        <v>34</v>
      </c>
      <c r="H43" s="62" t="s">
        <v>502</v>
      </c>
      <c r="I43" s="79" t="s">
        <v>324</v>
      </c>
      <c r="J43" s="1"/>
      <c r="K43" s="6"/>
      <c r="L43" s="6" t="s">
        <v>34</v>
      </c>
    </row>
    <row r="44" spans="2:33" ht="20.149999999999999" customHeight="1" x14ac:dyDescent="0.35">
      <c r="B44" s="62" t="s">
        <v>421</v>
      </c>
      <c r="C44" s="79" t="s">
        <v>314</v>
      </c>
      <c r="D44" s="65"/>
      <c r="E44" s="6"/>
      <c r="F44" s="6" t="s">
        <v>34</v>
      </c>
      <c r="H44" s="62" t="s">
        <v>501</v>
      </c>
      <c r="I44" s="79" t="s">
        <v>325</v>
      </c>
      <c r="J44" s="1"/>
      <c r="K44" s="6"/>
      <c r="L44" s="6" t="s">
        <v>34</v>
      </c>
    </row>
    <row r="45" spans="2:33" ht="20.149999999999999" customHeight="1" x14ac:dyDescent="0.35">
      <c r="B45" s="62" t="s">
        <v>422</v>
      </c>
      <c r="C45" s="79" t="s">
        <v>315</v>
      </c>
      <c r="D45" s="66"/>
      <c r="E45" s="6"/>
      <c r="F45" s="6" t="s">
        <v>499</v>
      </c>
      <c r="H45" s="62" t="s">
        <v>520</v>
      </c>
      <c r="I45" s="79" t="s">
        <v>326</v>
      </c>
      <c r="J45" s="1"/>
      <c r="K45" s="6"/>
      <c r="L45" s="6" t="s">
        <v>34</v>
      </c>
    </row>
    <row r="46" spans="2:33" ht="20.149999999999999" customHeight="1" x14ac:dyDescent="0.35">
      <c r="B46" s="62" t="s">
        <v>423</v>
      </c>
      <c r="C46" s="538" t="s">
        <v>464</v>
      </c>
      <c r="D46" s="538"/>
      <c r="E46" s="6"/>
      <c r="F46" s="6" t="s">
        <v>34</v>
      </c>
      <c r="H46" s="62" t="s">
        <v>521</v>
      </c>
      <c r="I46" s="79" t="s">
        <v>490</v>
      </c>
      <c r="J46" s="1"/>
      <c r="K46" s="6"/>
      <c r="L46" s="6" t="s">
        <v>34</v>
      </c>
    </row>
    <row r="47" spans="2:33" ht="20.149999999999999" customHeight="1" x14ac:dyDescent="0.35">
      <c r="B47" s="62" t="s">
        <v>424</v>
      </c>
      <c r="C47" s="79" t="s">
        <v>319</v>
      </c>
      <c r="D47" s="1"/>
      <c r="E47" s="6"/>
      <c r="F47" s="6" t="s">
        <v>34</v>
      </c>
      <c r="H47" s="62" t="s">
        <v>522</v>
      </c>
      <c r="I47" s="79" t="s">
        <v>327</v>
      </c>
      <c r="J47" s="1"/>
      <c r="K47" s="6"/>
      <c r="L47" s="6" t="s">
        <v>34</v>
      </c>
    </row>
    <row r="48" spans="2:33" ht="20.149999999999999" customHeight="1" x14ac:dyDescent="0.35">
      <c r="B48" s="62" t="s">
        <v>425</v>
      </c>
      <c r="C48" s="79" t="s">
        <v>321</v>
      </c>
      <c r="D48" s="1"/>
      <c r="E48" s="6"/>
      <c r="F48" s="6" t="s">
        <v>1045</v>
      </c>
      <c r="H48" s="62" t="s">
        <v>524</v>
      </c>
      <c r="I48" s="79" t="s">
        <v>329</v>
      </c>
      <c r="J48" s="1"/>
      <c r="K48" s="6"/>
      <c r="L48" s="6" t="s">
        <v>34</v>
      </c>
    </row>
    <row r="49" spans="2:12" ht="20.149999999999999" customHeight="1" x14ac:dyDescent="0.35">
      <c r="B49" s="62" t="s">
        <v>426</v>
      </c>
      <c r="C49" s="538" t="s">
        <v>296</v>
      </c>
      <c r="D49" s="538"/>
      <c r="E49" s="6"/>
      <c r="F49" s="6" t="s">
        <v>1046</v>
      </c>
      <c r="H49" s="62" t="s">
        <v>525</v>
      </c>
      <c r="I49" s="79" t="s">
        <v>330</v>
      </c>
      <c r="J49" s="1"/>
      <c r="K49" s="6"/>
      <c r="L49" s="6" t="s">
        <v>1066</v>
      </c>
    </row>
    <row r="55" spans="2:12" ht="20.149999999999999" customHeight="1" x14ac:dyDescent="0.35">
      <c r="B55" s="62" t="s">
        <v>400</v>
      </c>
      <c r="C55" s="538" t="s">
        <v>625</v>
      </c>
      <c r="D55" s="538"/>
      <c r="E55" s="229">
        <v>18</v>
      </c>
      <c r="F55" s="6" t="s">
        <v>54</v>
      </c>
    </row>
    <row r="56" spans="2:12" ht="20.149999999999999" customHeight="1" x14ac:dyDescent="0.35">
      <c r="B56" s="62" t="s">
        <v>405</v>
      </c>
      <c r="C56" s="79" t="s">
        <v>304</v>
      </c>
      <c r="D56" s="1"/>
      <c r="E56" s="229">
        <v>14</v>
      </c>
      <c r="F56" s="6" t="s">
        <v>54</v>
      </c>
    </row>
    <row r="57" spans="2:12" ht="20.149999999999999" customHeight="1" x14ac:dyDescent="0.35">
      <c r="B57" s="62" t="s">
        <v>407</v>
      </c>
      <c r="C57" s="79" t="s">
        <v>306</v>
      </c>
      <c r="D57" s="1"/>
      <c r="E57" s="229">
        <v>18</v>
      </c>
      <c r="F57" s="6" t="s">
        <v>54</v>
      </c>
    </row>
    <row r="58" spans="2:12" ht="20.149999999999999" customHeight="1" x14ac:dyDescent="0.35">
      <c r="B58" s="62" t="s">
        <v>409</v>
      </c>
      <c r="C58" s="79" t="s">
        <v>308</v>
      </c>
      <c r="D58" s="1"/>
      <c r="E58" s="229">
        <v>8.5</v>
      </c>
      <c r="F58" s="6" t="s">
        <v>1026</v>
      </c>
    </row>
    <row r="59" spans="2:12" ht="20.149999999999999" customHeight="1" x14ac:dyDescent="0.35">
      <c r="B59" s="62" t="s">
        <v>411</v>
      </c>
      <c r="C59" s="79" t="s">
        <v>310</v>
      </c>
      <c r="D59" s="1"/>
      <c r="E59" s="229">
        <v>11</v>
      </c>
      <c r="F59" s="6" t="s">
        <v>54</v>
      </c>
    </row>
    <row r="60" spans="2:12" ht="20.149999999999999" customHeight="1" x14ac:dyDescent="0.35">
      <c r="B60" s="62" t="s">
        <v>412</v>
      </c>
      <c r="C60" s="79" t="s">
        <v>311</v>
      </c>
      <c r="D60" s="1"/>
      <c r="E60" s="229">
        <v>10</v>
      </c>
      <c r="F60" s="6" t="s">
        <v>54</v>
      </c>
    </row>
    <row r="61" spans="2:12" ht="20.149999999999999" customHeight="1" x14ac:dyDescent="0.35">
      <c r="B61" s="62" t="s">
        <v>474</v>
      </c>
      <c r="C61" s="538" t="s">
        <v>1053</v>
      </c>
      <c r="D61" s="538"/>
      <c r="E61" s="229">
        <v>31</v>
      </c>
      <c r="F61" s="6" t="s">
        <v>1055</v>
      </c>
      <c r="H61" s="206"/>
      <c r="I61" s="207"/>
    </row>
    <row r="62" spans="2:12" ht="20.149999999999999" customHeight="1" x14ac:dyDescent="0.35">
      <c r="B62" s="62" t="s">
        <v>472</v>
      </c>
      <c r="C62" s="538" t="s">
        <v>1288</v>
      </c>
      <c r="D62" s="538"/>
      <c r="E62" s="229">
        <v>36</v>
      </c>
      <c r="F62" s="6" t="s">
        <v>1055</v>
      </c>
      <c r="H62" s="206"/>
      <c r="I62" s="207"/>
    </row>
    <row r="63" spans="2:12" ht="20.149999999999999" customHeight="1" x14ac:dyDescent="0.35">
      <c r="B63" s="62" t="s">
        <v>473</v>
      </c>
      <c r="C63" s="538" t="s">
        <v>1287</v>
      </c>
      <c r="D63" s="538"/>
      <c r="E63" s="229">
        <v>32</v>
      </c>
      <c r="F63" s="6" t="s">
        <v>1055</v>
      </c>
      <c r="H63" s="206"/>
      <c r="I63" s="207"/>
      <c r="J63" s="207"/>
    </row>
    <row r="64" spans="2:12" ht="20.149999999999999" customHeight="1" x14ac:dyDescent="0.35">
      <c r="B64" s="62" t="s">
        <v>1392</v>
      </c>
      <c r="C64" s="79" t="s">
        <v>1424</v>
      </c>
      <c r="D64" s="1"/>
      <c r="E64" s="229">
        <v>24</v>
      </c>
      <c r="F64" s="6" t="s">
        <v>929</v>
      </c>
      <c r="H64" s="206"/>
      <c r="I64" s="207"/>
      <c r="J64" s="207"/>
    </row>
    <row r="65" spans="2:10" ht="20.149999999999999" customHeight="1" x14ac:dyDescent="0.35">
      <c r="B65" s="62" t="s">
        <v>413</v>
      </c>
      <c r="C65" s="79" t="s">
        <v>312</v>
      </c>
      <c r="D65" s="1"/>
      <c r="E65" s="229">
        <v>12</v>
      </c>
      <c r="F65" s="6" t="s">
        <v>34</v>
      </c>
      <c r="H65" s="206"/>
      <c r="I65" s="207"/>
      <c r="J65" s="209"/>
    </row>
    <row r="66" spans="2:10" ht="20.149999999999999" customHeight="1" x14ac:dyDescent="0.35">
      <c r="B66" s="62" t="s">
        <v>417</v>
      </c>
      <c r="C66" s="79" t="s">
        <v>313</v>
      </c>
      <c r="D66" s="1"/>
      <c r="E66" s="229">
        <v>16</v>
      </c>
      <c r="F66" s="6" t="s">
        <v>34</v>
      </c>
    </row>
    <row r="67" spans="2:10" ht="20.149999999999999" customHeight="1" x14ac:dyDescent="0.35">
      <c r="B67" s="62" t="s">
        <v>420</v>
      </c>
      <c r="C67" s="79" t="s">
        <v>496</v>
      </c>
      <c r="D67" s="65"/>
      <c r="E67" s="229">
        <v>23</v>
      </c>
      <c r="F67" s="6" t="s">
        <v>34</v>
      </c>
    </row>
    <row r="68" spans="2:10" ht="20.149999999999999" customHeight="1" x14ac:dyDescent="0.35">
      <c r="B68" s="62" t="s">
        <v>425</v>
      </c>
      <c r="C68" s="79" t="s">
        <v>321</v>
      </c>
      <c r="D68" s="1"/>
      <c r="E68" s="229">
        <v>2.9</v>
      </c>
      <c r="F68" s="6" t="s">
        <v>1045</v>
      </c>
    </row>
    <row r="69" spans="2:10" ht="20.149999999999999" customHeight="1" x14ac:dyDescent="0.35">
      <c r="B69" s="62" t="s">
        <v>426</v>
      </c>
      <c r="C69" s="538" t="s">
        <v>296</v>
      </c>
      <c r="D69" s="538"/>
      <c r="E69" s="229">
        <v>16</v>
      </c>
      <c r="F69" s="6" t="s">
        <v>1046</v>
      </c>
    </row>
    <row r="70" spans="2:10" ht="20.149999999999999" customHeight="1" x14ac:dyDescent="0.35">
      <c r="B70" s="62" t="s">
        <v>422</v>
      </c>
      <c r="C70" s="79" t="s">
        <v>315</v>
      </c>
      <c r="D70" s="66"/>
      <c r="E70" s="229">
        <v>7.5</v>
      </c>
      <c r="F70" s="6" t="s">
        <v>1425</v>
      </c>
    </row>
    <row r="71" spans="2:10" ht="20.149999999999999" customHeight="1" x14ac:dyDescent="0.35">
      <c r="B71" s="62" t="s">
        <v>429</v>
      </c>
      <c r="C71" s="538" t="s">
        <v>280</v>
      </c>
      <c r="D71" s="538"/>
      <c r="E71" s="229">
        <v>7</v>
      </c>
      <c r="F71" s="6" t="s">
        <v>529</v>
      </c>
    </row>
    <row r="72" spans="2:10" ht="20.149999999999999" customHeight="1" x14ac:dyDescent="0.35">
      <c r="B72" s="62" t="s">
        <v>430</v>
      </c>
      <c r="C72" s="79" t="s">
        <v>316</v>
      </c>
      <c r="D72" s="79"/>
      <c r="E72" s="229">
        <v>14</v>
      </c>
      <c r="F72" s="6" t="s">
        <v>530</v>
      </c>
    </row>
    <row r="73" spans="2:10" ht="20.149999999999999" customHeight="1" x14ac:dyDescent="0.35">
      <c r="B73" s="62" t="s">
        <v>431</v>
      </c>
      <c r="C73" s="79" t="s">
        <v>317</v>
      </c>
      <c r="D73" s="65"/>
      <c r="E73" s="229">
        <v>13.5</v>
      </c>
      <c r="F73" s="6" t="s">
        <v>530</v>
      </c>
    </row>
    <row r="74" spans="2:10" ht="20.149999999999999" customHeight="1" x14ac:dyDescent="0.35">
      <c r="B74" s="62" t="s">
        <v>541</v>
      </c>
      <c r="C74" s="538" t="s">
        <v>281</v>
      </c>
      <c r="D74" s="538"/>
      <c r="E74" s="229">
        <v>7</v>
      </c>
      <c r="F74" s="6" t="s">
        <v>34</v>
      </c>
    </row>
    <row r="75" spans="2:10" ht="20.149999999999999" customHeight="1" x14ac:dyDescent="0.35">
      <c r="B75" s="62" t="s">
        <v>612</v>
      </c>
      <c r="C75" s="538" t="s">
        <v>282</v>
      </c>
      <c r="D75" s="538"/>
      <c r="E75" s="229">
        <v>7</v>
      </c>
      <c r="F75" s="6" t="s">
        <v>1426</v>
      </c>
    </row>
    <row r="76" spans="2:10" ht="20.149999999999999" customHeight="1" x14ac:dyDescent="0.35">
      <c r="B76" s="62" t="s">
        <v>367</v>
      </c>
      <c r="C76" s="538" t="s">
        <v>270</v>
      </c>
      <c r="D76" s="538"/>
      <c r="E76" s="229">
        <v>29</v>
      </c>
      <c r="F76" s="6" t="s">
        <v>54</v>
      </c>
    </row>
    <row r="77" spans="2:10" ht="20.149999999999999" customHeight="1" x14ac:dyDescent="0.35">
      <c r="B77" s="62" t="s">
        <v>371</v>
      </c>
      <c r="C77" s="538" t="s">
        <v>272</v>
      </c>
      <c r="D77" s="538"/>
      <c r="E77" s="229">
        <v>7</v>
      </c>
      <c r="F77" s="6" t="s">
        <v>34</v>
      </c>
    </row>
    <row r="78" spans="2:10" ht="20.149999999999999" customHeight="1" x14ac:dyDescent="0.35">
      <c r="B78" s="62" t="s">
        <v>372</v>
      </c>
      <c r="C78" s="538" t="s">
        <v>273</v>
      </c>
      <c r="D78" s="538"/>
      <c r="E78" s="229">
        <v>7</v>
      </c>
      <c r="F78" s="6" t="s">
        <v>34</v>
      </c>
    </row>
    <row r="82" spans="2:10" ht="20.149999999999999" customHeight="1" x14ac:dyDescent="0.35">
      <c r="B82" s="145" t="s">
        <v>1440</v>
      </c>
      <c r="C82" s="538" t="s">
        <v>270</v>
      </c>
      <c r="D82" s="538"/>
      <c r="E82" s="229">
        <v>30</v>
      </c>
      <c r="F82" s="6" t="s">
        <v>1267</v>
      </c>
    </row>
    <row r="83" spans="2:10" ht="20.149999999999999" customHeight="1" x14ac:dyDescent="0.35">
      <c r="B83" s="145" t="s">
        <v>1445</v>
      </c>
      <c r="C83" s="538" t="s">
        <v>1067</v>
      </c>
      <c r="D83" s="538"/>
      <c r="E83" s="229">
        <v>36</v>
      </c>
      <c r="F83" s="6" t="s">
        <v>1267</v>
      </c>
    </row>
    <row r="84" spans="2:10" ht="20.149999999999999" customHeight="1" x14ac:dyDescent="0.35">
      <c r="B84" s="145" t="s">
        <v>1447</v>
      </c>
      <c r="C84" s="538" t="s">
        <v>272</v>
      </c>
      <c r="D84" s="538"/>
      <c r="E84" s="229">
        <v>7</v>
      </c>
      <c r="F84" s="6" t="s">
        <v>75</v>
      </c>
    </row>
    <row r="85" spans="2:10" ht="20.149999999999999" customHeight="1" x14ac:dyDescent="0.35">
      <c r="B85" s="145" t="s">
        <v>1448</v>
      </c>
      <c r="C85" s="538" t="s">
        <v>273</v>
      </c>
      <c r="D85" s="538"/>
      <c r="E85" s="229">
        <v>7</v>
      </c>
      <c r="F85" s="6" t="s">
        <v>75</v>
      </c>
    </row>
    <row r="86" spans="2:10" ht="20.149999999999999" customHeight="1" x14ac:dyDescent="0.35">
      <c r="B86" s="145" t="s">
        <v>1449</v>
      </c>
      <c r="C86" s="538" t="s">
        <v>274</v>
      </c>
      <c r="D86" s="538"/>
      <c r="E86" s="229">
        <v>8</v>
      </c>
      <c r="F86" s="6" t="s">
        <v>75</v>
      </c>
    </row>
    <row r="87" spans="2:10" ht="20.149999999999999" customHeight="1" x14ac:dyDescent="0.35">
      <c r="B87" s="145" t="s">
        <v>1471</v>
      </c>
      <c r="C87" s="200" t="s">
        <v>1160</v>
      </c>
      <c r="D87" s="1"/>
      <c r="E87" s="229">
        <v>6</v>
      </c>
      <c r="F87" s="6" t="s">
        <v>75</v>
      </c>
    </row>
    <row r="88" spans="2:10" ht="20.149999999999999" customHeight="1" x14ac:dyDescent="0.35">
      <c r="B88" s="145" t="s">
        <v>1472</v>
      </c>
      <c r="C88" s="200" t="s">
        <v>1161</v>
      </c>
      <c r="D88" s="79"/>
      <c r="E88" s="229">
        <v>8</v>
      </c>
      <c r="F88" s="6" t="s">
        <v>75</v>
      </c>
    </row>
    <row r="89" spans="2:10" ht="20.149999999999999" customHeight="1" x14ac:dyDescent="0.35">
      <c r="B89" s="145" t="s">
        <v>1473</v>
      </c>
      <c r="C89" s="200" t="s">
        <v>1162</v>
      </c>
      <c r="D89" s="1"/>
      <c r="E89" s="229">
        <v>6</v>
      </c>
      <c r="F89" s="6" t="s">
        <v>75</v>
      </c>
    </row>
    <row r="90" spans="2:10" ht="20.149999999999999" customHeight="1" x14ac:dyDescent="0.35">
      <c r="B90" s="145" t="s">
        <v>1498</v>
      </c>
      <c r="C90" s="537" t="s">
        <v>1840</v>
      </c>
      <c r="D90" s="537"/>
      <c r="E90" s="229">
        <v>25</v>
      </c>
      <c r="F90" s="6" t="s">
        <v>1849</v>
      </c>
    </row>
    <row r="91" spans="2:10" ht="20.149999999999999" customHeight="1" x14ac:dyDescent="0.35">
      <c r="B91" s="145" t="s">
        <v>1516</v>
      </c>
      <c r="C91" s="537" t="s">
        <v>604</v>
      </c>
      <c r="D91" s="537"/>
      <c r="E91" s="229">
        <v>28</v>
      </c>
      <c r="F91" s="6" t="s">
        <v>1841</v>
      </c>
    </row>
    <row r="92" spans="2:10" ht="20.149999999999999" customHeight="1" x14ac:dyDescent="0.35">
      <c r="B92" s="145" t="s">
        <v>1563</v>
      </c>
      <c r="C92" s="537" t="s">
        <v>295</v>
      </c>
      <c r="D92" s="537"/>
      <c r="E92" s="229">
        <v>10.5</v>
      </c>
      <c r="F92" s="231" t="s">
        <v>1340</v>
      </c>
    </row>
    <row r="93" spans="2:10" ht="20.149999999999999" customHeight="1" x14ac:dyDescent="0.35">
      <c r="B93" s="145" t="s">
        <v>1566</v>
      </c>
      <c r="C93" s="538" t="s">
        <v>1239</v>
      </c>
      <c r="D93" s="538"/>
      <c r="E93" s="229">
        <v>5</v>
      </c>
      <c r="F93" s="6" t="s">
        <v>1842</v>
      </c>
    </row>
    <row r="94" spans="2:10" ht="20.149999999999999" customHeight="1" x14ac:dyDescent="0.35">
      <c r="B94" s="145" t="s">
        <v>1567</v>
      </c>
      <c r="C94" s="538" t="s">
        <v>301</v>
      </c>
      <c r="D94" s="538"/>
      <c r="E94" s="229">
        <v>6</v>
      </c>
      <c r="F94" s="6" t="s">
        <v>879</v>
      </c>
      <c r="J94" s="200" t="s">
        <v>1160</v>
      </c>
    </row>
    <row r="95" spans="2:10" ht="20.149999999999999" customHeight="1" x14ac:dyDescent="0.35">
      <c r="B95" s="145" t="s">
        <v>1599</v>
      </c>
      <c r="C95" s="538" t="s">
        <v>306</v>
      </c>
      <c r="D95" s="538"/>
      <c r="E95" s="229">
        <v>18</v>
      </c>
      <c r="F95" s="6" t="s">
        <v>54</v>
      </c>
      <c r="J95" s="200" t="s">
        <v>1161</v>
      </c>
    </row>
    <row r="96" spans="2:10" ht="20.149999999999999" customHeight="1" x14ac:dyDescent="0.35">
      <c r="B96" s="145" t="s">
        <v>1615</v>
      </c>
      <c r="C96" s="79" t="s">
        <v>311</v>
      </c>
      <c r="D96" s="1"/>
      <c r="E96" s="229">
        <v>10</v>
      </c>
      <c r="F96" s="6" t="s">
        <v>54</v>
      </c>
      <c r="J96" s="200" t="s">
        <v>1162</v>
      </c>
    </row>
    <row r="97" spans="2:6" ht="20.149999999999999" customHeight="1" x14ac:dyDescent="0.35">
      <c r="B97" s="145" t="s">
        <v>1642</v>
      </c>
      <c r="C97" s="538" t="s">
        <v>296</v>
      </c>
      <c r="D97" s="538"/>
      <c r="E97" s="229">
        <v>16</v>
      </c>
      <c r="F97" s="6" t="s">
        <v>946</v>
      </c>
    </row>
    <row r="98" spans="2:6" ht="20.149999999999999" customHeight="1" x14ac:dyDescent="0.35">
      <c r="B98" s="145" t="s">
        <v>1629</v>
      </c>
      <c r="C98" s="79" t="s">
        <v>315</v>
      </c>
      <c r="D98" s="66"/>
      <c r="E98" s="229">
        <v>8</v>
      </c>
      <c r="F98" s="6" t="s">
        <v>1425</v>
      </c>
    </row>
    <row r="99" spans="2:6" ht="20.149999999999999" customHeight="1" x14ac:dyDescent="0.35">
      <c r="B99" s="145" t="s">
        <v>1656</v>
      </c>
      <c r="C99" s="538" t="s">
        <v>523</v>
      </c>
      <c r="D99" s="538"/>
      <c r="E99" s="229">
        <v>22</v>
      </c>
      <c r="F99" s="6" t="s">
        <v>1843</v>
      </c>
    </row>
    <row r="100" spans="2:6" ht="20.149999999999999" customHeight="1" x14ac:dyDescent="0.35">
      <c r="B100" s="145" t="s">
        <v>1759</v>
      </c>
      <c r="C100" s="537" t="s">
        <v>1760</v>
      </c>
      <c r="D100" s="537"/>
      <c r="E100" s="229">
        <v>18</v>
      </c>
      <c r="F100" s="6" t="s">
        <v>946</v>
      </c>
    </row>
    <row r="101" spans="2:6" ht="20.149999999999999" customHeight="1" x14ac:dyDescent="0.35">
      <c r="B101" s="145" t="s">
        <v>1775</v>
      </c>
      <c r="C101" s="79" t="s">
        <v>1424</v>
      </c>
      <c r="D101" s="1"/>
      <c r="E101" s="229">
        <v>24</v>
      </c>
      <c r="F101" s="6" t="s">
        <v>929</v>
      </c>
    </row>
    <row r="102" spans="2:6" ht="20.149999999999999" customHeight="1" x14ac:dyDescent="0.35">
      <c r="B102" s="145" t="s">
        <v>1768</v>
      </c>
      <c r="C102" s="538" t="s">
        <v>280</v>
      </c>
      <c r="D102" s="538"/>
      <c r="E102" s="229">
        <v>7</v>
      </c>
      <c r="F102" s="6" t="s">
        <v>529</v>
      </c>
    </row>
    <row r="103" spans="2:6" ht="20.149999999999999" customHeight="1" x14ac:dyDescent="0.35">
      <c r="B103" s="145" t="s">
        <v>1766</v>
      </c>
      <c r="C103" s="79" t="s">
        <v>316</v>
      </c>
      <c r="D103" s="79"/>
      <c r="E103" s="229">
        <v>14</v>
      </c>
      <c r="F103" s="6" t="s">
        <v>530</v>
      </c>
    </row>
    <row r="104" spans="2:6" ht="20.149999999999999" customHeight="1" x14ac:dyDescent="0.35">
      <c r="B104" s="145" t="s">
        <v>1768</v>
      </c>
      <c r="C104" s="537" t="s">
        <v>317</v>
      </c>
      <c r="D104" s="537"/>
      <c r="E104" s="229">
        <v>13.5</v>
      </c>
      <c r="F104" s="6" t="s">
        <v>530</v>
      </c>
    </row>
    <row r="105" spans="2:6" ht="20.149999999999999" customHeight="1" x14ac:dyDescent="0.35">
      <c r="B105" s="145" t="s">
        <v>1689</v>
      </c>
      <c r="C105" s="538" t="s">
        <v>286</v>
      </c>
      <c r="D105" s="538"/>
      <c r="E105" s="229">
        <v>18</v>
      </c>
      <c r="F105" s="6" t="s">
        <v>1844</v>
      </c>
    </row>
    <row r="106" spans="2:6" ht="20.149999999999999" customHeight="1" x14ac:dyDescent="0.35">
      <c r="B106" s="145" t="s">
        <v>1704</v>
      </c>
      <c r="C106" s="549" t="s">
        <v>289</v>
      </c>
      <c r="D106" s="549"/>
      <c r="E106" s="229">
        <v>28</v>
      </c>
      <c r="F106" s="6" t="s">
        <v>1845</v>
      </c>
    </row>
    <row r="107" spans="2:6" ht="20.149999999999999" customHeight="1" x14ac:dyDescent="0.35">
      <c r="B107" s="145" t="s">
        <v>1711</v>
      </c>
      <c r="C107" s="500" t="s">
        <v>336</v>
      </c>
      <c r="D107" s="500"/>
      <c r="E107" s="229">
        <v>11</v>
      </c>
      <c r="F107" s="6" t="s">
        <v>1844</v>
      </c>
    </row>
    <row r="108" spans="2:6" ht="20.149999999999999" customHeight="1" x14ac:dyDescent="0.35">
      <c r="B108" s="129" t="s">
        <v>1706</v>
      </c>
      <c r="C108" s="500" t="s">
        <v>290</v>
      </c>
      <c r="D108" s="500"/>
      <c r="E108" s="229">
        <v>19</v>
      </c>
      <c r="F108" s="6" t="s">
        <v>1846</v>
      </c>
    </row>
    <row r="109" spans="2:6" ht="20.149999999999999" customHeight="1" x14ac:dyDescent="0.35">
      <c r="B109" s="145" t="s">
        <v>1715</v>
      </c>
      <c r="C109" s="549" t="s">
        <v>1411</v>
      </c>
      <c r="D109" s="549"/>
      <c r="E109" s="229">
        <v>54</v>
      </c>
      <c r="F109" s="6" t="s">
        <v>1847</v>
      </c>
    </row>
    <row r="110" spans="2:6" ht="20.149999999999999" customHeight="1" x14ac:dyDescent="0.35">
      <c r="B110" s="145" t="s">
        <v>1736</v>
      </c>
      <c r="C110" s="200" t="s">
        <v>328</v>
      </c>
      <c r="D110" s="1"/>
      <c r="E110" s="229">
        <v>42</v>
      </c>
      <c r="F110" s="6" t="s">
        <v>1848</v>
      </c>
    </row>
    <row r="111" spans="2:6" x14ac:dyDescent="0.35">
      <c r="B111" s="208"/>
    </row>
  </sheetData>
  <mergeCells count="102">
    <mergeCell ref="C106:D106"/>
    <mergeCell ref="C107:D107"/>
    <mergeCell ref="C108:D108"/>
    <mergeCell ref="C109:D109"/>
    <mergeCell ref="C105:D105"/>
    <mergeCell ref="C83:D83"/>
    <mergeCell ref="C84:D84"/>
    <mergeCell ref="C85:D85"/>
    <mergeCell ref="C86:D86"/>
    <mergeCell ref="C104:D104"/>
    <mergeCell ref="C100:D100"/>
    <mergeCell ref="C90:D90"/>
    <mergeCell ref="C91:D91"/>
    <mergeCell ref="C92:D92"/>
    <mergeCell ref="C102:D102"/>
    <mergeCell ref="C93:D93"/>
    <mergeCell ref="C94:D94"/>
    <mergeCell ref="C95:D95"/>
    <mergeCell ref="C99:D99"/>
    <mergeCell ref="C82:D82"/>
    <mergeCell ref="C97:D97"/>
    <mergeCell ref="C7:D7"/>
    <mergeCell ref="I7:J7"/>
    <mergeCell ref="C4:D4"/>
    <mergeCell ref="C5:D5"/>
    <mergeCell ref="I5:J5"/>
    <mergeCell ref="C6:D6"/>
    <mergeCell ref="I6:J6"/>
    <mergeCell ref="C25:D25"/>
    <mergeCell ref="I25:J25"/>
    <mergeCell ref="C61:D61"/>
    <mergeCell ref="C75:D75"/>
    <mergeCell ref="C76:D76"/>
    <mergeCell ref="C77:D77"/>
    <mergeCell ref="C78:D78"/>
    <mergeCell ref="C62:D62"/>
    <mergeCell ref="C63:D63"/>
    <mergeCell ref="C71:D71"/>
    <mergeCell ref="C69:D69"/>
    <mergeCell ref="C74:D74"/>
    <mergeCell ref="P14:AE18"/>
    <mergeCell ref="I15:J15"/>
    <mergeCell ref="C16:D16"/>
    <mergeCell ref="C17:D17"/>
    <mergeCell ref="C8:D8"/>
    <mergeCell ref="I8:J8"/>
    <mergeCell ref="C9:D9"/>
    <mergeCell ref="I9:J9"/>
    <mergeCell ref="I10:J10"/>
    <mergeCell ref="I11:J11"/>
    <mergeCell ref="I12:J12"/>
    <mergeCell ref="C13:D13"/>
    <mergeCell ref="I13:J13"/>
    <mergeCell ref="C14:D14"/>
    <mergeCell ref="I14:J14"/>
    <mergeCell ref="P19:AE24"/>
    <mergeCell ref="C20:D20"/>
    <mergeCell ref="C21:D21"/>
    <mergeCell ref="C22:D22"/>
    <mergeCell ref="C23:D23"/>
    <mergeCell ref="C26:D26"/>
    <mergeCell ref="C27:D27"/>
    <mergeCell ref="C28:D28"/>
    <mergeCell ref="I29:J29"/>
    <mergeCell ref="P30:T30"/>
    <mergeCell ref="AG30:AH30"/>
    <mergeCell ref="P31:T31"/>
    <mergeCell ref="U31:AB31"/>
    <mergeCell ref="AC31:AE31"/>
    <mergeCell ref="P33:T33"/>
    <mergeCell ref="U33:AB33"/>
    <mergeCell ref="AC33:AE33"/>
    <mergeCell ref="P32:T32"/>
    <mergeCell ref="U32:AB32"/>
    <mergeCell ref="AC32:AE32"/>
    <mergeCell ref="U30:AB30"/>
    <mergeCell ref="AC30:AE30"/>
    <mergeCell ref="P34:T34"/>
    <mergeCell ref="U34:AB34"/>
    <mergeCell ref="AC34:AE34"/>
    <mergeCell ref="P35:T35"/>
    <mergeCell ref="U35:AB35"/>
    <mergeCell ref="AC35:AE35"/>
    <mergeCell ref="P36:T36"/>
    <mergeCell ref="U36:AB36"/>
    <mergeCell ref="AC36:AE36"/>
    <mergeCell ref="AC39:AE39"/>
    <mergeCell ref="C55:D55"/>
    <mergeCell ref="P40:T40"/>
    <mergeCell ref="U40:AB40"/>
    <mergeCell ref="AC40:AE40"/>
    <mergeCell ref="P37:T37"/>
    <mergeCell ref="U37:AB37"/>
    <mergeCell ref="AC37:AE37"/>
    <mergeCell ref="P38:T38"/>
    <mergeCell ref="U38:AB38"/>
    <mergeCell ref="AC38:AE38"/>
    <mergeCell ref="P39:T39"/>
    <mergeCell ref="U39:AB39"/>
    <mergeCell ref="I41:J41"/>
    <mergeCell ref="C46:D46"/>
    <mergeCell ref="C49:D49"/>
  </mergeCells>
  <printOptions horizontalCentered="1" verticalCentered="1"/>
  <pageMargins left="0.47244094488188981" right="0" top="1.5354330708661419" bottom="0.74803149606299213" header="0.31496062992125984" footer="0.31496062992125984"/>
  <pageSetup paperSize="9" scale="62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A581CA-7E72-4C4C-81BF-6A20FCBDAF9F}">
  <sheetPr codeName="Sheet150">
    <tabColor rgb="FF92D050"/>
    <pageSetUpPr fitToPage="1"/>
  </sheetPr>
  <dimension ref="B1:O43"/>
  <sheetViews>
    <sheetView topLeftCell="A6" workbookViewId="0">
      <selection activeCell="K18" sqref="K18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7.453125" style="24" customWidth="1"/>
    <col min="7" max="7" width="8.54296875" style="24" customWidth="1"/>
    <col min="8" max="8" width="12.54296875" style="24" customWidth="1"/>
    <col min="9" max="9" width="2.54296875" style="24" customWidth="1"/>
    <col min="10" max="10" width="15.54296875" style="24" customWidth="1"/>
    <col min="11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722</v>
      </c>
      <c r="J10" s="29" t="s">
        <v>29</v>
      </c>
      <c r="K10" s="452">
        <v>202204454</v>
      </c>
      <c r="L10" s="453"/>
    </row>
    <row r="11" spans="2:12" ht="20.149999999999999" customHeight="1" x14ac:dyDescent="0.45">
      <c r="B11" s="454" t="s">
        <v>723</v>
      </c>
      <c r="C11" s="455"/>
      <c r="D11" s="456"/>
      <c r="E11" s="30"/>
      <c r="F11" s="457" t="str">
        <f>VLOOKUP(H10,'Delivery Location'!A$4:N$416,2,0)</f>
        <v>S. MARCO FOOD TRADING PTE LTD            39, Woodlands Close #05-27/28/29 Singapore 737856</v>
      </c>
      <c r="G11" s="458"/>
      <c r="H11" s="459"/>
      <c r="J11" s="31" t="s">
        <v>11</v>
      </c>
      <c r="K11" s="551" t="s">
        <v>2204</v>
      </c>
      <c r="L11" s="472"/>
    </row>
    <row r="12" spans="2:12" ht="20.149999999999999" customHeight="1" x14ac:dyDescent="0.45">
      <c r="B12" s="468" t="s">
        <v>724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533</v>
      </c>
      <c r="L12" s="472"/>
    </row>
    <row r="13" spans="2:12" ht="20.149999999999999" customHeight="1" x14ac:dyDescent="0.45">
      <c r="B13" s="468" t="s">
        <v>725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688</v>
      </c>
      <c r="L13" s="472"/>
    </row>
    <row r="14" spans="2:12" ht="20.149999999999999" customHeight="1" x14ac:dyDescent="0.45">
      <c r="B14" s="468" t="s">
        <v>726</v>
      </c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552"/>
      <c r="C15" s="474"/>
      <c r="D15" s="475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15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8" t="s">
        <v>622</v>
      </c>
      <c r="I17" s="478" t="s">
        <v>621</v>
      </c>
      <c r="J17" s="479"/>
      <c r="K17" s="9" t="s">
        <v>6</v>
      </c>
      <c r="L17" s="10" t="s">
        <v>7</v>
      </c>
      <c r="M17" s="33"/>
      <c r="N17" s="33"/>
      <c r="O17" s="33"/>
    </row>
    <row r="18" spans="2:15" ht="20.149999999999999" customHeight="1" x14ac:dyDescent="0.45">
      <c r="B18" s="70"/>
      <c r="C18" s="22" t="s">
        <v>1457</v>
      </c>
      <c r="D18" s="508" t="str">
        <f>VLOOKUP(C18,'Sales Master'!B$3:D$499,2,)</f>
        <v>Bobo ChaCha Cubes 摩摩喳喳</v>
      </c>
      <c r="E18" s="508"/>
      <c r="F18" s="508"/>
      <c r="G18" s="90">
        <v>5</v>
      </c>
      <c r="H18" s="439" t="str">
        <f>VLOOKUP(C18,'Sales Master'!$B$3:$E$590,4,0)</f>
        <v>DO!</v>
      </c>
      <c r="I18" s="550" t="str">
        <f>VLOOKUP(C18,'Sales Master'!$B$3:F$590,5,0)</f>
        <v>800 GM/BAG</v>
      </c>
      <c r="J18" s="550"/>
      <c r="K18" s="98">
        <v>8</v>
      </c>
      <c r="L18" s="99">
        <f>K18*G18</f>
        <v>40</v>
      </c>
      <c r="M18" s="78"/>
    </row>
    <row r="19" spans="2:15" ht="20.149999999999999" customHeight="1" x14ac:dyDescent="0.45">
      <c r="B19" s="70"/>
      <c r="C19" s="22"/>
      <c r="D19" s="508"/>
      <c r="E19" s="508"/>
      <c r="F19" s="508"/>
      <c r="G19" s="90"/>
      <c r="H19" s="97"/>
      <c r="I19" s="506"/>
      <c r="J19" s="506"/>
      <c r="K19" s="98"/>
      <c r="L19" s="99"/>
      <c r="M19" s="78"/>
    </row>
    <row r="20" spans="2:15" ht="20.149999999999999" customHeight="1" x14ac:dyDescent="0.45">
      <c r="B20" s="70"/>
      <c r="C20" s="22"/>
      <c r="D20" s="508"/>
      <c r="E20" s="508"/>
      <c r="F20" s="508"/>
      <c r="G20" s="90"/>
      <c r="H20" s="97"/>
      <c r="I20" s="506"/>
      <c r="J20" s="506"/>
      <c r="K20" s="98"/>
      <c r="L20" s="99"/>
      <c r="M20" s="78"/>
    </row>
    <row r="21" spans="2:15" ht="20.149999999999999" customHeight="1" x14ac:dyDescent="0.45">
      <c r="B21" s="70"/>
      <c r="C21" s="22"/>
      <c r="D21" s="508"/>
      <c r="E21" s="508"/>
      <c r="F21" s="508"/>
      <c r="G21" s="90"/>
      <c r="H21" s="97"/>
      <c r="I21" s="506"/>
      <c r="J21" s="506"/>
      <c r="K21" s="98"/>
      <c r="L21" s="99"/>
      <c r="M21" s="78"/>
    </row>
    <row r="22" spans="2:15" ht="20.149999999999999" customHeight="1" x14ac:dyDescent="0.45">
      <c r="B22" s="70"/>
      <c r="C22" s="22"/>
      <c r="D22" s="508"/>
      <c r="E22" s="508"/>
      <c r="F22" s="508"/>
      <c r="G22" s="90"/>
      <c r="H22" s="97"/>
      <c r="I22" s="506"/>
      <c r="J22" s="506"/>
      <c r="K22" s="98"/>
      <c r="L22" s="99"/>
      <c r="M22" s="78"/>
    </row>
    <row r="23" spans="2:15" ht="20.149999999999999" customHeight="1" x14ac:dyDescent="0.45">
      <c r="B23" s="70"/>
      <c r="C23" s="22"/>
      <c r="D23" s="508"/>
      <c r="E23" s="508"/>
      <c r="F23" s="508"/>
      <c r="G23" s="90"/>
      <c r="H23" s="97"/>
      <c r="I23" s="506"/>
      <c r="J23" s="506"/>
      <c r="K23" s="98"/>
      <c r="L23" s="99"/>
      <c r="M23" s="78"/>
    </row>
    <row r="24" spans="2:15" ht="20.149999999999999" customHeight="1" x14ac:dyDescent="0.45">
      <c r="B24" s="70"/>
      <c r="C24" s="285" t="s">
        <v>2207</v>
      </c>
      <c r="G24" s="90"/>
      <c r="H24" s="97"/>
      <c r="I24" s="506"/>
      <c r="J24" s="506"/>
      <c r="K24" s="98"/>
      <c r="L24" s="99"/>
      <c r="M24" s="78"/>
    </row>
    <row r="25" spans="2:15" ht="20.149999999999999" customHeight="1" x14ac:dyDescent="0.45">
      <c r="B25" s="70"/>
      <c r="C25" s="22" t="s">
        <v>1457</v>
      </c>
      <c r="D25" s="508" t="str">
        <f>VLOOKUP(C25,'Sales Master'!B$3:D$499,2,)</f>
        <v>Bobo ChaCha Cubes 摩摩喳喳</v>
      </c>
      <c r="E25" s="508"/>
      <c r="F25" s="508"/>
      <c r="G25" s="90">
        <v>1</v>
      </c>
      <c r="H25" s="97" t="str">
        <f>VLOOKUP(C25,'Sales Master'!$B$3:$E$590,4,0)</f>
        <v>DO!</v>
      </c>
      <c r="I25" s="506" t="str">
        <f>VLOOKUP(C25,'Sales Master'!$B$3:F$590,5,0)</f>
        <v>800 GM/BAG</v>
      </c>
      <c r="J25" s="506"/>
      <c r="K25" s="98">
        <v>8</v>
      </c>
      <c r="L25" s="99"/>
      <c r="M25" s="78"/>
    </row>
    <row r="26" spans="2:15" ht="20.149999999999999" customHeight="1" x14ac:dyDescent="0.45">
      <c r="B26" s="70"/>
      <c r="C26" s="22" t="s">
        <v>1642</v>
      </c>
      <c r="D26" s="508" t="str">
        <f>VLOOKUP(C26,'Sales Master'!B$3:D$499,2,)</f>
        <v>Sweeten Melon Strip冬瓜条</v>
      </c>
      <c r="E26" s="508"/>
      <c r="F26" s="508"/>
      <c r="G26" s="90">
        <v>1</v>
      </c>
      <c r="H26" s="97" t="str">
        <f>VLOOKUP(C26,'Sales Master'!$B$3:$E$590,4,0)</f>
        <v>Rabbit Brand</v>
      </c>
      <c r="I26" s="506" t="str">
        <f>VLOOKUP(C26,'Sales Master'!$B$3:F$590,5,0)</f>
        <v>3KGS/PKT</v>
      </c>
      <c r="J26" s="506"/>
      <c r="K26" s="98">
        <v>20</v>
      </c>
      <c r="L26" s="99"/>
      <c r="M26" s="78"/>
    </row>
    <row r="27" spans="2:15" ht="20.149999999999999" customHeight="1" x14ac:dyDescent="0.45">
      <c r="B27" s="70"/>
      <c r="C27" s="22"/>
      <c r="D27" s="508"/>
      <c r="E27" s="508"/>
      <c r="F27" s="508"/>
      <c r="G27" s="90"/>
      <c r="H27" s="97"/>
      <c r="I27" s="506"/>
      <c r="J27" s="506"/>
      <c r="K27" s="98"/>
      <c r="L27" s="99"/>
      <c r="M27" s="78"/>
    </row>
    <row r="28" spans="2:15" ht="20.149999999999999" customHeight="1" x14ac:dyDescent="0.45">
      <c r="B28" s="70"/>
      <c r="C28" s="22"/>
      <c r="D28" s="508"/>
      <c r="E28" s="508"/>
      <c r="F28" s="508"/>
      <c r="G28" s="90"/>
      <c r="H28" s="97"/>
      <c r="I28" s="506"/>
      <c r="J28" s="506"/>
      <c r="K28" s="98"/>
      <c r="L28" s="99"/>
      <c r="M28" s="78"/>
    </row>
    <row r="29" spans="2:15" ht="20.149999999999999" customHeight="1" x14ac:dyDescent="0.45">
      <c r="B29" s="70"/>
      <c r="C29" s="22"/>
      <c r="D29" s="508"/>
      <c r="E29" s="508"/>
      <c r="F29" s="508"/>
      <c r="G29" s="90"/>
      <c r="H29" s="97"/>
      <c r="I29" s="506"/>
      <c r="J29" s="506"/>
      <c r="K29" s="98"/>
      <c r="L29" s="99"/>
    </row>
    <row r="30" spans="2:15" ht="20.149999999999999" customHeight="1" thickBot="1" x14ac:dyDescent="0.5">
      <c r="B30" s="52"/>
      <c r="C30" s="53"/>
      <c r="D30" s="53"/>
      <c r="E30" s="53"/>
      <c r="F30" s="53"/>
      <c r="G30" s="53"/>
      <c r="H30" s="53"/>
      <c r="I30" s="53"/>
      <c r="J30" s="53"/>
      <c r="K30" s="53"/>
      <c r="L30" s="54"/>
    </row>
    <row r="31" spans="2:15" ht="20.149999999999999" customHeight="1" x14ac:dyDescent="0.45">
      <c r="B31" s="11" t="s">
        <v>18</v>
      </c>
      <c r="C31" s="7"/>
      <c r="D31" s="7"/>
      <c r="E31" s="7"/>
      <c r="F31" s="7"/>
      <c r="G31" s="7"/>
      <c r="H31" s="7"/>
      <c r="I31" s="7"/>
      <c r="J31" s="510" t="s">
        <v>15</v>
      </c>
      <c r="K31" s="511"/>
      <c r="L31" s="43">
        <f>SUM(L17:L29)</f>
        <v>40</v>
      </c>
      <c r="M31" s="76"/>
    </row>
    <row r="32" spans="2:15" ht="20.149999999999999" customHeight="1" x14ac:dyDescent="0.45">
      <c r="B32" s="11" t="s">
        <v>19</v>
      </c>
      <c r="C32" s="7"/>
      <c r="D32" s="7"/>
      <c r="E32" s="7"/>
      <c r="F32" s="7"/>
      <c r="G32" s="7"/>
      <c r="H32" s="7"/>
      <c r="I32" s="7"/>
      <c r="J32" s="44" t="s">
        <v>22</v>
      </c>
      <c r="K32" s="45"/>
      <c r="L32" s="46">
        <f>L31*K32</f>
        <v>0</v>
      </c>
    </row>
    <row r="33" spans="2:12" ht="20.149999999999999" customHeight="1" x14ac:dyDescent="0.45">
      <c r="B33" s="11" t="s">
        <v>20</v>
      </c>
      <c r="C33" s="7"/>
      <c r="D33" s="7"/>
      <c r="E33" s="7"/>
      <c r="F33" s="7"/>
      <c r="G33" s="7"/>
      <c r="H33" s="7"/>
      <c r="I33" s="7"/>
      <c r="J33" s="486" t="s">
        <v>21</v>
      </c>
      <c r="K33" s="487"/>
      <c r="L33" s="46">
        <f>L31-L32</f>
        <v>40</v>
      </c>
    </row>
    <row r="34" spans="2:12" ht="20.149999999999999" customHeight="1" x14ac:dyDescent="0.45">
      <c r="B34" s="11" t="s">
        <v>24</v>
      </c>
      <c r="C34" s="7"/>
      <c r="D34" s="7"/>
      <c r="E34" s="7"/>
      <c r="F34" s="7"/>
      <c r="G34" s="7"/>
      <c r="H34" s="7"/>
      <c r="I34" s="7"/>
      <c r="J34" s="150" t="s">
        <v>17</v>
      </c>
      <c r="K34" s="151">
        <v>7.0000000000000007E-2</v>
      </c>
      <c r="L34" s="47">
        <f>L33*K34</f>
        <v>2.8000000000000003</v>
      </c>
    </row>
    <row r="35" spans="2:12" ht="20.149999999999999" customHeight="1" thickBot="1" x14ac:dyDescent="0.5">
      <c r="B35" s="11" t="s">
        <v>25</v>
      </c>
      <c r="C35" s="7"/>
      <c r="D35" s="7"/>
      <c r="E35" s="7"/>
      <c r="F35" s="7"/>
      <c r="G35" s="7"/>
      <c r="H35" s="7"/>
      <c r="I35" s="7"/>
      <c r="J35" s="488" t="s">
        <v>23</v>
      </c>
      <c r="K35" s="489"/>
      <c r="L35" s="48">
        <f>L33+L34</f>
        <v>42.8</v>
      </c>
    </row>
    <row r="36" spans="2:12" ht="20.149999999999999" customHeight="1" x14ac:dyDescent="0.45">
      <c r="B36" s="11" t="s">
        <v>26</v>
      </c>
      <c r="C36" s="7"/>
      <c r="D36" s="7"/>
      <c r="E36" s="7"/>
      <c r="F36" s="7"/>
      <c r="G36" s="7"/>
      <c r="H36" s="7"/>
      <c r="I36" s="7"/>
      <c r="L36" s="42"/>
    </row>
    <row r="37" spans="2:12" ht="20.149999999999999" customHeight="1" x14ac:dyDescent="0.45">
      <c r="B37" s="41"/>
      <c r="L37" s="42"/>
    </row>
    <row r="38" spans="2:12" ht="20.149999999999999" customHeight="1" x14ac:dyDescent="0.45">
      <c r="B38" s="41"/>
      <c r="L38" s="42"/>
    </row>
    <row r="39" spans="2:12" ht="20.149999999999999" customHeight="1" x14ac:dyDescent="0.45">
      <c r="B39" s="41"/>
      <c r="L39" s="42"/>
    </row>
    <row r="40" spans="2:12" ht="20.149999999999999" customHeight="1" x14ac:dyDescent="0.45">
      <c r="B40" s="41"/>
      <c r="L40" s="42"/>
    </row>
    <row r="41" spans="2:12" ht="20.149999999999999" customHeight="1" x14ac:dyDescent="0.45">
      <c r="B41" s="49"/>
      <c r="C41" s="50"/>
      <c r="D41" s="50"/>
      <c r="J41" s="50"/>
      <c r="K41" s="50"/>
      <c r="L41" s="51"/>
    </row>
    <row r="42" spans="2:12" ht="20.149999999999999" customHeight="1" x14ac:dyDescent="0.45">
      <c r="B42" s="41" t="s">
        <v>27</v>
      </c>
      <c r="J42" s="24" t="s">
        <v>28</v>
      </c>
      <c r="L42" s="42"/>
    </row>
    <row r="43" spans="2:12" ht="19" thickBot="1" x14ac:dyDescent="0.5">
      <c r="B43" s="52"/>
      <c r="C43" s="53"/>
      <c r="D43" s="53"/>
      <c r="E43" s="53"/>
      <c r="F43" s="53"/>
      <c r="G43" s="53"/>
      <c r="H43" s="53"/>
      <c r="I43" s="53"/>
      <c r="J43" s="53"/>
      <c r="K43" s="53"/>
      <c r="L43" s="54"/>
    </row>
  </sheetData>
  <mergeCells count="41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I17:J17"/>
    <mergeCell ref="D18:F18"/>
    <mergeCell ref="I18:J18"/>
    <mergeCell ref="D19:F19"/>
    <mergeCell ref="I19:J19"/>
    <mergeCell ref="D20:F20"/>
    <mergeCell ref="I20:J20"/>
    <mergeCell ref="D21:F21"/>
    <mergeCell ref="I21:J21"/>
    <mergeCell ref="D22:F22"/>
    <mergeCell ref="I22:J22"/>
    <mergeCell ref="D23:F23"/>
    <mergeCell ref="I23:J23"/>
    <mergeCell ref="I24:J24"/>
    <mergeCell ref="D25:F25"/>
    <mergeCell ref="I25:J25"/>
    <mergeCell ref="D26:F26"/>
    <mergeCell ref="I26:J26"/>
    <mergeCell ref="D27:F27"/>
    <mergeCell ref="I27:J27"/>
    <mergeCell ref="D28:F28"/>
    <mergeCell ref="I28:J28"/>
    <mergeCell ref="J33:K33"/>
    <mergeCell ref="J35:K35"/>
    <mergeCell ref="J31:K31"/>
    <mergeCell ref="D29:F29"/>
    <mergeCell ref="I29:J29"/>
  </mergeCells>
  <pageMargins left="0.70866141732283505" right="0.31496062992126" top="0.59055118110236204" bottom="0" header="0.31496062992126" footer="0.31496062992126"/>
  <pageSetup paperSize="9" scale="77" orientation="portrait" horizontalDpi="300" verticalDpi="30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DE528D-4955-4D4F-ACE0-27EB8E8EF7B6}">
  <sheetPr codeName="Sheet136">
    <tabColor theme="0" tint="-0.34998626667073579"/>
    <pageSetUpPr fitToPage="1"/>
  </sheetPr>
  <dimension ref="B1:Q62"/>
  <sheetViews>
    <sheetView topLeftCell="B43" workbookViewId="0">
      <selection activeCell="L54" sqref="L54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6.54296875" style="24" customWidth="1"/>
    <col min="7" max="7" width="8.54296875" style="24" customWidth="1"/>
    <col min="8" max="8" width="16" style="24" customWidth="1"/>
    <col min="9" max="9" width="2.54296875" style="24" customWidth="1"/>
    <col min="10" max="10" width="15.54296875" style="24" customWidth="1"/>
    <col min="11" max="12" width="12.54296875" style="24" customWidth="1"/>
    <col min="13" max="16384" width="12.54296875" style="24"/>
  </cols>
  <sheetData>
    <row r="1" spans="2:13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3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3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3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3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22"/>
    </row>
    <row r="6" spans="2:13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3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3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3" ht="19" thickBot="1" x14ac:dyDescent="0.5">
      <c r="B9" s="23"/>
    </row>
    <row r="10" spans="2:13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169</v>
      </c>
      <c r="J10" s="29" t="s">
        <v>29</v>
      </c>
      <c r="K10" s="452">
        <v>202210017</v>
      </c>
      <c r="L10" s="453"/>
    </row>
    <row r="11" spans="2:13" ht="20.149999999999999" customHeight="1" x14ac:dyDescent="0.45">
      <c r="B11" s="454"/>
      <c r="C11" s="455"/>
      <c r="D11" s="456"/>
      <c r="E11" s="30"/>
      <c r="F11" s="457" t="str">
        <f>VLOOKUP(H10,'Delivery Location'!A$4:N$416,2,0)</f>
        <v>RED LANTERN RESTAURANT PTE LTD                  249 Sembawang Road   Singapore 758352</v>
      </c>
      <c r="G11" s="458"/>
      <c r="H11" s="459"/>
      <c r="J11" s="31" t="s">
        <v>11</v>
      </c>
      <c r="K11" s="551">
        <v>44835</v>
      </c>
      <c r="L11" s="472"/>
    </row>
    <row r="12" spans="2:13" ht="20.149999999999999" customHeight="1" x14ac:dyDescent="0.45">
      <c r="B12" s="468"/>
      <c r="C12" s="469"/>
      <c r="D12" s="470"/>
      <c r="E12" s="30"/>
      <c r="F12" s="460"/>
      <c r="G12" s="461"/>
      <c r="H12" s="462"/>
      <c r="J12" s="31" t="s">
        <v>171</v>
      </c>
      <c r="K12" s="471" t="s">
        <v>533</v>
      </c>
      <c r="L12" s="472"/>
    </row>
    <row r="13" spans="2:13" ht="20.149999999999999" customHeight="1" x14ac:dyDescent="0.45">
      <c r="B13" s="468"/>
      <c r="C13" s="469"/>
      <c r="D13" s="470"/>
      <c r="E13" s="30"/>
      <c r="F13" s="460"/>
      <c r="G13" s="461"/>
      <c r="H13" s="462"/>
      <c r="J13" s="31" t="s">
        <v>12</v>
      </c>
      <c r="K13" s="471" t="s">
        <v>14</v>
      </c>
      <c r="L13" s="472"/>
    </row>
    <row r="14" spans="2:13" ht="20.149999999999999" customHeight="1" x14ac:dyDescent="0.45">
      <c r="B14" s="468"/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3" ht="18" customHeight="1" thickBot="1" x14ac:dyDescent="0.5">
      <c r="B15" s="552"/>
      <c r="C15" s="474"/>
      <c r="D15" s="475"/>
      <c r="E15" s="26"/>
      <c r="F15" s="463"/>
      <c r="G15" s="464"/>
      <c r="H15" s="465"/>
      <c r="J15" s="32" t="s">
        <v>13</v>
      </c>
      <c r="K15" s="476"/>
      <c r="L15" s="477"/>
    </row>
    <row r="16" spans="2:13" ht="19" thickBot="1" x14ac:dyDescent="0.5">
      <c r="J16" s="22"/>
    </row>
    <row r="17" spans="2:17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3"/>
      <c r="O17" s="33"/>
    </row>
    <row r="18" spans="2:17" ht="20.149999999999999" customHeight="1" x14ac:dyDescent="0.45">
      <c r="B18" s="34"/>
      <c r="C18" s="22" t="s">
        <v>1457</v>
      </c>
      <c r="D18" s="508" t="str">
        <f>VLOOKUP(C18,'Sales Master'!B$3:D$699,2,)</f>
        <v>Bobo ChaCha Cubes 摩摩喳喳</v>
      </c>
      <c r="E18" s="508"/>
      <c r="F18" s="508"/>
      <c r="G18" s="90">
        <v>1</v>
      </c>
      <c r="H18" s="389" t="str">
        <f>VLOOKUP(C18,'Sales Master'!$B$3:$F$3179,5,0)</f>
        <v>800 GM/BAG</v>
      </c>
      <c r="I18" s="482" t="str">
        <f>VLOOKUP(C18,'Sales Master'!$B$3:$E$3179,4,0)</f>
        <v>DO!</v>
      </c>
      <c r="J18" s="482"/>
      <c r="K18" s="387">
        <f>VLOOKUP(C18,'Sales Master'!B$3:AJ$3515,35,0)</f>
        <v>6.5</v>
      </c>
      <c r="L18" s="99">
        <f t="shared" ref="L18" si="0">K18*G18</f>
        <v>6.5</v>
      </c>
      <c r="M18" s="78"/>
      <c r="N18" s="225">
        <f>VLOOKUP(C18,'Sales Master'!$B$3:$DA$3038,104,0)</f>
        <v>0.71</v>
      </c>
      <c r="O18" s="225">
        <f t="shared" ref="O18" si="1">K18-N18</f>
        <v>5.79</v>
      </c>
      <c r="P18" s="225">
        <f t="shared" ref="P18" si="2">O18*G18</f>
        <v>5.79</v>
      </c>
      <c r="Q18" s="76"/>
    </row>
    <row r="19" spans="2:17" ht="20.149999999999999" customHeight="1" x14ac:dyDescent="0.45">
      <c r="B19" s="34"/>
      <c r="C19" s="22" t="s">
        <v>1458</v>
      </c>
      <c r="D19" s="508" t="str">
        <f>VLOOKUP(C19,'Sales Master'!B$3:D$699,2,)</f>
        <v>Chendol浆咯</v>
      </c>
      <c r="E19" s="508"/>
      <c r="F19" s="508"/>
      <c r="G19" s="90">
        <v>1</v>
      </c>
      <c r="H19" s="389" t="str">
        <f>VLOOKUP(C19,'Sales Master'!$B$3:$F$3179,5,0)</f>
        <v>NW(2.2:0.8) 3 KG/BAG</v>
      </c>
      <c r="I19" s="482" t="str">
        <f>VLOOKUP(C19,'Sales Master'!$B$3:$E$3179,4,0)</f>
        <v>DO!</v>
      </c>
      <c r="J19" s="482"/>
      <c r="K19" s="387">
        <f>VLOOKUP(C19,'Sales Master'!B$3:AJ$3515,35,0)</f>
        <v>7</v>
      </c>
      <c r="L19" s="99">
        <f t="shared" ref="L19:L45" si="3">K19*G19</f>
        <v>7</v>
      </c>
      <c r="M19" s="78"/>
      <c r="N19" s="225">
        <f>VLOOKUP(C19,'Sales Master'!$B$3:$DA$3038,104,0)</f>
        <v>1.85</v>
      </c>
      <c r="O19" s="225">
        <f t="shared" ref="O19:O45" si="4">K19-N19</f>
        <v>5.15</v>
      </c>
      <c r="P19" s="225">
        <f t="shared" ref="P19:P45" si="5">O19*G19</f>
        <v>5.15</v>
      </c>
    </row>
    <row r="20" spans="2:17" ht="20.149999999999999" customHeight="1" x14ac:dyDescent="0.45">
      <c r="B20" s="34"/>
      <c r="C20" s="22" t="s">
        <v>1460</v>
      </c>
      <c r="D20" s="508" t="str">
        <f>VLOOKUP(C20,'Sales Master'!B$3:D$699,2,)</f>
        <v>Coconut Sugar Syrup 椰糖浆</v>
      </c>
      <c r="E20" s="508"/>
      <c r="F20" s="508"/>
      <c r="G20" s="90">
        <v>1</v>
      </c>
      <c r="H20" s="389" t="str">
        <f>VLOOKUP(C20,'Sales Master'!$B$3:$F$3179,5,0)</f>
        <v>4L/BTL</v>
      </c>
      <c r="I20" s="482" t="str">
        <f>VLOOKUP(C20,'Sales Master'!$B$3:$E$3179,4,0)</f>
        <v>DO!</v>
      </c>
      <c r="J20" s="482"/>
      <c r="K20" s="387">
        <f>VLOOKUP(C20,'Sales Master'!B$3:AJ$3515,35,0)</f>
        <v>14</v>
      </c>
      <c r="L20" s="99">
        <f t="shared" si="3"/>
        <v>14</v>
      </c>
      <c r="M20" s="78"/>
      <c r="N20" s="225">
        <f>VLOOKUP(C20,'Sales Master'!$B$3:$DA$3038,104,0)</f>
        <v>9.27</v>
      </c>
      <c r="O20" s="225">
        <f t="shared" si="4"/>
        <v>4.7300000000000004</v>
      </c>
      <c r="P20" s="225">
        <f t="shared" si="5"/>
        <v>4.7300000000000004</v>
      </c>
    </row>
    <row r="21" spans="2:17" ht="20.149999999999999" customHeight="1" x14ac:dyDescent="0.45">
      <c r="B21" s="34"/>
      <c r="C21" s="22" t="s">
        <v>2242</v>
      </c>
      <c r="D21" s="508" t="str">
        <f>VLOOKUP(C21,'Sales Master'!B$3:D$699,2,)</f>
        <v>ROCK SUGAR SYRUP</v>
      </c>
      <c r="E21" s="508"/>
      <c r="F21" s="508"/>
      <c r="G21" s="90">
        <v>1</v>
      </c>
      <c r="H21" s="389" t="str">
        <f>VLOOKUP(C21,'Sales Master'!$B$3:$F$3179,5,0)</f>
        <v>5 KG</v>
      </c>
      <c r="I21" s="482" t="str">
        <f>VLOOKUP(C21,'Sales Master'!$B$3:$E$3179,4,0)</f>
        <v>DO!</v>
      </c>
      <c r="J21" s="482"/>
      <c r="K21" s="387">
        <f>VLOOKUP(C21,'Sales Master'!B$3:AJ$3515,35,0)</f>
        <v>10</v>
      </c>
      <c r="L21" s="99">
        <f t="shared" si="3"/>
        <v>10</v>
      </c>
      <c r="M21" s="78"/>
      <c r="N21" s="225">
        <f>VLOOKUP(C21,'Sales Master'!$B$3:$DA$3038,104,0)</f>
        <v>5.5</v>
      </c>
      <c r="O21" s="225">
        <f t="shared" si="4"/>
        <v>4.5</v>
      </c>
      <c r="P21" s="225">
        <f t="shared" si="5"/>
        <v>4.5</v>
      </c>
    </row>
    <row r="22" spans="2:17" ht="20.149999999999999" customHeight="1" x14ac:dyDescent="0.45">
      <c r="B22" s="34"/>
      <c r="C22" s="22" t="s">
        <v>2367</v>
      </c>
      <c r="D22" s="508" t="str">
        <f>VLOOKUP(C22,'Sales Master'!B$3:D$699,2,)</f>
        <v>AGAR AGAR RED JELLY</v>
      </c>
      <c r="E22" s="508"/>
      <c r="F22" s="508"/>
      <c r="G22" s="90">
        <v>1</v>
      </c>
      <c r="H22" s="389" t="str">
        <f>VLOOKUP(C22,'Sales Master'!$B$3:$F$3179,5,0)</f>
        <v>900 GM</v>
      </c>
      <c r="I22" s="482" t="str">
        <f>VLOOKUP(C22,'Sales Master'!$B$3:$E$3179,4,0)</f>
        <v>-</v>
      </c>
      <c r="J22" s="482"/>
      <c r="K22" s="387">
        <f>VLOOKUP(C22,'Sales Master'!B$3:AJ$3515,35,0)</f>
        <v>3.4</v>
      </c>
      <c r="L22" s="99">
        <f t="shared" si="3"/>
        <v>3.4</v>
      </c>
      <c r="M22" s="78"/>
      <c r="N22" s="225">
        <f>VLOOKUP(C22,'Sales Master'!$B$3:$DA$3038,104,0)</f>
        <v>2.4</v>
      </c>
      <c r="O22" s="225">
        <f t="shared" si="4"/>
        <v>1</v>
      </c>
      <c r="P22" s="225">
        <f t="shared" si="5"/>
        <v>1</v>
      </c>
    </row>
    <row r="23" spans="2:17" ht="20.149999999999999" customHeight="1" x14ac:dyDescent="0.45">
      <c r="B23" s="34"/>
      <c r="C23" s="22" t="s">
        <v>2368</v>
      </c>
      <c r="D23" s="508" t="str">
        <f>VLOOKUP(C23,'Sales Master'!B$3:D$699,2,)</f>
        <v>AGAR AGAR GREEN JELLY</v>
      </c>
      <c r="E23" s="508"/>
      <c r="F23" s="508"/>
      <c r="G23" s="90">
        <v>1</v>
      </c>
      <c r="H23" s="389" t="str">
        <f>VLOOKUP(C23,'Sales Master'!$B$3:$F$3179,5,0)</f>
        <v>900 GM</v>
      </c>
      <c r="I23" s="482" t="str">
        <f>VLOOKUP(C23,'Sales Master'!$B$3:$E$3179,4,0)</f>
        <v>-</v>
      </c>
      <c r="J23" s="482"/>
      <c r="K23" s="387">
        <f>VLOOKUP(C23,'Sales Master'!B$3:AJ$3515,35,0)</f>
        <v>3.4</v>
      </c>
      <c r="L23" s="99">
        <f t="shared" si="3"/>
        <v>3.4</v>
      </c>
      <c r="M23" s="78"/>
      <c r="N23" s="225">
        <f>VLOOKUP(C23,'Sales Master'!$B$3:$DA$3038,104,0)</f>
        <v>2.4</v>
      </c>
      <c r="O23" s="225">
        <f t="shared" si="4"/>
        <v>1</v>
      </c>
      <c r="P23" s="225">
        <f t="shared" si="5"/>
        <v>1</v>
      </c>
    </row>
    <row r="24" spans="2:17" ht="20.149999999999999" customHeight="1" x14ac:dyDescent="0.45">
      <c r="B24" s="34"/>
      <c r="C24" s="22" t="s">
        <v>1530</v>
      </c>
      <c r="D24" s="508" t="str">
        <f>VLOOKUP(C24,'Sales Master'!B$3:D$699,2,)</f>
        <v>Sweet Potato Powder番薯粉</v>
      </c>
      <c r="E24" s="508"/>
      <c r="F24" s="508"/>
      <c r="G24" s="90">
        <v>1</v>
      </c>
      <c r="H24" s="389" t="str">
        <f>VLOOKUP(C24,'Sales Master'!$B$3:$F$3179,5,0)</f>
        <v>3 kgs</v>
      </c>
      <c r="I24" s="482" t="str">
        <f>VLOOKUP(C24,'Sales Master'!$B$3:$E$3179,4,0)</f>
        <v>RE-PACK</v>
      </c>
      <c r="J24" s="482"/>
      <c r="K24" s="387">
        <f>VLOOKUP(C24,'Sales Master'!B$3:AJ$3515,35,0)</f>
        <v>10</v>
      </c>
      <c r="L24" s="99">
        <f t="shared" si="3"/>
        <v>10</v>
      </c>
      <c r="M24" s="78"/>
      <c r="N24" s="225">
        <f>VLOOKUP(C24,'Sales Master'!$B$3:$DA$3038,104,0)</f>
        <v>7.4399999999999995</v>
      </c>
      <c r="O24" s="225">
        <f t="shared" si="4"/>
        <v>2.5600000000000005</v>
      </c>
      <c r="P24" s="225">
        <f t="shared" si="5"/>
        <v>2.5600000000000005</v>
      </c>
    </row>
    <row r="25" spans="2:17" ht="20.149999999999999" customHeight="1" x14ac:dyDescent="0.45">
      <c r="B25" s="34"/>
      <c r="C25" s="22" t="s">
        <v>1548</v>
      </c>
      <c r="D25" s="508" t="str">
        <f>VLOOKUP(C25,'Sales Master'!B$3:D$699,2,)</f>
        <v>Potato Starch 风车粉</v>
      </c>
      <c r="E25" s="508"/>
      <c r="F25" s="508"/>
      <c r="G25" s="90">
        <v>1</v>
      </c>
      <c r="H25" s="389" t="str">
        <f>VLOOKUP(C25,'Sales Master'!$B$3:$F$3179,5,0)</f>
        <v>5 kg</v>
      </c>
      <c r="I25" s="482" t="str">
        <f>VLOOKUP(C25,'Sales Master'!$B$3:$E$3179,4,0)</f>
        <v>RE-PACK</v>
      </c>
      <c r="J25" s="482"/>
      <c r="K25" s="387">
        <f>VLOOKUP(C25,'Sales Master'!B$3:AJ$3515,35,0)</f>
        <v>12</v>
      </c>
      <c r="L25" s="99">
        <f t="shared" si="3"/>
        <v>12</v>
      </c>
      <c r="M25" s="78"/>
      <c r="N25" s="225">
        <f>VLOOKUP(C25,'Sales Master'!$B$3:$DA$3038,104,0)</f>
        <v>7.1999999999999993</v>
      </c>
      <c r="O25" s="225">
        <f t="shared" si="4"/>
        <v>4.8000000000000007</v>
      </c>
      <c r="P25" s="225">
        <f t="shared" si="5"/>
        <v>4.8000000000000007</v>
      </c>
    </row>
    <row r="26" spans="2:17" ht="20.149999999999999" customHeight="1" x14ac:dyDescent="0.45">
      <c r="B26" s="34"/>
      <c r="C26" s="22" t="s">
        <v>1563</v>
      </c>
      <c r="D26" s="508" t="str">
        <f>VLOOKUP(C26,'Sales Master'!B$3:D$699,2,)</f>
        <v>Atap Seeds in Syrup亚嗒子</v>
      </c>
      <c r="E26" s="508"/>
      <c r="F26" s="508"/>
      <c r="G26" s="90">
        <v>1</v>
      </c>
      <c r="H26" s="389" t="str">
        <f>VLOOKUP(C26,'Sales Master'!$B$3:$F$3179,5,0)</f>
        <v>NW (2.1:0.9) 3 kgs</v>
      </c>
      <c r="I26" s="482" t="str">
        <f>VLOOKUP(C26,'Sales Master'!$B$3:$E$3179,4,0)</f>
        <v>DO!</v>
      </c>
      <c r="J26" s="482"/>
      <c r="K26" s="387">
        <f>VLOOKUP(C26,'Sales Master'!B$3:AJ$3515,35,0)</f>
        <v>12</v>
      </c>
      <c r="L26" s="99">
        <f t="shared" si="3"/>
        <v>12</v>
      </c>
      <c r="M26" s="78"/>
      <c r="N26" s="225">
        <f>VLOOKUP(C26,'Sales Master'!$B$3:$DA$3038,104,0)</f>
        <v>5.628000000000001</v>
      </c>
      <c r="O26" s="225">
        <f t="shared" si="4"/>
        <v>6.371999999999999</v>
      </c>
      <c r="P26" s="225">
        <f t="shared" si="5"/>
        <v>6.371999999999999</v>
      </c>
    </row>
    <row r="27" spans="2:17" ht="20.149999999999999" customHeight="1" x14ac:dyDescent="0.45">
      <c r="B27" s="34"/>
      <c r="C27" s="22" t="s">
        <v>1566</v>
      </c>
      <c r="D27" s="508" t="str">
        <f>VLOOKUP(C27,'Sales Master'!B$3:D$699,2,)</f>
        <v>Chin Chow  仙草</v>
      </c>
      <c r="E27" s="508"/>
      <c r="F27" s="508"/>
      <c r="G27" s="90">
        <v>1</v>
      </c>
      <c r="H27" s="389" t="str">
        <f>VLOOKUP(C27,'Sales Master'!$B$3:$F$3179,5,0)</f>
        <v>5KGS/PKT</v>
      </c>
      <c r="I27" s="482" t="str">
        <f>VLOOKUP(C27,'Sales Master'!$B$3:$E$3179,4,0)</f>
        <v>TSM</v>
      </c>
      <c r="J27" s="482"/>
      <c r="K27" s="387">
        <f>VLOOKUP(C27,'Sales Master'!B$3:AJ$3515,35,0)</f>
        <v>5</v>
      </c>
      <c r="L27" s="99">
        <f t="shared" si="3"/>
        <v>5</v>
      </c>
      <c r="M27" s="78"/>
      <c r="N27" s="225">
        <f>VLOOKUP(C27,'Sales Master'!$B$3:$DA$3038,104,0)</f>
        <v>4</v>
      </c>
      <c r="O27" s="225">
        <f t="shared" si="4"/>
        <v>1</v>
      </c>
      <c r="P27" s="225">
        <f t="shared" si="5"/>
        <v>1</v>
      </c>
    </row>
    <row r="28" spans="2:17" ht="20.149999999999999" customHeight="1" x14ac:dyDescent="0.45">
      <c r="B28" s="34"/>
      <c r="C28" s="22" t="s">
        <v>1569</v>
      </c>
      <c r="D28" s="508" t="str">
        <f>VLOOKUP(C28,'Sales Master'!B$3:D$699,2,)</f>
        <v>GingKo Nut (Peel off)白果仁</v>
      </c>
      <c r="E28" s="508"/>
      <c r="F28" s="508"/>
      <c r="G28" s="90">
        <v>2</v>
      </c>
      <c r="H28" s="389" t="str">
        <f>VLOOKUP(C28,'Sales Master'!$B$3:$F$3179,5,0)</f>
        <v>1 kg (2 X 500GM)</v>
      </c>
      <c r="I28" s="482" t="str">
        <f>VLOOKUP(C28,'Sales Master'!$B$3:$E$3179,4,0)</f>
        <v>-</v>
      </c>
      <c r="J28" s="482"/>
      <c r="K28" s="387">
        <f>VLOOKUP(C28,'Sales Master'!B$3:AJ$3515,35,0)</f>
        <v>5</v>
      </c>
      <c r="L28" s="99">
        <f t="shared" si="3"/>
        <v>10</v>
      </c>
      <c r="M28" s="78"/>
      <c r="N28" s="225">
        <f>VLOOKUP(C28,'Sales Master'!$B$3:$DA$3038,104,0)</f>
        <v>3.1666666666666665</v>
      </c>
      <c r="O28" s="225">
        <f t="shared" si="4"/>
        <v>1.8333333333333335</v>
      </c>
      <c r="P28" s="225">
        <f t="shared" si="5"/>
        <v>3.666666666666667</v>
      </c>
    </row>
    <row r="29" spans="2:17" ht="20.149999999999999" customHeight="1" x14ac:dyDescent="0.45">
      <c r="B29" s="34"/>
      <c r="C29" s="22" t="s">
        <v>1594</v>
      </c>
      <c r="D29" s="508" t="str">
        <f>VLOOKUP(C29,'Sales Master'!B$3:D$699,2,)</f>
        <v>Split Green Mung Bean豆畔</v>
      </c>
      <c r="E29" s="508"/>
      <c r="F29" s="508"/>
      <c r="G29" s="90">
        <v>1</v>
      </c>
      <c r="H29" s="389" t="str">
        <f>VLOOKUP(C29,'Sales Master'!$B$3:$F$3179,5,0)</f>
        <v>3 KG</v>
      </c>
      <c r="I29" s="482" t="str">
        <f>VLOOKUP(C29,'Sales Master'!$B$3:$E$3179,4,0)</f>
        <v>-</v>
      </c>
      <c r="J29" s="482"/>
      <c r="K29" s="387">
        <f>VLOOKUP(C29,'Sales Master'!B$3:AJ$3515,35,0)</f>
        <v>11</v>
      </c>
      <c r="L29" s="99">
        <f t="shared" si="3"/>
        <v>11</v>
      </c>
      <c r="M29" s="78"/>
      <c r="N29" s="225">
        <f>VLOOKUP(C29,'Sales Master'!$B$3:$DA$3038,104,0)</f>
        <v>7.2999999999999989</v>
      </c>
      <c r="O29" s="225">
        <f t="shared" si="4"/>
        <v>3.7000000000000011</v>
      </c>
      <c r="P29" s="225">
        <f t="shared" si="5"/>
        <v>3.7000000000000011</v>
      </c>
    </row>
    <row r="30" spans="2:17" ht="20.149999999999999" customHeight="1" x14ac:dyDescent="0.45">
      <c r="B30" s="34"/>
      <c r="C30" s="22" t="s">
        <v>1600</v>
      </c>
      <c r="D30" s="508" t="str">
        <f>VLOOKUP(C30,'Sales Master'!B$3:D$699,2,)</f>
        <v>Black Glutinous Rice 黑糯米</v>
      </c>
      <c r="E30" s="508"/>
      <c r="F30" s="508"/>
      <c r="G30" s="90">
        <v>3</v>
      </c>
      <c r="H30" s="389" t="str">
        <f>VLOOKUP(C30,'Sales Master'!$B$3:$F$3179,5,0)</f>
        <v>1 KG</v>
      </c>
      <c r="I30" s="482" t="str">
        <f>VLOOKUP(C30,'Sales Master'!$B$3:$E$3179,4,0)</f>
        <v>IN</v>
      </c>
      <c r="J30" s="482"/>
      <c r="K30" s="387">
        <f>VLOOKUP(C30,'Sales Master'!B$3:AJ$3515,35,0)</f>
        <v>4</v>
      </c>
      <c r="L30" s="99">
        <f t="shared" si="3"/>
        <v>12</v>
      </c>
      <c r="M30" s="78"/>
      <c r="N30" s="225">
        <f>VLOOKUP(C30,'Sales Master'!$B$3:$DA$3038,104,0)</f>
        <v>2.4</v>
      </c>
      <c r="O30" s="225">
        <f t="shared" si="4"/>
        <v>1.6</v>
      </c>
      <c r="P30" s="225">
        <f t="shared" si="5"/>
        <v>4.8000000000000007</v>
      </c>
    </row>
    <row r="31" spans="2:17" ht="20.149999999999999" customHeight="1" x14ac:dyDescent="0.45">
      <c r="B31" s="34"/>
      <c r="C31" s="22" t="s">
        <v>1609</v>
      </c>
      <c r="D31" s="508" t="str">
        <f>VLOOKUP(C31,'Sales Master'!B$3:D$699,2,)</f>
        <v>Pearl Barley 薏米</v>
      </c>
      <c r="E31" s="508"/>
      <c r="F31" s="508"/>
      <c r="G31" s="90">
        <v>3</v>
      </c>
      <c r="H31" s="389" t="str">
        <f>VLOOKUP(C31,'Sales Master'!$B$3:$F$3179,5,0)</f>
        <v>1 kg</v>
      </c>
      <c r="I31" s="482" t="str">
        <f>VLOOKUP(C31,'Sales Master'!$B$3:$E$3179,4,0)</f>
        <v>Holland</v>
      </c>
      <c r="J31" s="482"/>
      <c r="K31" s="387">
        <f>VLOOKUP(C31,'Sales Master'!B$3:AJ$3515,35,0)</f>
        <v>2.1</v>
      </c>
      <c r="L31" s="99">
        <f t="shared" si="3"/>
        <v>6.3000000000000007</v>
      </c>
      <c r="M31" s="78"/>
      <c r="N31" s="225">
        <f>VLOOKUP(C31,'Sales Master'!$B$3:$DA$3038,104,0)</f>
        <v>1.36</v>
      </c>
      <c r="O31" s="225">
        <f t="shared" si="4"/>
        <v>0.74</v>
      </c>
      <c r="P31" s="225">
        <f t="shared" si="5"/>
        <v>2.2199999999999998</v>
      </c>
    </row>
    <row r="32" spans="2:17" ht="20.149999999999999" customHeight="1" x14ac:dyDescent="0.45">
      <c r="B32" s="34"/>
      <c r="C32" s="22" t="s">
        <v>1616</v>
      </c>
      <c r="D32" s="508" t="str">
        <f>VLOOKUP(C32,'Sales Master'!B$3:D$699,2,)</f>
        <v>Small Sago 小丸</v>
      </c>
      <c r="E32" s="508"/>
      <c r="F32" s="508"/>
      <c r="G32" s="90">
        <v>2</v>
      </c>
      <c r="H32" s="389" t="str">
        <f>VLOOKUP(C32,'Sales Master'!$B$3:$F$3179,5,0)</f>
        <v>1 kg</v>
      </c>
      <c r="I32" s="482" t="str">
        <f>VLOOKUP(C32,'Sales Master'!$B$3:$E$3179,4,0)</f>
        <v>-</v>
      </c>
      <c r="J32" s="482"/>
      <c r="K32" s="387">
        <f>VLOOKUP(C32,'Sales Master'!B$3:AJ$3515,35,0)</f>
        <v>2.2000000000000002</v>
      </c>
      <c r="L32" s="99">
        <f t="shared" si="3"/>
        <v>4.4000000000000004</v>
      </c>
      <c r="M32" s="78"/>
      <c r="N32" s="225">
        <f>VLOOKUP(C32,'Sales Master'!$B$3:$DA$3038,104,0)</f>
        <v>1.6</v>
      </c>
      <c r="O32" s="225">
        <f t="shared" si="4"/>
        <v>0.60000000000000009</v>
      </c>
      <c r="P32" s="225">
        <f t="shared" si="5"/>
        <v>1.2000000000000002</v>
      </c>
    </row>
    <row r="33" spans="2:16" ht="20.149999999999999" customHeight="1" x14ac:dyDescent="0.45">
      <c r="B33" s="34"/>
      <c r="C33" s="22" t="s">
        <v>1639</v>
      </c>
      <c r="D33" s="508" t="str">
        <f>VLOOKUP(C33,'Sales Master'!B$3:D$699,2,)</f>
        <v>Bean Curd Sheet 腐竹</v>
      </c>
      <c r="E33" s="508"/>
      <c r="F33" s="508"/>
      <c r="G33" s="90">
        <v>10</v>
      </c>
      <c r="H33" s="389" t="str">
        <f>VLOOKUP(C33,'Sales Master'!$B$3:$F$3179,5,0)</f>
        <v xml:space="preserve">150g/pkt </v>
      </c>
      <c r="I33" s="482" t="str">
        <f>VLOOKUP(C33,'Sales Master'!$B$3:$E$3179,4,0)</f>
        <v>生记</v>
      </c>
      <c r="J33" s="482"/>
      <c r="K33" s="387">
        <f>VLOOKUP(C33,'Sales Master'!B$3:AJ$3515,35,0)</f>
        <v>3.1</v>
      </c>
      <c r="L33" s="99">
        <f t="shared" si="3"/>
        <v>31</v>
      </c>
      <c r="M33" s="78"/>
      <c r="N33" s="225">
        <f>VLOOKUP(C33,'Sales Master'!$B$3:$DA$3038,104,0)</f>
        <v>2.5</v>
      </c>
      <c r="O33" s="225">
        <f t="shared" si="4"/>
        <v>0.60000000000000009</v>
      </c>
      <c r="P33" s="225">
        <f t="shared" si="5"/>
        <v>6.0000000000000009</v>
      </c>
    </row>
    <row r="34" spans="2:16" ht="20.149999999999999" customHeight="1" x14ac:dyDescent="0.45">
      <c r="B34" s="34"/>
      <c r="C34" s="22" t="s">
        <v>1689</v>
      </c>
      <c r="D34" s="508" t="str">
        <f>VLOOKUP(C34,'Sales Master'!B$3:D$699,2,)</f>
        <v>Sea Coconut海底椰</v>
      </c>
      <c r="E34" s="508"/>
      <c r="F34" s="508"/>
      <c r="G34" s="90">
        <v>1</v>
      </c>
      <c r="H34" s="389" t="str">
        <f>VLOOKUP(C34,'Sales Master'!$B$3:$F$3179,5,0)</f>
        <v>1 Can X A10</v>
      </c>
      <c r="I34" s="482" t="str">
        <f>VLOOKUP(C34,'Sales Master'!$B$3:$E$3179,4,0)</f>
        <v>Chefs</v>
      </c>
      <c r="J34" s="482"/>
      <c r="K34" s="387">
        <f>VLOOKUP(C34,'Sales Master'!B$3:AJ$3515,35,0)</f>
        <v>19</v>
      </c>
      <c r="L34" s="99">
        <f t="shared" si="3"/>
        <v>19</v>
      </c>
      <c r="M34" s="78"/>
      <c r="N34" s="225">
        <f>VLOOKUP(C34,'Sales Master'!$B$3:$DA$3038,104,0)</f>
        <v>14.333333333333334</v>
      </c>
      <c r="O34" s="225">
        <f t="shared" si="4"/>
        <v>4.6666666666666661</v>
      </c>
      <c r="P34" s="225">
        <f t="shared" si="5"/>
        <v>4.6666666666666661</v>
      </c>
    </row>
    <row r="35" spans="2:16" ht="20.149999999999999" customHeight="1" x14ac:dyDescent="0.45">
      <c r="B35" s="34"/>
      <c r="C35" s="22" t="s">
        <v>1691</v>
      </c>
      <c r="D35" s="508" t="str">
        <f>VLOOKUP(C35,'Sales Master'!B$3:D$699,2,)</f>
        <v>Nata De Coco椰果芊 15mm</v>
      </c>
      <c r="E35" s="508"/>
      <c r="F35" s="508"/>
      <c r="G35" s="90">
        <v>1</v>
      </c>
      <c r="H35" s="389" t="str">
        <f>VLOOKUP(C35,'Sales Master'!$B$3:$F$3179,5,0)</f>
        <v>1 Can X A10</v>
      </c>
      <c r="I35" s="482" t="str">
        <f>VLOOKUP(C35,'Sales Master'!$B$3:$E$3179,4,0)</f>
        <v>Chefs</v>
      </c>
      <c r="J35" s="482"/>
      <c r="K35" s="387">
        <f>VLOOKUP(C35,'Sales Master'!B$3:AJ$3515,35,0)</f>
        <v>9.5</v>
      </c>
      <c r="L35" s="99">
        <f t="shared" si="3"/>
        <v>9.5</v>
      </c>
      <c r="M35" s="78"/>
      <c r="N35" s="225">
        <f>VLOOKUP(C35,'Sales Master'!$B$3:$DA$3038,104,0)</f>
        <v>6.916666666666667</v>
      </c>
      <c r="O35" s="225">
        <f t="shared" si="4"/>
        <v>2.583333333333333</v>
      </c>
      <c r="P35" s="225">
        <f t="shared" si="5"/>
        <v>2.583333333333333</v>
      </c>
    </row>
    <row r="36" spans="2:16" ht="20.149999999999999" customHeight="1" x14ac:dyDescent="0.45">
      <c r="B36" s="34"/>
      <c r="C36" s="22" t="s">
        <v>1706</v>
      </c>
      <c r="D36" s="508" t="str">
        <f>VLOOKUP(C36,'Sales Master'!B$3:D$699,2,)</f>
        <v>Cream Corn玉米浆</v>
      </c>
      <c r="E36" s="508"/>
      <c r="F36" s="508"/>
      <c r="G36" s="90">
        <v>1</v>
      </c>
      <c r="H36" s="389" t="str">
        <f>VLOOKUP(C36,'Sales Master'!$B$3:$F$3179,5,0)</f>
        <v>(425gm x 24)/箱</v>
      </c>
      <c r="I36" s="482" t="str">
        <f>VLOOKUP(C36,'Sales Master'!$B$3:$E$3179,4,0)</f>
        <v>Statue</v>
      </c>
      <c r="J36" s="482"/>
      <c r="K36" s="387">
        <f>VLOOKUP(C36,'Sales Master'!B$3:AJ$3515,35,0)</f>
        <v>20</v>
      </c>
      <c r="L36" s="99">
        <f t="shared" si="3"/>
        <v>20</v>
      </c>
      <c r="M36" s="78"/>
      <c r="N36" s="225">
        <f>VLOOKUP(C36,'Sales Master'!$B$3:$DA$3038,104,0)</f>
        <v>16</v>
      </c>
      <c r="O36" s="225">
        <f t="shared" si="4"/>
        <v>4</v>
      </c>
      <c r="P36" s="225">
        <f t="shared" si="5"/>
        <v>4</v>
      </c>
    </row>
    <row r="37" spans="2:16" ht="20.149999999999999" customHeight="1" x14ac:dyDescent="0.45">
      <c r="B37" s="34"/>
      <c r="C37" s="22" t="s">
        <v>1712</v>
      </c>
      <c r="D37" s="508" t="str">
        <f>VLOOKUP(C37,'Sales Master'!B$3:D$699,2,)</f>
        <v>Canned Red Bean 罐头 红豆</v>
      </c>
      <c r="E37" s="508"/>
      <c r="F37" s="508"/>
      <c r="G37" s="90">
        <v>1</v>
      </c>
      <c r="H37" s="389" t="str">
        <f>VLOOKUP(C37,'Sales Master'!$B$3:$F$3179,5,0)</f>
        <v xml:space="preserve">3.3KG/Can </v>
      </c>
      <c r="I37" s="482" t="str">
        <f>VLOOKUP(C37,'Sales Master'!$B$3:$E$3179,4,0)</f>
        <v>Joy</v>
      </c>
      <c r="J37" s="482"/>
      <c r="K37" s="387">
        <f>VLOOKUP(C37,'Sales Master'!B$3:AJ$3515,35,0)</f>
        <v>11</v>
      </c>
      <c r="L37" s="99">
        <f t="shared" si="3"/>
        <v>11</v>
      </c>
      <c r="M37" s="78"/>
      <c r="N37" s="225">
        <f>VLOOKUP(C37,'Sales Master'!$B$3:$DA$3038,104,0)</f>
        <v>7.5</v>
      </c>
      <c r="O37" s="225">
        <f t="shared" si="4"/>
        <v>3.5</v>
      </c>
      <c r="P37" s="225">
        <f t="shared" si="5"/>
        <v>3.5</v>
      </c>
    </row>
    <row r="38" spans="2:16" ht="20.149999999999999" customHeight="1" x14ac:dyDescent="0.45">
      <c r="B38" s="34"/>
      <c r="C38" s="22" t="s">
        <v>1736</v>
      </c>
      <c r="D38" s="508" t="str">
        <f>VLOOKUP(C38,'Sales Master'!B$3:D$699,2,)</f>
        <v>Coconut Milk 椰浆</v>
      </c>
      <c r="E38" s="508"/>
      <c r="F38" s="508"/>
      <c r="G38" s="90">
        <v>2</v>
      </c>
      <c r="H38" s="389" t="str">
        <f>VLOOKUP(C38,'Sales Master'!$B$3:$F$3179,5,0)</f>
        <v>(1L x 12bag)/箱</v>
      </c>
      <c r="I38" s="482" t="str">
        <f>VLOOKUP(C38,'Sales Master'!$B$3:$E$3179,4,0)</f>
        <v>Kara UHT</v>
      </c>
      <c r="J38" s="482"/>
      <c r="K38" s="387">
        <f>VLOOKUP(C38,'Sales Master'!B$3:AJ$3515,35,0)</f>
        <v>42</v>
      </c>
      <c r="L38" s="99">
        <f t="shared" si="3"/>
        <v>84</v>
      </c>
      <c r="M38" s="78"/>
      <c r="N38" s="225">
        <f>VLOOKUP(C38,'Sales Master'!$B$3:$DA$3038,104,0)</f>
        <v>35.5</v>
      </c>
      <c r="O38" s="225">
        <f t="shared" si="4"/>
        <v>6.5</v>
      </c>
      <c r="P38" s="225">
        <f t="shared" si="5"/>
        <v>13</v>
      </c>
    </row>
    <row r="39" spans="2:16" ht="20.149999999999999" customHeight="1" x14ac:dyDescent="0.45">
      <c r="B39" s="34"/>
      <c r="C39" s="22" t="s">
        <v>2073</v>
      </c>
      <c r="D39" s="508" t="str">
        <f>VLOOKUP(C39,'Sales Master'!B$3:D$699,2,)</f>
        <v>Water Chestnut 马蹄 - Can</v>
      </c>
      <c r="E39" s="508"/>
      <c r="F39" s="508"/>
      <c r="G39" s="90">
        <v>1</v>
      </c>
      <c r="H39" s="389" t="str">
        <f>VLOOKUP(C39,'Sales Master'!$B$3:$F$3179,5,0)</f>
        <v>(567gm x 24)/箱</v>
      </c>
      <c r="I39" s="482" t="str">
        <f>VLOOKUP(C39,'Sales Master'!$B$3:$E$3179,4,0)</f>
        <v>GOLDEN CHAMP</v>
      </c>
      <c r="J39" s="482"/>
      <c r="K39" s="387">
        <f>VLOOKUP(C39,'Sales Master'!B$3:AJ$3515,35,0)</f>
        <v>32</v>
      </c>
      <c r="L39" s="99">
        <f t="shared" si="3"/>
        <v>32</v>
      </c>
      <c r="M39" s="78"/>
      <c r="N39" s="225">
        <f>VLOOKUP(C39,'Sales Master'!$B$3:$DA$3038,104,0)</f>
        <v>28</v>
      </c>
      <c r="O39" s="225">
        <f t="shared" si="4"/>
        <v>4</v>
      </c>
      <c r="P39" s="225">
        <f t="shared" si="5"/>
        <v>4</v>
      </c>
    </row>
    <row r="40" spans="2:16" ht="20.149999999999999" customHeight="1" x14ac:dyDescent="0.45">
      <c r="B40" s="34"/>
      <c r="C40" s="22" t="s">
        <v>1789</v>
      </c>
      <c r="D40" s="508" t="str">
        <f>VLOOKUP(C40,'Sales Master'!B$3:D$699,2,)</f>
        <v>Sweet Potato 番薯</v>
      </c>
      <c r="E40" s="508"/>
      <c r="F40" s="508"/>
      <c r="G40" s="90">
        <v>5</v>
      </c>
      <c r="H40" s="389" t="str">
        <f>VLOOKUP(C40,'Sales Master'!$B$3:$F$3179,5,0)</f>
        <v>1 KG</v>
      </c>
      <c r="I40" s="482" t="str">
        <f>VLOOKUP(C40,'Sales Master'!$B$3:$E$3179,4,0)</f>
        <v>Malaysia</v>
      </c>
      <c r="J40" s="482"/>
      <c r="K40" s="387">
        <f>VLOOKUP(C40,'Sales Master'!B$3:AJ$3515,35,0)</f>
        <v>2.5</v>
      </c>
      <c r="L40" s="99">
        <f t="shared" si="3"/>
        <v>12.5</v>
      </c>
      <c r="M40" s="78"/>
      <c r="N40" s="225">
        <f>VLOOKUP(C40,'Sales Master'!$B$3:$DA$3038,104,0)</f>
        <v>1.8666666666666665</v>
      </c>
      <c r="O40" s="225">
        <f t="shared" si="4"/>
        <v>0.63333333333333353</v>
      </c>
      <c r="P40" s="225">
        <f t="shared" si="5"/>
        <v>3.1666666666666679</v>
      </c>
    </row>
    <row r="41" spans="2:16" ht="20.149999999999999" customHeight="1" x14ac:dyDescent="0.45">
      <c r="B41" s="34"/>
      <c r="C41" s="22" t="s">
        <v>1792</v>
      </c>
      <c r="D41" s="508" t="str">
        <f>VLOOKUP(C41,'Sales Master'!B$3:D$699,2,)</f>
        <v>Yam 芋头</v>
      </c>
      <c r="E41" s="508"/>
      <c r="F41" s="508"/>
      <c r="G41" s="90">
        <v>5</v>
      </c>
      <c r="H41" s="389" t="str">
        <f>VLOOKUP(C41,'Sales Master'!$B$3:$F$3179,5,0)</f>
        <v>1 KG</v>
      </c>
      <c r="I41" s="482" t="str">
        <f>VLOOKUP(C41,'Sales Master'!$B$3:$E$3179,4,0)</f>
        <v>Malaysia</v>
      </c>
      <c r="J41" s="482"/>
      <c r="K41" s="387">
        <f>VLOOKUP(C41,'Sales Master'!B$3:AJ$3515,35,0)</f>
        <v>3.2</v>
      </c>
      <c r="L41" s="99">
        <f t="shared" si="3"/>
        <v>16</v>
      </c>
      <c r="M41" s="78"/>
      <c r="N41" s="225">
        <f>VLOOKUP(C41,'Sales Master'!$B$3:$DA$3038,104,0)</f>
        <v>1.8</v>
      </c>
      <c r="O41" s="225">
        <f t="shared" si="4"/>
        <v>1.4000000000000001</v>
      </c>
      <c r="P41" s="225">
        <f t="shared" si="5"/>
        <v>7.0000000000000009</v>
      </c>
    </row>
    <row r="42" spans="2:16" ht="20.149999999999999" customHeight="1" x14ac:dyDescent="0.45">
      <c r="B42" s="34"/>
      <c r="C42" s="22" t="s">
        <v>1797</v>
      </c>
      <c r="D42" s="508" t="str">
        <f>VLOOKUP(C42,'Sales Master'!B$3:D$699,2,)</f>
        <v>Yu Tiao 油条</v>
      </c>
      <c r="E42" s="508"/>
      <c r="F42" s="508"/>
      <c r="G42" s="90">
        <v>10</v>
      </c>
      <c r="H42" s="389" t="str">
        <f>VLOOKUP(C42,'Sales Master'!$B$3:$F$3179,5,0)</f>
        <v>1 pc</v>
      </c>
      <c r="I42" s="482" t="str">
        <f>VLOOKUP(C42,'Sales Master'!$B$3:$E$3179,4,0)</f>
        <v>-</v>
      </c>
      <c r="J42" s="482"/>
      <c r="K42" s="387">
        <f>VLOOKUP(C42,'Sales Master'!B$3:AJ$3515,35,0)</f>
        <v>0.55000000000000004</v>
      </c>
      <c r="L42" s="99">
        <f t="shared" si="3"/>
        <v>5.5</v>
      </c>
      <c r="M42" s="78"/>
      <c r="N42" s="225">
        <f>VLOOKUP(C42,'Sales Master'!$B$3:$DA$3038,104,0)</f>
        <v>0.4</v>
      </c>
      <c r="O42" s="225">
        <f t="shared" si="4"/>
        <v>0.15000000000000002</v>
      </c>
      <c r="P42" s="225">
        <f t="shared" si="5"/>
        <v>1.5000000000000002</v>
      </c>
    </row>
    <row r="43" spans="2:16" ht="20.149999999999999" customHeight="1" x14ac:dyDescent="0.45">
      <c r="B43" s="34"/>
      <c r="C43" s="22" t="s">
        <v>1805</v>
      </c>
      <c r="D43" s="508" t="str">
        <f>VLOOKUP(C43,'Sales Master'!B$3:D$699,2,)</f>
        <v>Food Coloring - Liquid)颜色-水</v>
      </c>
      <c r="E43" s="508"/>
      <c r="F43" s="508"/>
      <c r="G43" s="90">
        <v>1</v>
      </c>
      <c r="H43" s="389" t="str">
        <f>VLOOKUP(C43,'Sales Master'!$B$3:$F$3179,5,0)</f>
        <v>500 ML/BTL</v>
      </c>
      <c r="I43" s="482" t="str">
        <f>VLOOKUP(C43,'Sales Master'!$B$3:$E$3179,4,0)</f>
        <v>Red/红</v>
      </c>
      <c r="J43" s="482"/>
      <c r="K43" s="387">
        <f>VLOOKUP(C43,'Sales Master'!B$3:AJ$3515,35,0)</f>
        <v>3</v>
      </c>
      <c r="L43" s="99">
        <f t="shared" si="3"/>
        <v>3</v>
      </c>
      <c r="M43" s="78"/>
      <c r="N43" s="225">
        <f>VLOOKUP(C43,'Sales Master'!$B$3:$DA$3038,104,0)</f>
        <v>1.5999999999999999</v>
      </c>
      <c r="O43" s="225">
        <f t="shared" si="4"/>
        <v>1.4000000000000001</v>
      </c>
      <c r="P43" s="225">
        <f t="shared" si="5"/>
        <v>1.4000000000000001</v>
      </c>
    </row>
    <row r="44" spans="2:16" ht="20.149999999999999" customHeight="1" x14ac:dyDescent="0.45">
      <c r="B44" s="34"/>
      <c r="C44" s="22" t="s">
        <v>1806</v>
      </c>
      <c r="D44" s="508" t="str">
        <f>VLOOKUP(C44,'Sales Master'!B$3:D$699,2,)</f>
        <v>Food Coloring - Liquid)颜色-水</v>
      </c>
      <c r="E44" s="508"/>
      <c r="F44" s="508"/>
      <c r="G44" s="90">
        <v>1</v>
      </c>
      <c r="H44" s="389" t="str">
        <f>VLOOKUP(C44,'Sales Master'!$B$3:$F$3179,5,0)</f>
        <v>500 ML/BTL</v>
      </c>
      <c r="I44" s="482" t="str">
        <f>VLOOKUP(C44,'Sales Master'!$B$3:$E$3179,4,0)</f>
        <v>Green/青</v>
      </c>
      <c r="J44" s="482"/>
      <c r="K44" s="387">
        <f>VLOOKUP(C44,'Sales Master'!B$3:AJ$3515,35,0)</f>
        <v>3</v>
      </c>
      <c r="L44" s="99">
        <f t="shared" si="3"/>
        <v>3</v>
      </c>
      <c r="M44" s="78"/>
      <c r="N44" s="225">
        <f>VLOOKUP(C44,'Sales Master'!$B$3:$DA$3038,104,0)</f>
        <v>1.6</v>
      </c>
      <c r="O44" s="225">
        <f t="shared" si="4"/>
        <v>1.4</v>
      </c>
      <c r="P44" s="225">
        <f t="shared" si="5"/>
        <v>1.4</v>
      </c>
    </row>
    <row r="45" spans="2:16" ht="20.149999999999999" customHeight="1" x14ac:dyDescent="0.45">
      <c r="B45" s="34"/>
      <c r="C45" s="22" t="s">
        <v>1808</v>
      </c>
      <c r="D45" s="508" t="str">
        <f>VLOOKUP(C45,'Sales Master'!B$3:D$699,2,)</f>
        <v>Food Coloring - Liquid)颜色-水</v>
      </c>
      <c r="E45" s="508"/>
      <c r="F45" s="508"/>
      <c r="G45" s="90">
        <v>2</v>
      </c>
      <c r="H45" s="389" t="str">
        <f>VLOOKUP(C45,'Sales Master'!$B$3:$F$3179,5,0)</f>
        <v>500 ML/BTL</v>
      </c>
      <c r="I45" s="482" t="str">
        <f>VLOOKUP(C45,'Sales Master'!$B$3:$E$3179,4,0)</f>
        <v>Black/黑</v>
      </c>
      <c r="J45" s="482"/>
      <c r="K45" s="387">
        <f>VLOOKUP(C45,'Sales Master'!B$3:AJ$3515,35,0)</f>
        <v>4</v>
      </c>
      <c r="L45" s="99">
        <f t="shared" si="3"/>
        <v>8</v>
      </c>
      <c r="M45" s="78"/>
      <c r="N45" s="225">
        <f>VLOOKUP(C45,'Sales Master'!$B$3:$DA$3038,104,0)</f>
        <v>2.5</v>
      </c>
      <c r="O45" s="225">
        <f t="shared" si="4"/>
        <v>1.5</v>
      </c>
      <c r="P45" s="225">
        <f t="shared" si="5"/>
        <v>3</v>
      </c>
    </row>
    <row r="46" spans="2:16" ht="20.149999999999999" customHeight="1" x14ac:dyDescent="0.45">
      <c r="B46" s="34"/>
      <c r="C46" s="22" t="s">
        <v>1454</v>
      </c>
      <c r="D46" s="508" t="str">
        <f>VLOOKUP(C46,'Sales Master'!B$3:D$699,2,)</f>
        <v>Passion Fruit Jam 百香果</v>
      </c>
      <c r="E46" s="508"/>
      <c r="F46" s="508"/>
      <c r="G46" s="90">
        <v>1</v>
      </c>
      <c r="H46" s="389" t="str">
        <f>VLOOKUP(C46,'Sales Master'!$B$3:$F$3179,5,0)</f>
        <v>BOX/盒</v>
      </c>
      <c r="I46" s="482" t="str">
        <f>VLOOKUP(C46,'Sales Master'!$B$3:$E$3179,4,0)</f>
        <v>-</v>
      </c>
      <c r="J46" s="482"/>
      <c r="K46" s="553" t="s">
        <v>1918</v>
      </c>
      <c r="L46" s="554"/>
      <c r="M46" s="78"/>
      <c r="N46" s="225"/>
      <c r="O46" s="225"/>
      <c r="P46" s="225"/>
    </row>
    <row r="47" spans="2:16" ht="20.149999999999999" customHeight="1" x14ac:dyDescent="0.45">
      <c r="B47" s="34"/>
      <c r="C47" s="22" t="s">
        <v>1854</v>
      </c>
      <c r="D47" s="508" t="str">
        <f>VLOOKUP(C47,'Sales Master'!B$3:D$699,2,)</f>
        <v>Citrus Plum Concentrate Juice 柑桔梅子汁</v>
      </c>
      <c r="E47" s="508"/>
      <c r="F47" s="508"/>
      <c r="G47" s="90">
        <v>1</v>
      </c>
      <c r="H47" s="389" t="str">
        <f>VLOOKUP(C47,'Sales Master'!$B$3:$F$3179,5,0)</f>
        <v>1 KG/PKT</v>
      </c>
      <c r="I47" s="482" t="str">
        <f>VLOOKUP(C47,'Sales Master'!$B$3:$E$3179,4,0)</f>
        <v>-</v>
      </c>
      <c r="J47" s="482"/>
      <c r="K47" s="553" t="s">
        <v>1918</v>
      </c>
      <c r="L47" s="554"/>
      <c r="M47" s="78"/>
      <c r="N47" s="225"/>
      <c r="O47" s="225"/>
      <c r="P47" s="225"/>
    </row>
    <row r="48" spans="2:16" ht="20.149999999999999" customHeight="1" thickBot="1" x14ac:dyDescent="0.5">
      <c r="B48" s="37"/>
      <c r="C48" s="38"/>
      <c r="D48" s="509"/>
      <c r="E48" s="509"/>
      <c r="F48" s="509"/>
      <c r="G48" s="38"/>
      <c r="H48" s="69"/>
      <c r="I48" s="451"/>
      <c r="J48" s="451"/>
      <c r="K48" s="39"/>
      <c r="L48" s="40"/>
    </row>
    <row r="49" spans="2:13" ht="20.149999999999999" customHeight="1" thickBot="1" x14ac:dyDescent="0.5">
      <c r="B49" s="41"/>
      <c r="L49" s="42"/>
    </row>
    <row r="50" spans="2:13" ht="20.149999999999999" customHeight="1" x14ac:dyDescent="0.45">
      <c r="B50" s="11" t="s">
        <v>18</v>
      </c>
      <c r="C50" s="7"/>
      <c r="D50" s="7"/>
      <c r="E50" s="7"/>
      <c r="F50" s="7"/>
      <c r="G50" s="7"/>
      <c r="H50" s="7"/>
      <c r="I50" s="7"/>
      <c r="J50" s="510" t="s">
        <v>15</v>
      </c>
      <c r="K50" s="511"/>
      <c r="L50" s="43">
        <f>SUM(L15:L47)</f>
        <v>381.5</v>
      </c>
      <c r="M50" s="76">
        <f>166+26</f>
        <v>192</v>
      </c>
    </row>
    <row r="51" spans="2:13" ht="20.149999999999999" customHeight="1" x14ac:dyDescent="0.45">
      <c r="B51" s="11" t="s">
        <v>19</v>
      </c>
      <c r="C51" s="7"/>
      <c r="D51" s="7"/>
      <c r="E51" s="7"/>
      <c r="F51" s="7"/>
      <c r="G51" s="7"/>
      <c r="H51" s="7"/>
      <c r="I51" s="7"/>
      <c r="J51" s="44" t="s">
        <v>22</v>
      </c>
      <c r="K51" s="45"/>
      <c r="L51" s="46">
        <f>L50*K51</f>
        <v>0</v>
      </c>
    </row>
    <row r="52" spans="2:13" ht="20.149999999999999" customHeight="1" x14ac:dyDescent="0.45">
      <c r="B52" s="11" t="s">
        <v>20</v>
      </c>
      <c r="C52" s="7"/>
      <c r="D52" s="7"/>
      <c r="E52" s="7"/>
      <c r="F52" s="7"/>
      <c r="G52" s="7"/>
      <c r="H52" s="7"/>
      <c r="I52" s="7"/>
      <c r="J52" s="486" t="s">
        <v>21</v>
      </c>
      <c r="K52" s="487"/>
      <c r="L52" s="46">
        <f>L50-L51</f>
        <v>381.5</v>
      </c>
    </row>
    <row r="53" spans="2:13" ht="20.149999999999999" customHeight="1" x14ac:dyDescent="0.45">
      <c r="B53" s="11" t="s">
        <v>24</v>
      </c>
      <c r="C53" s="7"/>
      <c r="D53" s="7"/>
      <c r="E53" s="7"/>
      <c r="F53" s="7"/>
      <c r="G53" s="7"/>
      <c r="H53" s="7"/>
      <c r="I53" s="7"/>
      <c r="J53" s="150" t="s">
        <v>17</v>
      </c>
      <c r="K53" s="151">
        <v>7.0000000000000007E-2</v>
      </c>
      <c r="L53" s="47">
        <f>L52*K53</f>
        <v>26.705000000000002</v>
      </c>
    </row>
    <row r="54" spans="2:13" ht="20.149999999999999" customHeight="1" thickBot="1" x14ac:dyDescent="0.5">
      <c r="B54" s="11" t="s">
        <v>25</v>
      </c>
      <c r="C54" s="7"/>
      <c r="D54" s="7"/>
      <c r="E54" s="7"/>
      <c r="F54" s="7"/>
      <c r="G54" s="7"/>
      <c r="H54" s="7"/>
      <c r="I54" s="7"/>
      <c r="J54" s="488" t="s">
        <v>23</v>
      </c>
      <c r="K54" s="489"/>
      <c r="L54" s="48">
        <f>L52+L53</f>
        <v>408.20499999999998</v>
      </c>
    </row>
    <row r="55" spans="2:13" ht="20.149999999999999" customHeight="1" x14ac:dyDescent="0.45">
      <c r="B55" s="11" t="s">
        <v>26</v>
      </c>
      <c r="C55" s="7"/>
      <c r="D55" s="7"/>
      <c r="E55" s="7"/>
      <c r="F55" s="7"/>
      <c r="G55" s="7"/>
      <c r="H55" s="7"/>
      <c r="I55" s="7"/>
      <c r="L55" s="42"/>
    </row>
    <row r="56" spans="2:13" ht="20.149999999999999" customHeight="1" x14ac:dyDescent="0.45">
      <c r="B56" s="41"/>
      <c r="L56" s="42"/>
    </row>
    <row r="57" spans="2:13" ht="20.149999999999999" customHeight="1" x14ac:dyDescent="0.45">
      <c r="B57" s="41"/>
      <c r="L57" s="42"/>
    </row>
    <row r="58" spans="2:13" ht="20.149999999999999" customHeight="1" x14ac:dyDescent="0.45">
      <c r="B58" s="41"/>
      <c r="L58" s="42"/>
    </row>
    <row r="59" spans="2:13" ht="20.149999999999999" customHeight="1" x14ac:dyDescent="0.45">
      <c r="B59" s="41"/>
      <c r="L59" s="42"/>
    </row>
    <row r="60" spans="2:13" ht="20.149999999999999" customHeight="1" x14ac:dyDescent="0.45">
      <c r="B60" s="49"/>
      <c r="C60" s="50"/>
      <c r="D60" s="50"/>
      <c r="J60" s="50"/>
      <c r="K60" s="50"/>
      <c r="L60" s="51"/>
    </row>
    <row r="61" spans="2:13" ht="20.149999999999999" customHeight="1" x14ac:dyDescent="0.45">
      <c r="B61" s="41" t="s">
        <v>27</v>
      </c>
      <c r="J61" s="24" t="s">
        <v>28</v>
      </c>
      <c r="L61" s="42"/>
    </row>
    <row r="62" spans="2:13" ht="19" thickBot="1" x14ac:dyDescent="0.5">
      <c r="B62" s="52"/>
      <c r="C62" s="53"/>
      <c r="D62" s="53"/>
      <c r="E62" s="53"/>
      <c r="F62" s="53"/>
      <c r="G62" s="53"/>
      <c r="H62" s="53"/>
      <c r="I62" s="53"/>
      <c r="J62" s="53"/>
      <c r="K62" s="53"/>
      <c r="L62" s="54"/>
    </row>
  </sheetData>
  <mergeCells count="82">
    <mergeCell ref="I25:J25"/>
    <mergeCell ref="I26:J26"/>
    <mergeCell ref="I27:J27"/>
    <mergeCell ref="I28:J28"/>
    <mergeCell ref="I29:J29"/>
    <mergeCell ref="I20:J20"/>
    <mergeCell ref="I21:J21"/>
    <mergeCell ref="I22:J22"/>
    <mergeCell ref="I23:J23"/>
    <mergeCell ref="I24:J24"/>
    <mergeCell ref="D25:F25"/>
    <mergeCell ref="D26:F26"/>
    <mergeCell ref="D27:F27"/>
    <mergeCell ref="D28:F28"/>
    <mergeCell ref="D29:F29"/>
    <mergeCell ref="D20:F20"/>
    <mergeCell ref="D21:F21"/>
    <mergeCell ref="D22:F22"/>
    <mergeCell ref="D23:F23"/>
    <mergeCell ref="D24:F24"/>
    <mergeCell ref="B1:L8"/>
    <mergeCell ref="D42:F42"/>
    <mergeCell ref="I42:J42"/>
    <mergeCell ref="D43:F43"/>
    <mergeCell ref="I43:J43"/>
    <mergeCell ref="D39:F39"/>
    <mergeCell ref="I39:J39"/>
    <mergeCell ref="D40:F40"/>
    <mergeCell ref="I40:J40"/>
    <mergeCell ref="D41:F41"/>
    <mergeCell ref="I41:J41"/>
    <mergeCell ref="D36:F36"/>
    <mergeCell ref="I36:J36"/>
    <mergeCell ref="D37:F37"/>
    <mergeCell ref="I37:J37"/>
    <mergeCell ref="D38:F38"/>
    <mergeCell ref="J54:K54"/>
    <mergeCell ref="D44:F44"/>
    <mergeCell ref="I44:J44"/>
    <mergeCell ref="D45:F45"/>
    <mergeCell ref="I45:J45"/>
    <mergeCell ref="D47:F47"/>
    <mergeCell ref="I47:J47"/>
    <mergeCell ref="D48:F48"/>
    <mergeCell ref="I48:J48"/>
    <mergeCell ref="J50:K50"/>
    <mergeCell ref="J52:K52"/>
    <mergeCell ref="D46:F46"/>
    <mergeCell ref="I46:J46"/>
    <mergeCell ref="K46:L46"/>
    <mergeCell ref="K47:L47"/>
    <mergeCell ref="I38:J38"/>
    <mergeCell ref="D33:F33"/>
    <mergeCell ref="I33:J33"/>
    <mergeCell ref="D34:F34"/>
    <mergeCell ref="I34:J34"/>
    <mergeCell ref="D35:F35"/>
    <mergeCell ref="I35:J35"/>
    <mergeCell ref="D30:F30"/>
    <mergeCell ref="I30:J30"/>
    <mergeCell ref="D31:F31"/>
    <mergeCell ref="I31:J31"/>
    <mergeCell ref="D32:F32"/>
    <mergeCell ref="I32:J32"/>
    <mergeCell ref="D17:F17"/>
    <mergeCell ref="I17:J17"/>
    <mergeCell ref="D18:F18"/>
    <mergeCell ref="I18:J18"/>
    <mergeCell ref="D19:F19"/>
    <mergeCell ref="I19:J19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64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256E7-94ED-4E96-B096-501648276FEA}">
  <sheetPr codeName="Sheet16" filterMode="1">
    <pageSetUpPr fitToPage="1"/>
  </sheetPr>
  <dimension ref="A1:P220"/>
  <sheetViews>
    <sheetView zoomScale="85" zoomScaleNormal="85" workbookViewId="0">
      <selection activeCell="A195" sqref="A195"/>
    </sheetView>
  </sheetViews>
  <sheetFormatPr defaultRowHeight="14.5" x14ac:dyDescent="0.35"/>
  <cols>
    <col min="11" max="11" width="9.81640625" customWidth="1"/>
    <col min="14" max="14" width="32.453125" customWidth="1"/>
    <col min="15" max="15" width="15.453125" customWidth="1"/>
    <col min="16" max="16" width="8.7265625" style="21"/>
  </cols>
  <sheetData>
    <row r="1" spans="1:16" x14ac:dyDescent="0.35">
      <c r="A1" s="15" t="s">
        <v>87</v>
      </c>
    </row>
    <row r="2" spans="1:16" ht="14.15" customHeight="1" x14ac:dyDescent="0.35"/>
    <row r="3" spans="1:16" ht="30" customHeight="1" x14ac:dyDescent="0.35">
      <c r="A3" s="59" t="s">
        <v>88</v>
      </c>
      <c r="B3" s="496" t="s">
        <v>87</v>
      </c>
      <c r="C3" s="496"/>
      <c r="D3" s="496"/>
      <c r="E3" s="496"/>
      <c r="F3" s="496"/>
      <c r="G3" s="496"/>
      <c r="H3" s="496"/>
      <c r="I3" s="496"/>
      <c r="J3" s="496"/>
      <c r="K3" s="496"/>
      <c r="L3" s="496"/>
      <c r="M3" s="496"/>
      <c r="N3" s="496"/>
      <c r="O3" s="60" t="s">
        <v>192</v>
      </c>
      <c r="P3" s="61" t="s">
        <v>356</v>
      </c>
    </row>
    <row r="4" spans="1:16" ht="20.149999999999999" hidden="1" customHeight="1" x14ac:dyDescent="0.35">
      <c r="A4" s="358" t="s">
        <v>141</v>
      </c>
      <c r="B4" s="493" t="s">
        <v>506</v>
      </c>
      <c r="C4" s="493"/>
      <c r="D4" s="493"/>
      <c r="E4" s="493"/>
      <c r="F4" s="493"/>
      <c r="G4" s="493"/>
      <c r="H4" s="493"/>
      <c r="I4" s="493"/>
      <c r="J4" s="493"/>
      <c r="K4" s="493"/>
      <c r="L4" s="493"/>
      <c r="M4" s="493"/>
      <c r="N4" s="493"/>
      <c r="O4" s="1" t="s">
        <v>138</v>
      </c>
      <c r="P4" s="58" t="s">
        <v>357</v>
      </c>
    </row>
    <row r="5" spans="1:16" ht="20.149999999999999" hidden="1" customHeight="1" x14ac:dyDescent="0.35">
      <c r="A5" s="358" t="s">
        <v>89</v>
      </c>
      <c r="B5" s="493" t="s">
        <v>507</v>
      </c>
      <c r="C5" s="493"/>
      <c r="D5" s="493"/>
      <c r="E5" s="493"/>
      <c r="F5" s="493"/>
      <c r="G5" s="493"/>
      <c r="H5" s="493"/>
      <c r="I5" s="493"/>
      <c r="J5" s="493"/>
      <c r="K5" s="493"/>
      <c r="L5" s="493"/>
      <c r="M5" s="493"/>
      <c r="N5" s="493"/>
      <c r="O5" s="1" t="s">
        <v>138</v>
      </c>
      <c r="P5" s="58" t="s">
        <v>357</v>
      </c>
    </row>
    <row r="6" spans="1:16" ht="20.149999999999999" hidden="1" customHeight="1" x14ac:dyDescent="0.35">
      <c r="A6" s="358" t="s">
        <v>90</v>
      </c>
      <c r="B6" s="493" t="s">
        <v>508</v>
      </c>
      <c r="C6" s="493"/>
      <c r="D6" s="493"/>
      <c r="E6" s="493"/>
      <c r="F6" s="493"/>
      <c r="G6" s="493"/>
      <c r="H6" s="493"/>
      <c r="I6" s="493"/>
      <c r="J6" s="493"/>
      <c r="K6" s="493"/>
      <c r="L6" s="493"/>
      <c r="M6" s="493"/>
      <c r="N6" s="493"/>
      <c r="O6" s="1" t="s">
        <v>138</v>
      </c>
      <c r="P6" s="58" t="s">
        <v>357</v>
      </c>
    </row>
    <row r="7" spans="1:16" ht="20.149999999999999" hidden="1" customHeight="1" x14ac:dyDescent="0.35">
      <c r="A7" s="358" t="s">
        <v>91</v>
      </c>
      <c r="B7" s="493" t="s">
        <v>509</v>
      </c>
      <c r="C7" s="493"/>
      <c r="D7" s="493"/>
      <c r="E7" s="493"/>
      <c r="F7" s="493"/>
      <c r="G7" s="493"/>
      <c r="H7" s="493"/>
      <c r="I7" s="493"/>
      <c r="J7" s="493"/>
      <c r="K7" s="493"/>
      <c r="L7" s="493"/>
      <c r="M7" s="493"/>
      <c r="N7" s="493"/>
      <c r="O7" s="1" t="s">
        <v>138</v>
      </c>
      <c r="P7" s="58" t="s">
        <v>357</v>
      </c>
    </row>
    <row r="8" spans="1:16" ht="20.149999999999999" hidden="1" customHeight="1" x14ac:dyDescent="0.35">
      <c r="A8" s="358" t="s">
        <v>98</v>
      </c>
      <c r="B8" s="493" t="s">
        <v>674</v>
      </c>
      <c r="C8" s="493"/>
      <c r="D8" s="493"/>
      <c r="E8" s="493"/>
      <c r="F8" s="493"/>
      <c r="G8" s="493"/>
      <c r="H8" s="493"/>
      <c r="I8" s="493"/>
      <c r="J8" s="493"/>
      <c r="K8" s="493"/>
      <c r="L8" s="493"/>
      <c r="M8" s="493"/>
      <c r="N8" s="493"/>
      <c r="O8" s="1" t="s">
        <v>138</v>
      </c>
      <c r="P8" s="58" t="s">
        <v>357</v>
      </c>
    </row>
    <row r="9" spans="1:16" ht="20.149999999999999" hidden="1" customHeight="1" x14ac:dyDescent="0.35">
      <c r="A9" s="358" t="s">
        <v>105</v>
      </c>
      <c r="B9" s="493" t="s">
        <v>775</v>
      </c>
      <c r="C9" s="493"/>
      <c r="D9" s="493"/>
      <c r="E9" s="493"/>
      <c r="F9" s="493"/>
      <c r="G9" s="493"/>
      <c r="H9" s="493"/>
      <c r="I9" s="493"/>
      <c r="J9" s="493"/>
      <c r="K9" s="493"/>
      <c r="L9" s="493"/>
      <c r="M9" s="493"/>
      <c r="N9" s="493"/>
      <c r="O9" s="1" t="s">
        <v>138</v>
      </c>
      <c r="P9" s="58" t="s">
        <v>357</v>
      </c>
    </row>
    <row r="10" spans="1:16" ht="20.149999999999999" hidden="1" customHeight="1" x14ac:dyDescent="0.35">
      <c r="A10" s="358" t="s">
        <v>106</v>
      </c>
      <c r="B10" s="493" t="s">
        <v>812</v>
      </c>
      <c r="C10" s="493"/>
      <c r="D10" s="493"/>
      <c r="E10" s="493"/>
      <c r="F10" s="493"/>
      <c r="G10" s="493"/>
      <c r="H10" s="493"/>
      <c r="I10" s="493"/>
      <c r="J10" s="493"/>
      <c r="K10" s="493"/>
      <c r="L10" s="493"/>
      <c r="M10" s="493"/>
      <c r="N10" s="493"/>
      <c r="O10" s="1" t="s">
        <v>138</v>
      </c>
      <c r="P10" s="58" t="s">
        <v>357</v>
      </c>
    </row>
    <row r="11" spans="1:16" ht="20.149999999999999" hidden="1" customHeight="1" x14ac:dyDescent="0.35">
      <c r="A11" s="358" t="s">
        <v>142</v>
      </c>
      <c r="B11" s="493" t="s">
        <v>2274</v>
      </c>
      <c r="C11" s="493"/>
      <c r="D11" s="493"/>
      <c r="E11" s="493"/>
      <c r="F11" s="493"/>
      <c r="G11" s="493"/>
      <c r="H11" s="493"/>
      <c r="I11" s="493"/>
      <c r="J11" s="493"/>
      <c r="K11" s="493"/>
      <c r="L11" s="493"/>
      <c r="M11" s="493"/>
      <c r="N11" s="493"/>
      <c r="O11" s="1" t="s">
        <v>252</v>
      </c>
      <c r="P11" s="58" t="s">
        <v>357</v>
      </c>
    </row>
    <row r="12" spans="1:16" ht="20.149999999999999" hidden="1" customHeight="1" x14ac:dyDescent="0.35">
      <c r="A12" s="358" t="s">
        <v>144</v>
      </c>
      <c r="B12" s="493" t="s">
        <v>249</v>
      </c>
      <c r="C12" s="493"/>
      <c r="D12" s="493"/>
      <c r="E12" s="493"/>
      <c r="F12" s="493"/>
      <c r="G12" s="493"/>
      <c r="H12" s="493"/>
      <c r="I12" s="493"/>
      <c r="J12" s="493"/>
      <c r="K12" s="493"/>
      <c r="L12" s="493"/>
      <c r="M12" s="493"/>
      <c r="N12" s="493"/>
      <c r="O12" s="14" t="s">
        <v>137</v>
      </c>
      <c r="P12" s="58" t="s">
        <v>357</v>
      </c>
    </row>
    <row r="13" spans="1:16" ht="20.149999999999999" hidden="1" customHeight="1" x14ac:dyDescent="0.35">
      <c r="A13" s="358" t="s">
        <v>145</v>
      </c>
      <c r="B13" s="493" t="s">
        <v>693</v>
      </c>
      <c r="C13" s="493"/>
      <c r="D13" s="493"/>
      <c r="E13" s="493"/>
      <c r="F13" s="493"/>
      <c r="G13" s="493"/>
      <c r="H13" s="493"/>
      <c r="I13" s="493"/>
      <c r="J13" s="493"/>
      <c r="K13" s="493"/>
      <c r="L13" s="493"/>
      <c r="M13" s="493"/>
      <c r="N13" s="493"/>
      <c r="O13" s="14" t="s">
        <v>137</v>
      </c>
      <c r="P13" s="58" t="s">
        <v>357</v>
      </c>
    </row>
    <row r="14" spans="1:16" ht="20.149999999999999" hidden="1" customHeight="1" x14ac:dyDescent="0.35">
      <c r="A14" s="358" t="s">
        <v>146</v>
      </c>
      <c r="B14" s="493" t="s">
        <v>694</v>
      </c>
      <c r="C14" s="493"/>
      <c r="D14" s="493"/>
      <c r="E14" s="493"/>
      <c r="F14" s="493"/>
      <c r="G14" s="493"/>
      <c r="H14" s="493"/>
      <c r="I14" s="493"/>
      <c r="J14" s="493"/>
      <c r="K14" s="493"/>
      <c r="L14" s="493"/>
      <c r="M14" s="493"/>
      <c r="N14" s="493"/>
      <c r="O14" s="14" t="s">
        <v>137</v>
      </c>
      <c r="P14" s="58" t="s">
        <v>357</v>
      </c>
    </row>
    <row r="15" spans="1:16" ht="20.149999999999999" hidden="1" customHeight="1" x14ac:dyDescent="0.35">
      <c r="A15" s="358" t="s">
        <v>147</v>
      </c>
      <c r="B15" s="498" t="s">
        <v>254</v>
      </c>
      <c r="C15" s="498"/>
      <c r="D15" s="498"/>
      <c r="E15" s="498"/>
      <c r="F15" s="498"/>
      <c r="G15" s="498"/>
      <c r="H15" s="498"/>
      <c r="I15" s="498"/>
      <c r="J15" s="498"/>
      <c r="K15" s="498"/>
      <c r="L15" s="498"/>
      <c r="M15" s="498"/>
      <c r="N15" s="498"/>
      <c r="O15" s="13" t="s">
        <v>189</v>
      </c>
      <c r="P15" s="58" t="s">
        <v>357</v>
      </c>
    </row>
    <row r="16" spans="1:16" ht="20.149999999999999" hidden="1" customHeight="1" x14ac:dyDescent="0.35">
      <c r="A16" s="358" t="s">
        <v>2203</v>
      </c>
      <c r="B16" s="493" t="s">
        <v>2225</v>
      </c>
      <c r="C16" s="493"/>
      <c r="D16" s="493"/>
      <c r="E16" s="493"/>
      <c r="F16" s="493"/>
      <c r="G16" s="493"/>
      <c r="H16" s="493"/>
      <c r="I16" s="493"/>
      <c r="J16" s="493"/>
      <c r="K16" s="493"/>
      <c r="L16" s="493"/>
      <c r="M16" s="493"/>
      <c r="N16" s="493"/>
      <c r="O16" s="14" t="s">
        <v>137</v>
      </c>
      <c r="P16" s="58" t="s">
        <v>357</v>
      </c>
    </row>
    <row r="17" spans="1:16" ht="20.149999999999999" hidden="1" customHeight="1" x14ac:dyDescent="0.35">
      <c r="A17" s="358" t="s">
        <v>149</v>
      </c>
      <c r="B17" s="498" t="s">
        <v>255</v>
      </c>
      <c r="C17" s="498"/>
      <c r="D17" s="498"/>
      <c r="E17" s="498"/>
      <c r="F17" s="498"/>
      <c r="G17" s="498"/>
      <c r="H17" s="498"/>
      <c r="I17" s="498"/>
      <c r="J17" s="498"/>
      <c r="K17" s="498"/>
      <c r="L17" s="498"/>
      <c r="M17" s="498"/>
      <c r="N17" s="498"/>
      <c r="O17" s="13" t="s">
        <v>189</v>
      </c>
      <c r="P17" s="58" t="s">
        <v>357</v>
      </c>
    </row>
    <row r="18" spans="1:16" ht="20.149999999999999" hidden="1" customHeight="1" x14ac:dyDescent="0.35">
      <c r="A18" s="358" t="s">
        <v>150</v>
      </c>
      <c r="B18" s="493" t="s">
        <v>776</v>
      </c>
      <c r="C18" s="493"/>
      <c r="D18" s="493"/>
      <c r="E18" s="493"/>
      <c r="F18" s="493"/>
      <c r="G18" s="493"/>
      <c r="H18" s="493"/>
      <c r="I18" s="493"/>
      <c r="J18" s="493"/>
      <c r="K18" s="493"/>
      <c r="L18" s="493"/>
      <c r="M18" s="493"/>
      <c r="N18" s="493"/>
      <c r="O18" s="1" t="s">
        <v>138</v>
      </c>
      <c r="P18" s="58" t="s">
        <v>357</v>
      </c>
    </row>
    <row r="19" spans="1:16" ht="20.149999999999999" hidden="1" customHeight="1" x14ac:dyDescent="0.35">
      <c r="A19" s="358" t="s">
        <v>151</v>
      </c>
      <c r="B19" s="493" t="s">
        <v>777</v>
      </c>
      <c r="C19" s="493"/>
      <c r="D19" s="493"/>
      <c r="E19" s="493"/>
      <c r="F19" s="493"/>
      <c r="G19" s="493"/>
      <c r="H19" s="493"/>
      <c r="I19" s="493"/>
      <c r="J19" s="493"/>
      <c r="K19" s="493"/>
      <c r="L19" s="493"/>
      <c r="M19" s="493"/>
      <c r="N19" s="493"/>
      <c r="O19" s="1" t="s">
        <v>138</v>
      </c>
      <c r="P19" s="58" t="s">
        <v>357</v>
      </c>
    </row>
    <row r="20" spans="1:16" ht="20.149999999999999" hidden="1" customHeight="1" x14ac:dyDescent="0.35">
      <c r="A20" s="358" t="s">
        <v>152</v>
      </c>
      <c r="B20" s="493" t="s">
        <v>2263</v>
      </c>
      <c r="C20" s="493"/>
      <c r="D20" s="493"/>
      <c r="E20" s="493"/>
      <c r="F20" s="493"/>
      <c r="G20" s="493"/>
      <c r="H20" s="493"/>
      <c r="I20" s="493"/>
      <c r="J20" s="493"/>
      <c r="K20" s="493"/>
      <c r="L20" s="493"/>
      <c r="M20" s="493"/>
      <c r="N20" s="493"/>
      <c r="O20" s="1" t="s">
        <v>138</v>
      </c>
      <c r="P20" s="58" t="s">
        <v>357</v>
      </c>
    </row>
    <row r="21" spans="1:16" ht="20.149999999999999" hidden="1" customHeight="1" x14ac:dyDescent="0.35">
      <c r="A21" s="358" t="s">
        <v>153</v>
      </c>
      <c r="B21" s="493" t="s">
        <v>655</v>
      </c>
      <c r="C21" s="493"/>
      <c r="D21" s="493"/>
      <c r="E21" s="493"/>
      <c r="F21" s="493"/>
      <c r="G21" s="493"/>
      <c r="H21" s="493"/>
      <c r="I21" s="493"/>
      <c r="J21" s="493"/>
      <c r="K21" s="493"/>
      <c r="L21" s="493"/>
      <c r="M21" s="493"/>
      <c r="N21" s="493"/>
      <c r="O21" s="14" t="s">
        <v>137</v>
      </c>
      <c r="P21" s="58" t="s">
        <v>357</v>
      </c>
    </row>
    <row r="22" spans="1:16" ht="20.149999999999999" hidden="1" customHeight="1" x14ac:dyDescent="0.35">
      <c r="A22" s="358" t="s">
        <v>154</v>
      </c>
      <c r="B22" s="493" t="s">
        <v>751</v>
      </c>
      <c r="C22" s="493"/>
      <c r="D22" s="493"/>
      <c r="E22" s="493"/>
      <c r="F22" s="493"/>
      <c r="G22" s="493"/>
      <c r="H22" s="493"/>
      <c r="I22" s="493"/>
      <c r="J22" s="493"/>
      <c r="K22" s="493"/>
      <c r="L22" s="493"/>
      <c r="M22" s="493"/>
      <c r="N22" s="493"/>
      <c r="O22" s="14" t="s">
        <v>137</v>
      </c>
      <c r="P22" s="58" t="s">
        <v>357</v>
      </c>
    </row>
    <row r="23" spans="1:16" ht="20.149999999999999" hidden="1" customHeight="1" x14ac:dyDescent="0.35">
      <c r="A23" s="358" t="s">
        <v>155</v>
      </c>
      <c r="B23" s="498" t="s">
        <v>190</v>
      </c>
      <c r="C23" s="498"/>
      <c r="D23" s="498"/>
      <c r="E23" s="498"/>
      <c r="F23" s="498"/>
      <c r="G23" s="498"/>
      <c r="H23" s="498"/>
      <c r="I23" s="498"/>
      <c r="J23" s="498"/>
      <c r="K23" s="498"/>
      <c r="L23" s="498"/>
      <c r="M23" s="498"/>
      <c r="N23" s="498"/>
      <c r="O23" s="12" t="s">
        <v>189</v>
      </c>
      <c r="P23" s="58" t="s">
        <v>357</v>
      </c>
    </row>
    <row r="24" spans="1:16" ht="20.149999999999999" hidden="1" customHeight="1" x14ac:dyDescent="0.35">
      <c r="A24" s="358" t="s">
        <v>156</v>
      </c>
      <c r="B24" s="493" t="s">
        <v>2280</v>
      </c>
      <c r="C24" s="493"/>
      <c r="D24" s="493"/>
      <c r="E24" s="493"/>
      <c r="F24" s="493"/>
      <c r="G24" s="493"/>
      <c r="H24" s="493"/>
      <c r="I24" s="493"/>
      <c r="J24" s="493"/>
      <c r="K24" s="493"/>
      <c r="L24" s="493"/>
      <c r="M24" s="493"/>
      <c r="N24" s="493"/>
      <c r="O24" s="1" t="s">
        <v>253</v>
      </c>
      <c r="P24" s="58" t="s">
        <v>357</v>
      </c>
    </row>
    <row r="25" spans="1:16" ht="20.149999999999999" hidden="1" customHeight="1" x14ac:dyDescent="0.35">
      <c r="A25" s="124" t="s">
        <v>157</v>
      </c>
      <c r="B25" s="493" t="s">
        <v>245</v>
      </c>
      <c r="C25" s="493"/>
      <c r="D25" s="493"/>
      <c r="E25" s="493"/>
      <c r="F25" s="493"/>
      <c r="G25" s="493"/>
      <c r="H25" s="493"/>
      <c r="I25" s="493"/>
      <c r="J25" s="493"/>
      <c r="K25" s="493"/>
      <c r="L25" s="493"/>
      <c r="M25" s="493"/>
      <c r="N25" s="493"/>
      <c r="O25" s="1" t="s">
        <v>252</v>
      </c>
      <c r="P25" s="58" t="s">
        <v>357</v>
      </c>
    </row>
    <row r="26" spans="1:16" ht="20.149999999999999" hidden="1" customHeight="1" x14ac:dyDescent="0.35">
      <c r="A26" s="249" t="s">
        <v>158</v>
      </c>
      <c r="B26" s="493" t="s">
        <v>2259</v>
      </c>
      <c r="C26" s="493"/>
      <c r="D26" s="493"/>
      <c r="E26" s="493"/>
      <c r="F26" s="493"/>
      <c r="G26" s="493"/>
      <c r="H26" s="493"/>
      <c r="I26" s="493"/>
      <c r="J26" s="493"/>
      <c r="K26" s="493"/>
      <c r="L26" s="493"/>
      <c r="M26" s="493"/>
      <c r="N26" s="493"/>
      <c r="O26" s="1" t="s">
        <v>252</v>
      </c>
      <c r="P26" s="58" t="s">
        <v>357</v>
      </c>
    </row>
    <row r="27" spans="1:16" ht="20.149999999999999" hidden="1" customHeight="1" x14ac:dyDescent="0.35">
      <c r="A27" s="358" t="s">
        <v>159</v>
      </c>
      <c r="B27" s="497" t="s">
        <v>675</v>
      </c>
      <c r="C27" s="497"/>
      <c r="D27" s="497"/>
      <c r="E27" s="497"/>
      <c r="F27" s="497"/>
      <c r="G27" s="497"/>
      <c r="H27" s="497"/>
      <c r="I27" s="497"/>
      <c r="J27" s="497"/>
      <c r="K27" s="497"/>
      <c r="L27" s="497"/>
      <c r="M27" s="497"/>
      <c r="N27" s="497"/>
      <c r="O27" s="2" t="s">
        <v>252</v>
      </c>
      <c r="P27" s="75" t="s">
        <v>357</v>
      </c>
    </row>
    <row r="28" spans="1:16" ht="20.149999999999999" hidden="1" customHeight="1" x14ac:dyDescent="0.35">
      <c r="A28" s="358" t="s">
        <v>160</v>
      </c>
      <c r="B28" s="499" t="s">
        <v>968</v>
      </c>
      <c r="C28" s="499"/>
      <c r="D28" s="499"/>
      <c r="E28" s="499"/>
      <c r="F28" s="499"/>
      <c r="G28" s="499"/>
      <c r="H28" s="499"/>
      <c r="I28" s="499"/>
      <c r="J28" s="499"/>
      <c r="K28" s="499"/>
      <c r="L28" s="499"/>
      <c r="M28" s="499"/>
      <c r="N28" s="499"/>
      <c r="O28" s="73" t="s">
        <v>252</v>
      </c>
      <c r="P28" s="75" t="s">
        <v>357</v>
      </c>
    </row>
    <row r="29" spans="1:16" ht="20.149999999999999" hidden="1" customHeight="1" x14ac:dyDescent="0.35">
      <c r="A29" s="358" t="s">
        <v>161</v>
      </c>
      <c r="B29" s="493" t="s">
        <v>1836</v>
      </c>
      <c r="C29" s="493"/>
      <c r="D29" s="493"/>
      <c r="E29" s="493"/>
      <c r="F29" s="493"/>
      <c r="G29" s="493"/>
      <c r="H29" s="493"/>
      <c r="I29" s="493"/>
      <c r="J29" s="493"/>
      <c r="K29" s="493"/>
      <c r="L29" s="493"/>
      <c r="M29" s="493"/>
      <c r="N29" s="493"/>
      <c r="O29" s="14" t="s">
        <v>137</v>
      </c>
      <c r="P29" s="58" t="s">
        <v>358</v>
      </c>
    </row>
    <row r="30" spans="1:16" ht="20.149999999999999" hidden="1" customHeight="1" x14ac:dyDescent="0.35">
      <c r="A30" s="358" t="s">
        <v>162</v>
      </c>
      <c r="B30" s="493" t="s">
        <v>240</v>
      </c>
      <c r="C30" s="493"/>
      <c r="D30" s="493"/>
      <c r="E30" s="493"/>
      <c r="F30" s="493"/>
      <c r="G30" s="493"/>
      <c r="H30" s="493"/>
      <c r="I30" s="493"/>
      <c r="J30" s="493"/>
      <c r="K30" s="493"/>
      <c r="L30" s="493"/>
      <c r="M30" s="493"/>
      <c r="N30" s="493"/>
      <c r="O30" s="1" t="s">
        <v>252</v>
      </c>
      <c r="P30" s="58" t="s">
        <v>358</v>
      </c>
    </row>
    <row r="31" spans="1:16" ht="20.149999999999999" hidden="1" customHeight="1" x14ac:dyDescent="0.35">
      <c r="A31" s="358" t="s">
        <v>163</v>
      </c>
      <c r="B31" s="493" t="s">
        <v>2245</v>
      </c>
      <c r="C31" s="493"/>
      <c r="D31" s="493"/>
      <c r="E31" s="493"/>
      <c r="F31" s="493"/>
      <c r="G31" s="493"/>
      <c r="H31" s="493"/>
      <c r="I31" s="493"/>
      <c r="J31" s="493"/>
      <c r="K31" s="493"/>
      <c r="L31" s="493"/>
      <c r="M31" s="493"/>
      <c r="N31" s="493"/>
      <c r="O31" s="1" t="s">
        <v>138</v>
      </c>
      <c r="P31" s="58" t="s">
        <v>360</v>
      </c>
    </row>
    <row r="32" spans="1:16" ht="20.149999999999999" hidden="1" customHeight="1" x14ac:dyDescent="0.35">
      <c r="A32" s="358" t="s">
        <v>164</v>
      </c>
      <c r="B32" s="493" t="s">
        <v>2033</v>
      </c>
      <c r="C32" s="493"/>
      <c r="D32" s="493"/>
      <c r="E32" s="493"/>
      <c r="F32" s="493"/>
      <c r="G32" s="493"/>
      <c r="H32" s="493"/>
      <c r="I32" s="493"/>
      <c r="J32" s="493"/>
      <c r="K32" s="493"/>
      <c r="L32" s="493"/>
      <c r="M32" s="493"/>
      <c r="N32" s="493"/>
      <c r="O32" s="1" t="s">
        <v>138</v>
      </c>
      <c r="P32" s="58" t="s">
        <v>360</v>
      </c>
    </row>
    <row r="33" spans="1:16" ht="20.149999999999999" hidden="1" customHeight="1" x14ac:dyDescent="0.35">
      <c r="A33" s="358" t="s">
        <v>165</v>
      </c>
      <c r="B33" s="493" t="s">
        <v>909</v>
      </c>
      <c r="C33" s="493"/>
      <c r="D33" s="493"/>
      <c r="E33" s="493"/>
      <c r="F33" s="493"/>
      <c r="G33" s="493"/>
      <c r="H33" s="493"/>
      <c r="I33" s="493"/>
      <c r="J33" s="493"/>
      <c r="K33" s="493"/>
      <c r="L33" s="493"/>
      <c r="M33" s="493"/>
      <c r="N33" s="493"/>
      <c r="O33" s="1" t="s">
        <v>252</v>
      </c>
      <c r="P33" s="58" t="s">
        <v>362</v>
      </c>
    </row>
    <row r="34" spans="1:16" ht="20.149999999999999" hidden="1" customHeight="1" x14ac:dyDescent="0.35">
      <c r="A34" s="358" t="s">
        <v>166</v>
      </c>
      <c r="B34" s="493" t="s">
        <v>763</v>
      </c>
      <c r="C34" s="493"/>
      <c r="D34" s="493"/>
      <c r="E34" s="493"/>
      <c r="F34" s="493"/>
      <c r="G34" s="493"/>
      <c r="H34" s="493"/>
      <c r="I34" s="493"/>
      <c r="J34" s="493"/>
      <c r="K34" s="493"/>
      <c r="L34" s="493"/>
      <c r="M34" s="493"/>
      <c r="N34" s="493"/>
      <c r="O34" s="1" t="s">
        <v>138</v>
      </c>
      <c r="P34" s="58" t="s">
        <v>362</v>
      </c>
    </row>
    <row r="35" spans="1:16" ht="20.149999999999999" hidden="1" customHeight="1" x14ac:dyDescent="0.35">
      <c r="A35" s="358" t="s">
        <v>167</v>
      </c>
      <c r="B35" s="493" t="s">
        <v>764</v>
      </c>
      <c r="C35" s="493"/>
      <c r="D35" s="493"/>
      <c r="E35" s="493"/>
      <c r="F35" s="493"/>
      <c r="G35" s="493"/>
      <c r="H35" s="493"/>
      <c r="I35" s="493"/>
      <c r="J35" s="493"/>
      <c r="K35" s="493"/>
      <c r="L35" s="493"/>
      <c r="M35" s="493"/>
      <c r="N35" s="493"/>
      <c r="O35" s="1" t="s">
        <v>138</v>
      </c>
      <c r="P35" s="58" t="s">
        <v>362</v>
      </c>
    </row>
    <row r="36" spans="1:16" ht="20.149999999999999" hidden="1" customHeight="1" x14ac:dyDescent="0.35">
      <c r="A36" s="358" t="s">
        <v>980</v>
      </c>
      <c r="B36" s="493" t="s">
        <v>651</v>
      </c>
      <c r="C36" s="493"/>
      <c r="D36" s="493"/>
      <c r="E36" s="493"/>
      <c r="F36" s="493"/>
      <c r="G36" s="493"/>
      <c r="H36" s="493"/>
      <c r="I36" s="493"/>
      <c r="J36" s="493"/>
      <c r="K36" s="493"/>
      <c r="L36" s="493"/>
      <c r="M36" s="493"/>
      <c r="N36" s="493"/>
      <c r="O36" s="14" t="s">
        <v>137</v>
      </c>
      <c r="P36" s="58" t="s">
        <v>362</v>
      </c>
    </row>
    <row r="37" spans="1:16" ht="20.149999999999999" hidden="1" customHeight="1" x14ac:dyDescent="0.35">
      <c r="A37" s="358" t="s">
        <v>169</v>
      </c>
      <c r="B37" s="493" t="s">
        <v>2374</v>
      </c>
      <c r="C37" s="493"/>
      <c r="D37" s="493"/>
      <c r="E37" s="493"/>
      <c r="F37" s="493"/>
      <c r="G37" s="493"/>
      <c r="H37" s="493"/>
      <c r="I37" s="493"/>
      <c r="J37" s="493"/>
      <c r="K37" s="493"/>
      <c r="L37" s="493"/>
      <c r="M37" s="493"/>
      <c r="N37" s="493"/>
      <c r="O37" s="1"/>
      <c r="P37" s="58"/>
    </row>
    <row r="38" spans="1:16" ht="20.149999999999999" hidden="1" customHeight="1" x14ac:dyDescent="0.35">
      <c r="A38" s="358" t="s">
        <v>170</v>
      </c>
      <c r="B38" s="493" t="s">
        <v>510</v>
      </c>
      <c r="C38" s="493"/>
      <c r="D38" s="493"/>
      <c r="E38" s="493"/>
      <c r="F38" s="493"/>
      <c r="G38" s="493"/>
      <c r="H38" s="493"/>
      <c r="I38" s="493"/>
      <c r="J38" s="493"/>
      <c r="K38" s="493"/>
      <c r="L38" s="493"/>
      <c r="M38" s="493"/>
      <c r="N38" s="493"/>
      <c r="O38" s="1" t="s">
        <v>138</v>
      </c>
      <c r="P38" s="58" t="s">
        <v>359</v>
      </c>
    </row>
    <row r="39" spans="1:16" ht="20.149999999999999" hidden="1" customHeight="1" x14ac:dyDescent="0.35">
      <c r="A39" s="358" t="s">
        <v>199</v>
      </c>
      <c r="B39" s="493" t="s">
        <v>511</v>
      </c>
      <c r="C39" s="493"/>
      <c r="D39" s="493"/>
      <c r="E39" s="493"/>
      <c r="F39" s="493"/>
      <c r="G39" s="493"/>
      <c r="H39" s="493"/>
      <c r="I39" s="493"/>
      <c r="J39" s="493"/>
      <c r="K39" s="493"/>
      <c r="L39" s="493"/>
      <c r="M39" s="493"/>
      <c r="N39" s="493"/>
      <c r="O39" s="1" t="s">
        <v>138</v>
      </c>
      <c r="P39" s="58" t="s">
        <v>359</v>
      </c>
    </row>
    <row r="40" spans="1:16" ht="20.149999999999999" hidden="1" customHeight="1" x14ac:dyDescent="0.35">
      <c r="A40" s="358" t="s">
        <v>200</v>
      </c>
      <c r="B40" s="493" t="s">
        <v>778</v>
      </c>
      <c r="C40" s="493"/>
      <c r="D40" s="493"/>
      <c r="E40" s="493"/>
      <c r="F40" s="493"/>
      <c r="G40" s="493"/>
      <c r="H40" s="493"/>
      <c r="I40" s="493"/>
      <c r="J40" s="493"/>
      <c r="K40" s="493"/>
      <c r="L40" s="493"/>
      <c r="M40" s="493"/>
      <c r="N40" s="493"/>
      <c r="O40" s="1" t="s">
        <v>138</v>
      </c>
      <c r="P40" s="58" t="s">
        <v>359</v>
      </c>
    </row>
    <row r="41" spans="1:16" ht="20.149999999999999" hidden="1" customHeight="1" x14ac:dyDescent="0.35">
      <c r="A41" s="358" t="s">
        <v>201</v>
      </c>
      <c r="B41" s="493" t="s">
        <v>779</v>
      </c>
      <c r="C41" s="493"/>
      <c r="D41" s="493"/>
      <c r="E41" s="493"/>
      <c r="F41" s="493"/>
      <c r="G41" s="493"/>
      <c r="H41" s="493"/>
      <c r="I41" s="493"/>
      <c r="J41" s="493"/>
      <c r="K41" s="493"/>
      <c r="L41" s="493"/>
      <c r="M41" s="493"/>
      <c r="N41" s="493"/>
      <c r="O41" s="1" t="s">
        <v>138</v>
      </c>
      <c r="P41" s="58" t="s">
        <v>359</v>
      </c>
    </row>
    <row r="42" spans="1:16" ht="20.149999999999999" hidden="1" customHeight="1" x14ac:dyDescent="0.35">
      <c r="A42" s="358" t="s">
        <v>202</v>
      </c>
      <c r="B42" s="493" t="s">
        <v>780</v>
      </c>
      <c r="C42" s="493"/>
      <c r="D42" s="493"/>
      <c r="E42" s="493"/>
      <c r="F42" s="493"/>
      <c r="G42" s="493"/>
      <c r="H42" s="493"/>
      <c r="I42" s="493"/>
      <c r="J42" s="493"/>
      <c r="K42" s="493"/>
      <c r="L42" s="493"/>
      <c r="M42" s="493"/>
      <c r="N42" s="493"/>
      <c r="O42" s="1" t="s">
        <v>138</v>
      </c>
      <c r="P42" s="58" t="s">
        <v>359</v>
      </c>
    </row>
    <row r="43" spans="1:16" ht="20.149999999999999" hidden="1" customHeight="1" x14ac:dyDescent="0.35">
      <c r="A43" s="358" t="s">
        <v>203</v>
      </c>
      <c r="B43" s="493" t="s">
        <v>781</v>
      </c>
      <c r="C43" s="493"/>
      <c r="D43" s="493"/>
      <c r="E43" s="493"/>
      <c r="F43" s="493"/>
      <c r="G43" s="493"/>
      <c r="H43" s="493"/>
      <c r="I43" s="493"/>
      <c r="J43" s="493"/>
      <c r="K43" s="493"/>
      <c r="L43" s="493"/>
      <c r="M43" s="493"/>
      <c r="N43" s="493"/>
      <c r="O43" s="1" t="s">
        <v>138</v>
      </c>
      <c r="P43" s="58" t="s">
        <v>359</v>
      </c>
    </row>
    <row r="44" spans="1:16" ht="20.149999999999999" hidden="1" customHeight="1" x14ac:dyDescent="0.35">
      <c r="A44" s="358" t="s">
        <v>204</v>
      </c>
      <c r="B44" s="493" t="s">
        <v>782</v>
      </c>
      <c r="C44" s="493"/>
      <c r="D44" s="493"/>
      <c r="E44" s="493"/>
      <c r="F44" s="493"/>
      <c r="G44" s="493"/>
      <c r="H44" s="493"/>
      <c r="I44" s="493"/>
      <c r="J44" s="493"/>
      <c r="K44" s="493"/>
      <c r="L44" s="493"/>
      <c r="M44" s="493"/>
      <c r="N44" s="493"/>
      <c r="O44" s="1" t="s">
        <v>138</v>
      </c>
      <c r="P44" s="58" t="s">
        <v>359</v>
      </c>
    </row>
    <row r="45" spans="1:16" ht="20.149999999999999" hidden="1" customHeight="1" x14ac:dyDescent="0.35">
      <c r="A45" s="358" t="s">
        <v>205</v>
      </c>
      <c r="B45" s="493" t="s">
        <v>635</v>
      </c>
      <c r="C45" s="493"/>
      <c r="D45" s="493"/>
      <c r="E45" s="493"/>
      <c r="F45" s="493"/>
      <c r="G45" s="493"/>
      <c r="H45" s="493"/>
      <c r="I45" s="493"/>
      <c r="J45" s="493"/>
      <c r="K45" s="493"/>
      <c r="L45" s="493"/>
      <c r="M45" s="493"/>
      <c r="N45" s="493"/>
      <c r="O45" s="1" t="s">
        <v>138</v>
      </c>
      <c r="P45" s="58" t="s">
        <v>359</v>
      </c>
    </row>
    <row r="46" spans="1:16" ht="20.149999999999999" hidden="1" customHeight="1" x14ac:dyDescent="0.35">
      <c r="A46" s="358" t="s">
        <v>206</v>
      </c>
      <c r="B46" s="493" t="s">
        <v>634</v>
      </c>
      <c r="C46" s="493"/>
      <c r="D46" s="493"/>
      <c r="E46" s="493"/>
      <c r="F46" s="493"/>
      <c r="G46" s="493"/>
      <c r="H46" s="493"/>
      <c r="I46" s="493"/>
      <c r="J46" s="493"/>
      <c r="K46" s="493"/>
      <c r="L46" s="493"/>
      <c r="M46" s="493"/>
      <c r="N46" s="493"/>
      <c r="O46" s="1" t="s">
        <v>138</v>
      </c>
      <c r="P46" s="58" t="s">
        <v>359</v>
      </c>
    </row>
    <row r="47" spans="1:16" ht="20.149999999999999" hidden="1" customHeight="1" x14ac:dyDescent="0.35">
      <c r="A47" s="358" t="s">
        <v>207</v>
      </c>
      <c r="B47" s="493" t="s">
        <v>1352</v>
      </c>
      <c r="C47" s="493"/>
      <c r="D47" s="493"/>
      <c r="E47" s="493"/>
      <c r="F47" s="493"/>
      <c r="G47" s="493"/>
      <c r="H47" s="493"/>
      <c r="I47" s="493"/>
      <c r="J47" s="493"/>
      <c r="K47" s="493"/>
      <c r="L47" s="493"/>
      <c r="M47" s="493"/>
      <c r="N47" s="493"/>
      <c r="O47" s="1" t="s">
        <v>138</v>
      </c>
      <c r="P47" s="58" t="s">
        <v>359</v>
      </c>
    </row>
    <row r="48" spans="1:16" ht="20.149999999999999" hidden="1" customHeight="1" x14ac:dyDescent="0.35">
      <c r="A48" s="358" t="s">
        <v>208</v>
      </c>
      <c r="B48" s="493" t="s">
        <v>2270</v>
      </c>
      <c r="C48" s="493"/>
      <c r="D48" s="493"/>
      <c r="E48" s="493"/>
      <c r="F48" s="493"/>
      <c r="G48" s="493"/>
      <c r="H48" s="493"/>
      <c r="I48" s="493"/>
      <c r="J48" s="493"/>
      <c r="K48" s="493"/>
      <c r="L48" s="493"/>
      <c r="M48" s="493"/>
      <c r="N48" s="493"/>
      <c r="O48" s="3" t="s">
        <v>138</v>
      </c>
      <c r="P48" s="58" t="s">
        <v>359</v>
      </c>
    </row>
    <row r="49" spans="1:16" ht="20.149999999999999" hidden="1" customHeight="1" x14ac:dyDescent="0.35">
      <c r="A49" s="358" t="s">
        <v>209</v>
      </c>
      <c r="B49" s="498" t="s">
        <v>1245</v>
      </c>
      <c r="C49" s="498"/>
      <c r="D49" s="498"/>
      <c r="E49" s="498"/>
      <c r="F49" s="498"/>
      <c r="G49" s="498"/>
      <c r="H49" s="498"/>
      <c r="I49" s="498"/>
      <c r="J49" s="498"/>
      <c r="K49" s="498"/>
      <c r="L49" s="498"/>
      <c r="M49" s="498"/>
      <c r="N49" s="498"/>
      <c r="O49" s="13" t="s">
        <v>138</v>
      </c>
      <c r="P49" s="58" t="s">
        <v>359</v>
      </c>
    </row>
    <row r="50" spans="1:16" ht="20.149999999999999" hidden="1" customHeight="1" x14ac:dyDescent="0.35">
      <c r="A50" s="358" t="s">
        <v>210</v>
      </c>
      <c r="B50" s="493" t="s">
        <v>783</v>
      </c>
      <c r="C50" s="493"/>
      <c r="D50" s="493"/>
      <c r="E50" s="493"/>
      <c r="F50" s="493"/>
      <c r="G50" s="493"/>
      <c r="H50" s="493"/>
      <c r="I50" s="493"/>
      <c r="J50" s="493"/>
      <c r="K50" s="493"/>
      <c r="L50" s="493"/>
      <c r="M50" s="493"/>
      <c r="N50" s="493"/>
      <c r="O50" s="1" t="s">
        <v>138</v>
      </c>
      <c r="P50" s="58" t="s">
        <v>359</v>
      </c>
    </row>
    <row r="51" spans="1:16" ht="20.149999999999999" hidden="1" customHeight="1" x14ac:dyDescent="0.35">
      <c r="A51" s="358" t="s">
        <v>211</v>
      </c>
      <c r="B51" s="493" t="s">
        <v>875</v>
      </c>
      <c r="C51" s="493"/>
      <c r="D51" s="493"/>
      <c r="E51" s="493"/>
      <c r="F51" s="493"/>
      <c r="G51" s="493"/>
      <c r="H51" s="493"/>
      <c r="I51" s="493"/>
      <c r="J51" s="493"/>
      <c r="K51" s="493"/>
      <c r="L51" s="493"/>
      <c r="M51" s="493"/>
      <c r="N51" s="493"/>
      <c r="O51" s="1" t="s">
        <v>138</v>
      </c>
      <c r="P51" s="58" t="s">
        <v>359</v>
      </c>
    </row>
    <row r="52" spans="1:16" ht="20.149999999999999" hidden="1" customHeight="1" x14ac:dyDescent="0.35">
      <c r="A52" s="358" t="s">
        <v>212</v>
      </c>
      <c r="B52" s="493" t="s">
        <v>874</v>
      </c>
      <c r="C52" s="493"/>
      <c r="D52" s="493"/>
      <c r="E52" s="493"/>
      <c r="F52" s="493"/>
      <c r="G52" s="493"/>
      <c r="H52" s="493"/>
      <c r="I52" s="493"/>
      <c r="J52" s="493"/>
      <c r="K52" s="493"/>
      <c r="L52" s="493"/>
      <c r="M52" s="493"/>
      <c r="N52" s="493"/>
      <c r="O52" s="3" t="s">
        <v>138</v>
      </c>
      <c r="P52" s="58" t="s">
        <v>359</v>
      </c>
    </row>
    <row r="53" spans="1:16" ht="20.149999999999999" hidden="1" customHeight="1" x14ac:dyDescent="0.35">
      <c r="A53" s="358" t="s">
        <v>213</v>
      </c>
      <c r="B53" s="357" t="s">
        <v>2293</v>
      </c>
      <c r="C53" s="357"/>
      <c r="D53" s="357"/>
      <c r="E53" s="357"/>
      <c r="F53" s="357"/>
      <c r="G53" s="357"/>
      <c r="H53" s="357"/>
      <c r="I53" s="357"/>
      <c r="J53" s="357"/>
      <c r="K53" s="357"/>
      <c r="L53" s="357"/>
      <c r="M53" s="357"/>
      <c r="N53" s="357"/>
      <c r="O53" s="14" t="s">
        <v>137</v>
      </c>
      <c r="P53" s="58" t="s">
        <v>359</v>
      </c>
    </row>
    <row r="54" spans="1:16" ht="20.149999999999999" hidden="1" customHeight="1" x14ac:dyDescent="0.35">
      <c r="A54" s="358" t="s">
        <v>214</v>
      </c>
      <c r="B54" s="493" t="s">
        <v>752</v>
      </c>
      <c r="C54" s="493"/>
      <c r="D54" s="493"/>
      <c r="E54" s="493"/>
      <c r="F54" s="493"/>
      <c r="G54" s="493"/>
      <c r="H54" s="493"/>
      <c r="I54" s="493"/>
      <c r="J54" s="493"/>
      <c r="K54" s="493"/>
      <c r="L54" s="493"/>
      <c r="M54" s="493"/>
      <c r="N54" s="493"/>
      <c r="O54" s="1" t="s">
        <v>198</v>
      </c>
      <c r="P54" s="58" t="s">
        <v>359</v>
      </c>
    </row>
    <row r="55" spans="1:16" ht="20.149999999999999" hidden="1" customHeight="1" x14ac:dyDescent="0.35">
      <c r="A55" s="358" t="s">
        <v>215</v>
      </c>
      <c r="B55" s="493" t="s">
        <v>2342</v>
      </c>
      <c r="C55" s="493"/>
      <c r="D55" s="493"/>
      <c r="E55" s="493"/>
      <c r="F55" s="493"/>
      <c r="G55" s="493"/>
      <c r="H55" s="493"/>
      <c r="I55" s="493"/>
      <c r="J55" s="493"/>
      <c r="K55" s="493"/>
      <c r="L55" s="493"/>
      <c r="M55" s="493"/>
      <c r="N55" s="493"/>
      <c r="O55" s="1" t="s">
        <v>252</v>
      </c>
      <c r="P55" s="58" t="s">
        <v>359</v>
      </c>
    </row>
    <row r="56" spans="1:16" ht="20.149999999999999" hidden="1" customHeight="1" x14ac:dyDescent="0.35">
      <c r="A56" s="358" t="s">
        <v>216</v>
      </c>
      <c r="B56" s="493" t="s">
        <v>784</v>
      </c>
      <c r="C56" s="493"/>
      <c r="D56" s="493"/>
      <c r="E56" s="493"/>
      <c r="F56" s="493"/>
      <c r="G56" s="493"/>
      <c r="H56" s="493"/>
      <c r="I56" s="493"/>
      <c r="J56" s="493"/>
      <c r="K56" s="493"/>
      <c r="L56" s="493"/>
      <c r="M56" s="493"/>
      <c r="N56" s="493"/>
      <c r="O56" s="1" t="s">
        <v>138</v>
      </c>
      <c r="P56" s="58" t="s">
        <v>363</v>
      </c>
    </row>
    <row r="57" spans="1:16" ht="20.149999999999999" hidden="1" customHeight="1" x14ac:dyDescent="0.35">
      <c r="A57" s="358" t="s">
        <v>217</v>
      </c>
      <c r="B57" s="493" t="s">
        <v>2273</v>
      </c>
      <c r="C57" s="493"/>
      <c r="D57" s="493"/>
      <c r="E57" s="493"/>
      <c r="F57" s="493"/>
      <c r="G57" s="493"/>
      <c r="H57" s="493"/>
      <c r="I57" s="493"/>
      <c r="J57" s="493"/>
      <c r="K57" s="493"/>
      <c r="L57" s="493"/>
      <c r="M57" s="493"/>
      <c r="N57" s="493"/>
      <c r="O57" s="1" t="s">
        <v>138</v>
      </c>
      <c r="P57" s="58" t="s">
        <v>363</v>
      </c>
    </row>
    <row r="58" spans="1:16" ht="20.149999999999999" hidden="1" customHeight="1" x14ac:dyDescent="0.35">
      <c r="A58" s="358" t="s">
        <v>218</v>
      </c>
      <c r="B58" s="493" t="s">
        <v>785</v>
      </c>
      <c r="C58" s="493"/>
      <c r="D58" s="493"/>
      <c r="E58" s="493"/>
      <c r="F58" s="493"/>
      <c r="G58" s="493"/>
      <c r="H58" s="493"/>
      <c r="I58" s="493"/>
      <c r="J58" s="493"/>
      <c r="K58" s="493"/>
      <c r="L58" s="493"/>
      <c r="M58" s="493"/>
      <c r="N58" s="493"/>
      <c r="O58" s="1" t="s">
        <v>138</v>
      </c>
      <c r="P58" s="58" t="s">
        <v>363</v>
      </c>
    </row>
    <row r="59" spans="1:16" ht="20.149999999999999" hidden="1" customHeight="1" x14ac:dyDescent="0.35">
      <c r="A59" s="358" t="s">
        <v>219</v>
      </c>
      <c r="B59" s="493" t="s">
        <v>512</v>
      </c>
      <c r="C59" s="493"/>
      <c r="D59" s="493"/>
      <c r="E59" s="493"/>
      <c r="F59" s="493"/>
      <c r="G59" s="493"/>
      <c r="H59" s="493"/>
      <c r="I59" s="493"/>
      <c r="J59" s="493"/>
      <c r="K59" s="493"/>
      <c r="L59" s="493"/>
      <c r="M59" s="493"/>
      <c r="N59" s="493"/>
      <c r="O59" s="1" t="s">
        <v>138</v>
      </c>
      <c r="P59" s="58" t="s">
        <v>363</v>
      </c>
    </row>
    <row r="60" spans="1:16" ht="20.149999999999999" hidden="1" customHeight="1" x14ac:dyDescent="0.35">
      <c r="A60" s="358" t="s">
        <v>220</v>
      </c>
      <c r="B60" s="498" t="s">
        <v>881</v>
      </c>
      <c r="C60" s="498"/>
      <c r="D60" s="498"/>
      <c r="E60" s="498"/>
      <c r="F60" s="498"/>
      <c r="G60" s="498"/>
      <c r="H60" s="498"/>
      <c r="I60" s="498"/>
      <c r="J60" s="498"/>
      <c r="K60" s="498"/>
      <c r="L60" s="498"/>
      <c r="M60" s="498"/>
      <c r="N60" s="498"/>
      <c r="O60" s="13" t="s">
        <v>189</v>
      </c>
      <c r="P60" s="58" t="s">
        <v>363</v>
      </c>
    </row>
    <row r="61" spans="1:16" ht="20.149999999999999" hidden="1" customHeight="1" x14ac:dyDescent="0.35">
      <c r="A61" s="358" t="s">
        <v>221</v>
      </c>
      <c r="B61" s="498" t="s">
        <v>2183</v>
      </c>
      <c r="C61" s="498"/>
      <c r="D61" s="498"/>
      <c r="E61" s="498"/>
      <c r="F61" s="498"/>
      <c r="G61" s="498"/>
      <c r="H61" s="498"/>
      <c r="I61" s="498"/>
      <c r="J61" s="498"/>
      <c r="K61" s="498"/>
      <c r="L61" s="498"/>
      <c r="M61" s="498"/>
      <c r="N61" s="498"/>
      <c r="O61" s="12" t="s">
        <v>189</v>
      </c>
      <c r="P61" s="58" t="s">
        <v>363</v>
      </c>
    </row>
    <row r="62" spans="1:16" ht="20.149999999999999" hidden="1" customHeight="1" x14ac:dyDescent="0.35">
      <c r="A62" s="358" t="s">
        <v>222</v>
      </c>
      <c r="B62" s="493" t="s">
        <v>194</v>
      </c>
      <c r="C62" s="493"/>
      <c r="D62" s="493"/>
      <c r="E62" s="493"/>
      <c r="F62" s="493"/>
      <c r="G62" s="493"/>
      <c r="H62" s="493"/>
      <c r="I62" s="493"/>
      <c r="J62" s="493"/>
      <c r="K62" s="493"/>
      <c r="L62" s="493"/>
      <c r="M62" s="493"/>
      <c r="N62" s="493"/>
      <c r="O62" s="1" t="s">
        <v>252</v>
      </c>
      <c r="P62" s="58" t="s">
        <v>363</v>
      </c>
    </row>
    <row r="63" spans="1:16" ht="20.149999999999999" hidden="1" customHeight="1" x14ac:dyDescent="0.35">
      <c r="A63" s="358" t="s">
        <v>223</v>
      </c>
      <c r="B63" s="493" t="s">
        <v>919</v>
      </c>
      <c r="C63" s="493"/>
      <c r="D63" s="493"/>
      <c r="E63" s="493"/>
      <c r="F63" s="493"/>
      <c r="G63" s="493"/>
      <c r="H63" s="493"/>
      <c r="I63" s="493"/>
      <c r="J63" s="493"/>
      <c r="K63" s="493"/>
      <c r="L63" s="493"/>
      <c r="M63" s="493"/>
      <c r="N63" s="493"/>
      <c r="O63" s="1" t="s">
        <v>198</v>
      </c>
      <c r="P63" s="58" t="s">
        <v>363</v>
      </c>
    </row>
    <row r="64" spans="1:16" ht="20.149999999999999" hidden="1" customHeight="1" x14ac:dyDescent="0.35">
      <c r="A64" s="358" t="s">
        <v>224</v>
      </c>
      <c r="B64" s="493" t="s">
        <v>197</v>
      </c>
      <c r="C64" s="493"/>
      <c r="D64" s="493"/>
      <c r="E64" s="493"/>
      <c r="F64" s="493"/>
      <c r="G64" s="493"/>
      <c r="H64" s="493"/>
      <c r="I64" s="493"/>
      <c r="J64" s="493"/>
      <c r="K64" s="493"/>
      <c r="L64" s="493"/>
      <c r="M64" s="493"/>
      <c r="N64" s="493"/>
      <c r="O64" s="1" t="s">
        <v>252</v>
      </c>
      <c r="P64" s="58" t="s">
        <v>363</v>
      </c>
    </row>
    <row r="65" spans="1:16" ht="20.149999999999999" hidden="1" customHeight="1" x14ac:dyDescent="0.35">
      <c r="A65" s="358" t="s">
        <v>225</v>
      </c>
      <c r="B65" s="493" t="s">
        <v>196</v>
      </c>
      <c r="C65" s="493"/>
      <c r="D65" s="493"/>
      <c r="E65" s="493"/>
      <c r="F65" s="493"/>
      <c r="G65" s="493"/>
      <c r="H65" s="493"/>
      <c r="I65" s="493"/>
      <c r="J65" s="493"/>
      <c r="K65" s="493"/>
      <c r="L65" s="493"/>
      <c r="M65" s="493"/>
      <c r="N65" s="493"/>
      <c r="O65" s="1" t="s">
        <v>252</v>
      </c>
      <c r="P65" s="58" t="s">
        <v>363</v>
      </c>
    </row>
    <row r="66" spans="1:16" ht="20.149999999999999" hidden="1" customHeight="1" x14ac:dyDescent="0.35">
      <c r="A66" s="358" t="s">
        <v>226</v>
      </c>
      <c r="B66" s="493" t="s">
        <v>1343</v>
      </c>
      <c r="C66" s="493"/>
      <c r="D66" s="493"/>
      <c r="E66" s="493"/>
      <c r="F66" s="493"/>
      <c r="G66" s="493"/>
      <c r="H66" s="493"/>
      <c r="I66" s="493"/>
      <c r="J66" s="493"/>
      <c r="K66" s="493"/>
      <c r="L66" s="493"/>
      <c r="M66" s="493"/>
      <c r="N66" s="493"/>
      <c r="O66" s="1" t="s">
        <v>252</v>
      </c>
      <c r="P66" s="58" t="s">
        <v>363</v>
      </c>
    </row>
    <row r="67" spans="1:16" ht="20.149999999999999" hidden="1" customHeight="1" x14ac:dyDescent="0.35">
      <c r="A67" s="358" t="s">
        <v>227</v>
      </c>
      <c r="B67" s="493" t="s">
        <v>2264</v>
      </c>
      <c r="C67" s="493"/>
      <c r="D67" s="493"/>
      <c r="E67" s="493"/>
      <c r="F67" s="493"/>
      <c r="G67" s="493"/>
      <c r="H67" s="493"/>
      <c r="I67" s="493"/>
      <c r="J67" s="493"/>
      <c r="K67" s="493"/>
      <c r="L67" s="493"/>
      <c r="M67" s="493"/>
      <c r="N67" s="493"/>
      <c r="O67" s="1" t="s">
        <v>253</v>
      </c>
      <c r="P67" s="58" t="s">
        <v>361</v>
      </c>
    </row>
    <row r="68" spans="1:16" ht="20.149999999999999" hidden="1" customHeight="1" x14ac:dyDescent="0.35">
      <c r="A68" s="358" t="s">
        <v>228</v>
      </c>
      <c r="B68" s="493" t="s">
        <v>2320</v>
      </c>
      <c r="C68" s="493"/>
      <c r="D68" s="493"/>
      <c r="E68" s="493"/>
      <c r="F68" s="493"/>
      <c r="G68" s="493"/>
      <c r="H68" s="493"/>
      <c r="I68" s="493"/>
      <c r="J68" s="493"/>
      <c r="K68" s="493"/>
      <c r="L68" s="493"/>
      <c r="M68" s="493"/>
      <c r="N68" s="493"/>
      <c r="O68" s="1" t="s">
        <v>252</v>
      </c>
      <c r="P68" s="58" t="s">
        <v>361</v>
      </c>
    </row>
    <row r="69" spans="1:16" ht="20.149999999999999" hidden="1" customHeight="1" x14ac:dyDescent="0.35">
      <c r="A69" s="358" t="s">
        <v>229</v>
      </c>
      <c r="B69" s="493" t="s">
        <v>1385</v>
      </c>
      <c r="C69" s="493"/>
      <c r="D69" s="493"/>
      <c r="E69" s="493"/>
      <c r="F69" s="493"/>
      <c r="G69" s="493"/>
      <c r="H69" s="493"/>
      <c r="I69" s="493"/>
      <c r="J69" s="493"/>
      <c r="K69" s="493"/>
      <c r="L69" s="493"/>
      <c r="M69" s="493"/>
      <c r="N69" s="493"/>
      <c r="O69" s="1" t="s">
        <v>252</v>
      </c>
      <c r="P69" s="58" t="s">
        <v>361</v>
      </c>
    </row>
    <row r="70" spans="1:16" ht="20.149999999999999" hidden="1" customHeight="1" x14ac:dyDescent="0.35">
      <c r="A70" s="358" t="s">
        <v>230</v>
      </c>
      <c r="B70" s="493" t="s">
        <v>690</v>
      </c>
      <c r="C70" s="493"/>
      <c r="D70" s="493"/>
      <c r="E70" s="493"/>
      <c r="F70" s="493"/>
      <c r="G70" s="493"/>
      <c r="H70" s="493"/>
      <c r="I70" s="493"/>
      <c r="J70" s="493"/>
      <c r="K70" s="493"/>
      <c r="L70" s="493"/>
      <c r="M70" s="493"/>
      <c r="N70" s="493"/>
      <c r="O70" s="1" t="s">
        <v>252</v>
      </c>
      <c r="P70" s="58" t="s">
        <v>361</v>
      </c>
    </row>
    <row r="71" spans="1:16" ht="20.149999999999999" hidden="1" customHeight="1" x14ac:dyDescent="0.35">
      <c r="A71" s="358" t="s">
        <v>231</v>
      </c>
      <c r="B71" s="493" t="s">
        <v>261</v>
      </c>
      <c r="C71" s="493"/>
      <c r="D71" s="493"/>
      <c r="E71" s="493"/>
      <c r="F71" s="493"/>
      <c r="G71" s="493"/>
      <c r="H71" s="493"/>
      <c r="I71" s="493"/>
      <c r="J71" s="493"/>
      <c r="K71" s="493"/>
      <c r="L71" s="493"/>
      <c r="M71" s="493"/>
      <c r="N71" s="493"/>
      <c r="O71" s="1" t="s">
        <v>252</v>
      </c>
      <c r="P71" s="58" t="s">
        <v>361</v>
      </c>
    </row>
    <row r="72" spans="1:16" ht="20.149999999999999" hidden="1" customHeight="1" x14ac:dyDescent="0.35">
      <c r="A72" s="358" t="s">
        <v>232</v>
      </c>
      <c r="B72" s="501" t="s">
        <v>647</v>
      </c>
      <c r="C72" s="501"/>
      <c r="D72" s="501"/>
      <c r="E72" s="501"/>
      <c r="F72" s="501"/>
      <c r="G72" s="501"/>
      <c r="H72" s="501"/>
      <c r="I72" s="501"/>
      <c r="J72" s="501"/>
      <c r="K72" s="501"/>
      <c r="L72" s="501"/>
      <c r="M72" s="501"/>
      <c r="N72" s="501"/>
      <c r="O72" s="1" t="s">
        <v>252</v>
      </c>
      <c r="P72" s="58" t="s">
        <v>361</v>
      </c>
    </row>
    <row r="73" spans="1:16" ht="20.149999999999999" hidden="1" customHeight="1" x14ac:dyDescent="0.35">
      <c r="A73" s="72" t="s">
        <v>233</v>
      </c>
      <c r="B73" s="493" t="s">
        <v>749</v>
      </c>
      <c r="C73" s="493"/>
      <c r="D73" s="493"/>
      <c r="E73" s="493"/>
      <c r="F73" s="493"/>
      <c r="G73" s="493"/>
      <c r="H73" s="493"/>
      <c r="I73" s="493"/>
      <c r="J73" s="493"/>
      <c r="K73" s="493"/>
      <c r="L73" s="493"/>
      <c r="M73" s="493"/>
      <c r="N73" s="493"/>
      <c r="O73" s="14"/>
      <c r="P73" s="58"/>
    </row>
    <row r="74" spans="1:16" ht="20.149999999999999" hidden="1" customHeight="1" x14ac:dyDescent="0.35">
      <c r="A74" s="358" t="s">
        <v>234</v>
      </c>
      <c r="B74" s="498" t="s">
        <v>1899</v>
      </c>
      <c r="C74" s="498"/>
      <c r="D74" s="498"/>
      <c r="E74" s="498"/>
      <c r="F74" s="498"/>
      <c r="G74" s="498"/>
      <c r="H74" s="498"/>
      <c r="I74" s="498"/>
      <c r="J74" s="498"/>
      <c r="K74" s="498"/>
      <c r="L74" s="498"/>
      <c r="M74" s="498"/>
      <c r="N74" s="498"/>
      <c r="O74" s="12" t="s">
        <v>189</v>
      </c>
      <c r="P74" s="58" t="s">
        <v>361</v>
      </c>
    </row>
    <row r="75" spans="1:16" ht="20.149999999999999" hidden="1" customHeight="1" x14ac:dyDescent="0.35">
      <c r="A75" s="358" t="s">
        <v>235</v>
      </c>
      <c r="B75" s="498" t="s">
        <v>191</v>
      </c>
      <c r="C75" s="498"/>
      <c r="D75" s="498"/>
      <c r="E75" s="498"/>
      <c r="F75" s="498"/>
      <c r="G75" s="498"/>
      <c r="H75" s="498"/>
      <c r="I75" s="498"/>
      <c r="J75" s="498"/>
      <c r="K75" s="498"/>
      <c r="L75" s="498"/>
      <c r="M75" s="498"/>
      <c r="N75" s="498"/>
      <c r="O75" s="12" t="s">
        <v>189</v>
      </c>
      <c r="P75" s="58" t="s">
        <v>361</v>
      </c>
    </row>
    <row r="76" spans="1:16" ht="20.149999999999999" hidden="1" customHeight="1" x14ac:dyDescent="0.35">
      <c r="A76" s="358" t="s">
        <v>236</v>
      </c>
      <c r="B76" s="493" t="s">
        <v>2247</v>
      </c>
      <c r="C76" s="493"/>
      <c r="D76" s="493"/>
      <c r="E76" s="493"/>
      <c r="F76" s="493"/>
      <c r="G76" s="493"/>
      <c r="H76" s="493"/>
      <c r="I76" s="493"/>
      <c r="J76" s="493"/>
      <c r="K76" s="493"/>
      <c r="L76" s="493"/>
      <c r="M76" s="493"/>
      <c r="N76" s="493"/>
      <c r="O76" s="1" t="s">
        <v>138</v>
      </c>
      <c r="P76" s="58" t="s">
        <v>361</v>
      </c>
    </row>
    <row r="77" spans="1:16" ht="20.149999999999999" hidden="1" customHeight="1" x14ac:dyDescent="0.35">
      <c r="A77" s="358" t="s">
        <v>239</v>
      </c>
      <c r="B77" s="493" t="s">
        <v>786</v>
      </c>
      <c r="C77" s="493"/>
      <c r="D77" s="493"/>
      <c r="E77" s="493"/>
      <c r="F77" s="493"/>
      <c r="G77" s="493"/>
      <c r="H77" s="493"/>
      <c r="I77" s="493"/>
      <c r="J77" s="493"/>
      <c r="K77" s="493"/>
      <c r="L77" s="493"/>
      <c r="M77" s="493"/>
      <c r="N77" s="493"/>
      <c r="O77" s="1" t="s">
        <v>138</v>
      </c>
      <c r="P77" s="58" t="s">
        <v>361</v>
      </c>
    </row>
    <row r="78" spans="1:16" ht="20.149999999999999" hidden="1" customHeight="1" x14ac:dyDescent="0.35">
      <c r="A78" s="358" t="s">
        <v>243</v>
      </c>
      <c r="B78" s="493" t="s">
        <v>787</v>
      </c>
      <c r="C78" s="493"/>
      <c r="D78" s="493"/>
      <c r="E78" s="493"/>
      <c r="F78" s="493"/>
      <c r="G78" s="493"/>
      <c r="H78" s="493"/>
      <c r="I78" s="493"/>
      <c r="J78" s="493"/>
      <c r="K78" s="493"/>
      <c r="L78" s="493"/>
      <c r="M78" s="493"/>
      <c r="N78" s="493"/>
      <c r="O78" s="1" t="s">
        <v>138</v>
      </c>
      <c r="P78" s="58" t="s">
        <v>361</v>
      </c>
    </row>
    <row r="79" spans="1:16" ht="20.149999999999999" hidden="1" customHeight="1" x14ac:dyDescent="0.35">
      <c r="A79" s="358" t="s">
        <v>246</v>
      </c>
      <c r="B79" s="493" t="s">
        <v>788</v>
      </c>
      <c r="C79" s="493"/>
      <c r="D79" s="493"/>
      <c r="E79" s="493"/>
      <c r="F79" s="493"/>
      <c r="G79" s="493"/>
      <c r="H79" s="493"/>
      <c r="I79" s="493"/>
      <c r="J79" s="493"/>
      <c r="K79" s="493"/>
      <c r="L79" s="493"/>
      <c r="M79" s="493"/>
      <c r="N79" s="493"/>
      <c r="O79" s="1" t="s">
        <v>138</v>
      </c>
      <c r="P79" s="58" t="s">
        <v>361</v>
      </c>
    </row>
    <row r="80" spans="1:16" ht="20.149999999999999" hidden="1" customHeight="1" x14ac:dyDescent="0.35">
      <c r="A80" s="358" t="s">
        <v>250</v>
      </c>
      <c r="B80" s="495" t="s">
        <v>143</v>
      </c>
      <c r="C80" s="495"/>
      <c r="D80" s="495"/>
      <c r="E80" s="495"/>
      <c r="F80" s="495"/>
      <c r="G80" s="495"/>
      <c r="H80" s="495"/>
      <c r="I80" s="495"/>
      <c r="J80" s="495"/>
      <c r="K80" s="495"/>
      <c r="L80" s="495"/>
      <c r="M80" s="495"/>
      <c r="N80" s="495"/>
      <c r="O80" s="14" t="s">
        <v>137</v>
      </c>
      <c r="P80" s="58" t="s">
        <v>361</v>
      </c>
    </row>
    <row r="81" spans="1:16" ht="20.149999999999999" hidden="1" customHeight="1" x14ac:dyDescent="0.35">
      <c r="A81" s="358" t="s">
        <v>251</v>
      </c>
      <c r="B81" s="493" t="s">
        <v>2323</v>
      </c>
      <c r="C81" s="493"/>
      <c r="D81" s="493"/>
      <c r="E81" s="493"/>
      <c r="F81" s="493"/>
      <c r="G81" s="493"/>
      <c r="H81" s="493"/>
      <c r="I81" s="493"/>
      <c r="J81" s="493"/>
      <c r="K81" s="493"/>
      <c r="L81" s="493"/>
      <c r="M81" s="493"/>
      <c r="N81" s="493"/>
      <c r="O81" s="14" t="s">
        <v>137</v>
      </c>
      <c r="P81" s="58" t="s">
        <v>361</v>
      </c>
    </row>
    <row r="82" spans="1:16" ht="20.149999999999999" hidden="1" customHeight="1" x14ac:dyDescent="0.35">
      <c r="A82" s="358" t="s">
        <v>262</v>
      </c>
      <c r="B82" s="493" t="s">
        <v>2268</v>
      </c>
      <c r="C82" s="493"/>
      <c r="D82" s="493"/>
      <c r="E82" s="493"/>
      <c r="F82" s="493"/>
      <c r="G82" s="493"/>
      <c r="H82" s="493"/>
      <c r="I82" s="493"/>
      <c r="J82" s="493"/>
      <c r="K82" s="493"/>
      <c r="L82" s="493"/>
      <c r="M82" s="493"/>
      <c r="N82" s="493"/>
      <c r="O82" s="1" t="s">
        <v>138</v>
      </c>
      <c r="P82" s="58" t="s">
        <v>361</v>
      </c>
    </row>
    <row r="83" spans="1:16" ht="20.149999999999999" hidden="1" customHeight="1" x14ac:dyDescent="0.35">
      <c r="A83" s="358" t="s">
        <v>263</v>
      </c>
      <c r="B83" s="493" t="s">
        <v>2271</v>
      </c>
      <c r="C83" s="493"/>
      <c r="D83" s="493"/>
      <c r="E83" s="493"/>
      <c r="F83" s="493"/>
      <c r="G83" s="493"/>
      <c r="H83" s="493"/>
      <c r="I83" s="493"/>
      <c r="J83" s="493"/>
      <c r="K83" s="493"/>
      <c r="L83" s="493"/>
      <c r="M83" s="493"/>
      <c r="N83" s="493"/>
      <c r="O83" s="1" t="s">
        <v>138</v>
      </c>
      <c r="P83" s="58" t="s">
        <v>361</v>
      </c>
    </row>
    <row r="84" spans="1:16" ht="20.149999999999999" hidden="1" customHeight="1" x14ac:dyDescent="0.35">
      <c r="A84" s="358" t="s">
        <v>264</v>
      </c>
      <c r="B84" s="493" t="s">
        <v>568</v>
      </c>
      <c r="C84" s="493"/>
      <c r="D84" s="493"/>
      <c r="E84" s="493"/>
      <c r="F84" s="493"/>
      <c r="G84" s="493"/>
      <c r="H84" s="493"/>
      <c r="I84" s="493"/>
      <c r="J84" s="493"/>
      <c r="K84" s="493"/>
      <c r="L84" s="493"/>
      <c r="M84" s="493"/>
      <c r="N84" s="493"/>
      <c r="O84" s="1" t="s">
        <v>138</v>
      </c>
      <c r="P84" s="58" t="s">
        <v>361</v>
      </c>
    </row>
    <row r="85" spans="1:16" ht="20.149999999999999" hidden="1" customHeight="1" x14ac:dyDescent="0.35">
      <c r="A85" s="249" t="s">
        <v>265</v>
      </c>
      <c r="B85" s="493" t="s">
        <v>789</v>
      </c>
      <c r="C85" s="493"/>
      <c r="D85" s="493"/>
      <c r="E85" s="493"/>
      <c r="F85" s="493"/>
      <c r="G85" s="493"/>
      <c r="H85" s="493"/>
      <c r="I85" s="493"/>
      <c r="J85" s="493"/>
      <c r="K85" s="493"/>
      <c r="L85" s="493"/>
      <c r="M85" s="493"/>
      <c r="N85" s="493"/>
      <c r="O85" s="1" t="s">
        <v>138</v>
      </c>
      <c r="P85" s="6" t="s">
        <v>361</v>
      </c>
    </row>
    <row r="86" spans="1:16" ht="20.149999999999999" hidden="1" customHeight="1" x14ac:dyDescent="0.35">
      <c r="A86" s="249" t="s">
        <v>266</v>
      </c>
      <c r="B86" s="493" t="s">
        <v>790</v>
      </c>
      <c r="C86" s="493"/>
      <c r="D86" s="493"/>
      <c r="E86" s="493"/>
      <c r="F86" s="493"/>
      <c r="G86" s="493"/>
      <c r="H86" s="493"/>
      <c r="I86" s="493"/>
      <c r="J86" s="493"/>
      <c r="K86" s="493"/>
      <c r="L86" s="493"/>
      <c r="M86" s="493"/>
      <c r="N86" s="493"/>
      <c r="O86" s="1" t="s">
        <v>138</v>
      </c>
      <c r="P86" s="6" t="s">
        <v>361</v>
      </c>
    </row>
    <row r="87" spans="1:16" ht="20.149999999999999" hidden="1" customHeight="1" x14ac:dyDescent="0.35">
      <c r="A87" s="126" t="s">
        <v>364</v>
      </c>
      <c r="B87" s="493" t="s">
        <v>774</v>
      </c>
      <c r="C87" s="493"/>
      <c r="D87" s="493"/>
      <c r="E87" s="493"/>
      <c r="F87" s="493"/>
      <c r="G87" s="493"/>
      <c r="H87" s="493"/>
      <c r="I87" s="493"/>
      <c r="J87" s="493"/>
      <c r="K87" s="493"/>
      <c r="L87" s="493"/>
      <c r="M87" s="493"/>
      <c r="N87" s="493"/>
      <c r="O87" s="1" t="s">
        <v>252</v>
      </c>
      <c r="P87" s="58" t="s">
        <v>36</v>
      </c>
    </row>
    <row r="88" spans="1:16" ht="20.149999999999999" hidden="1" customHeight="1" x14ac:dyDescent="0.35">
      <c r="A88" s="358" t="s">
        <v>365</v>
      </c>
      <c r="B88" s="493" t="s">
        <v>1000</v>
      </c>
      <c r="C88" s="493"/>
      <c r="D88" s="493"/>
      <c r="E88" s="493"/>
      <c r="F88" s="493"/>
      <c r="G88" s="493"/>
      <c r="H88" s="493"/>
      <c r="I88" s="493"/>
      <c r="J88" s="493"/>
      <c r="K88" s="493"/>
      <c r="L88" s="493"/>
      <c r="M88" s="493"/>
      <c r="N88" s="493"/>
      <c r="O88" s="3"/>
      <c r="P88" s="58" t="s">
        <v>36</v>
      </c>
    </row>
    <row r="89" spans="1:16" ht="20.149999999999999" hidden="1" customHeight="1" x14ac:dyDescent="0.35">
      <c r="A89" s="358" t="s">
        <v>366</v>
      </c>
      <c r="B89" s="493" t="s">
        <v>1359</v>
      </c>
      <c r="C89" s="493"/>
      <c r="D89" s="493"/>
      <c r="E89" s="493"/>
      <c r="F89" s="493"/>
      <c r="G89" s="493"/>
      <c r="H89" s="493"/>
      <c r="I89" s="493"/>
      <c r="J89" s="493"/>
      <c r="K89" s="493"/>
      <c r="L89" s="493"/>
      <c r="M89" s="493"/>
      <c r="N89" s="493"/>
      <c r="O89" s="1" t="s">
        <v>252</v>
      </c>
      <c r="P89" s="58" t="s">
        <v>36</v>
      </c>
    </row>
    <row r="90" spans="1:16" ht="20.149999999999999" hidden="1" customHeight="1" x14ac:dyDescent="0.35">
      <c r="A90" s="116" t="s">
        <v>637</v>
      </c>
      <c r="B90" s="493" t="s">
        <v>640</v>
      </c>
      <c r="C90" s="493"/>
      <c r="D90" s="493"/>
      <c r="E90" s="493"/>
      <c r="F90" s="493"/>
      <c r="G90" s="493"/>
      <c r="H90" s="493"/>
      <c r="I90" s="493"/>
      <c r="J90" s="493"/>
      <c r="K90" s="493"/>
      <c r="L90" s="493"/>
      <c r="M90" s="493"/>
      <c r="N90" s="493"/>
      <c r="O90" s="1" t="s">
        <v>252</v>
      </c>
      <c r="P90" s="58" t="s">
        <v>36</v>
      </c>
    </row>
    <row r="91" spans="1:16" ht="20.149999999999999" hidden="1" customHeight="1" x14ac:dyDescent="0.35">
      <c r="A91" s="358" t="s">
        <v>652</v>
      </c>
      <c r="B91" s="495" t="s">
        <v>1864</v>
      </c>
      <c r="C91" s="495"/>
      <c r="D91" s="495"/>
      <c r="E91" s="495"/>
      <c r="F91" s="495"/>
      <c r="G91" s="495"/>
      <c r="H91" s="495"/>
      <c r="I91" s="495"/>
      <c r="J91" s="495"/>
      <c r="K91" s="495"/>
      <c r="L91" s="495"/>
      <c r="M91" s="495"/>
      <c r="N91" s="495"/>
      <c r="O91" s="14" t="s">
        <v>137</v>
      </c>
      <c r="P91" s="58" t="s">
        <v>361</v>
      </c>
    </row>
    <row r="92" spans="1:16" ht="20.149999999999999" hidden="1" customHeight="1" x14ac:dyDescent="0.35">
      <c r="A92" s="358" t="s">
        <v>653</v>
      </c>
      <c r="B92" s="495" t="s">
        <v>654</v>
      </c>
      <c r="C92" s="495"/>
      <c r="D92" s="495"/>
      <c r="E92" s="495"/>
      <c r="F92" s="495"/>
      <c r="G92" s="495"/>
      <c r="H92" s="495"/>
      <c r="I92" s="495"/>
      <c r="J92" s="495"/>
      <c r="K92" s="495"/>
      <c r="L92" s="495"/>
      <c r="M92" s="495"/>
      <c r="N92" s="495"/>
      <c r="O92" s="14" t="s">
        <v>137</v>
      </c>
      <c r="P92" s="58"/>
    </row>
    <row r="93" spans="1:16" ht="20.149999999999999" hidden="1" customHeight="1" x14ac:dyDescent="0.35">
      <c r="A93" s="116" t="s">
        <v>687</v>
      </c>
      <c r="B93" s="501" t="s">
        <v>2353</v>
      </c>
      <c r="C93" s="501"/>
      <c r="D93" s="501"/>
      <c r="E93" s="501"/>
      <c r="F93" s="501"/>
      <c r="G93" s="501"/>
      <c r="H93" s="501"/>
      <c r="I93" s="501"/>
      <c r="J93" s="501"/>
      <c r="K93" s="501"/>
      <c r="L93" s="501"/>
      <c r="M93" s="501"/>
      <c r="N93" s="501"/>
      <c r="O93" s="14"/>
      <c r="P93" s="6"/>
    </row>
    <row r="94" spans="1:16" ht="20.149999999999999" hidden="1" customHeight="1" x14ac:dyDescent="0.35">
      <c r="A94" s="358" t="s">
        <v>691</v>
      </c>
      <c r="B94" s="501" t="s">
        <v>1363</v>
      </c>
      <c r="C94" s="501"/>
      <c r="D94" s="501"/>
      <c r="E94" s="501"/>
      <c r="F94" s="501"/>
      <c r="G94" s="501"/>
      <c r="H94" s="501"/>
      <c r="I94" s="501"/>
      <c r="J94" s="501"/>
      <c r="K94" s="501"/>
      <c r="L94" s="501"/>
      <c r="M94" s="501"/>
      <c r="N94" s="501"/>
      <c r="O94" s="14"/>
      <c r="P94" s="6"/>
    </row>
    <row r="95" spans="1:16" ht="20.149999999999999" hidden="1" customHeight="1" x14ac:dyDescent="0.35">
      <c r="A95" s="116" t="s">
        <v>696</v>
      </c>
      <c r="B95" s="493" t="s">
        <v>701</v>
      </c>
      <c r="C95" s="493"/>
      <c r="D95" s="493"/>
      <c r="E95" s="493"/>
      <c r="F95" s="493"/>
      <c r="G95" s="493"/>
      <c r="H95" s="493"/>
      <c r="I95" s="493"/>
      <c r="J95" s="493"/>
      <c r="K95" s="493"/>
      <c r="L95" s="493"/>
      <c r="M95" s="493"/>
      <c r="N95" s="493"/>
      <c r="O95" s="14"/>
      <c r="P95" s="6"/>
    </row>
    <row r="96" spans="1:16" ht="20.149999999999999" hidden="1" customHeight="1" x14ac:dyDescent="0.35">
      <c r="A96" s="358" t="s">
        <v>717</v>
      </c>
      <c r="B96" s="493" t="s">
        <v>905</v>
      </c>
      <c r="C96" s="493"/>
      <c r="D96" s="493"/>
      <c r="E96" s="493"/>
      <c r="F96" s="493"/>
      <c r="G96" s="493"/>
      <c r="H96" s="493"/>
      <c r="I96" s="493"/>
      <c r="J96" s="493"/>
      <c r="K96" s="493"/>
      <c r="L96" s="493"/>
      <c r="M96" s="493"/>
      <c r="N96" s="493"/>
      <c r="O96" s="14"/>
      <c r="P96" s="6"/>
    </row>
    <row r="97" spans="1:16" ht="20.149999999999999" hidden="1" customHeight="1" x14ac:dyDescent="0.35">
      <c r="A97" s="116" t="s">
        <v>722</v>
      </c>
      <c r="B97" s="493" t="s">
        <v>721</v>
      </c>
      <c r="C97" s="493"/>
      <c r="D97" s="493"/>
      <c r="E97" s="493"/>
      <c r="F97" s="493"/>
      <c r="G97" s="493"/>
      <c r="H97" s="493"/>
      <c r="I97" s="493"/>
      <c r="J97" s="493"/>
      <c r="K97" s="493"/>
      <c r="L97" s="493"/>
      <c r="M97" s="493"/>
      <c r="N97" s="493"/>
      <c r="O97" s="14"/>
      <c r="P97" s="6"/>
    </row>
    <row r="98" spans="1:16" ht="20.149999999999999" hidden="1" customHeight="1" x14ac:dyDescent="0.35">
      <c r="A98" s="358" t="s">
        <v>729</v>
      </c>
      <c r="B98" s="501" t="s">
        <v>757</v>
      </c>
      <c r="C98" s="501"/>
      <c r="D98" s="501"/>
      <c r="E98" s="501"/>
      <c r="F98" s="501"/>
      <c r="G98" s="501"/>
      <c r="H98" s="501"/>
      <c r="I98" s="501"/>
      <c r="J98" s="501"/>
      <c r="K98" s="501"/>
      <c r="L98" s="501"/>
      <c r="M98" s="501"/>
      <c r="N98" s="501"/>
      <c r="O98" s="14"/>
      <c r="P98" s="6"/>
    </row>
    <row r="99" spans="1:16" ht="20.149999999999999" hidden="1" customHeight="1" x14ac:dyDescent="0.35">
      <c r="A99" s="358" t="s">
        <v>731</v>
      </c>
      <c r="B99" s="501" t="s">
        <v>1903</v>
      </c>
      <c r="C99" s="501"/>
      <c r="D99" s="501"/>
      <c r="E99" s="501"/>
      <c r="F99" s="501"/>
      <c r="G99" s="501"/>
      <c r="H99" s="501"/>
      <c r="I99" s="501"/>
      <c r="J99" s="501"/>
      <c r="K99" s="501"/>
      <c r="L99" s="501"/>
      <c r="M99" s="501"/>
      <c r="N99" s="501"/>
      <c r="O99" s="14"/>
      <c r="P99" s="6"/>
    </row>
    <row r="100" spans="1:16" ht="20.149999999999999" hidden="1" customHeight="1" x14ac:dyDescent="0.35">
      <c r="A100" s="358" t="s">
        <v>742</v>
      </c>
      <c r="B100" s="493" t="s">
        <v>741</v>
      </c>
      <c r="C100" s="493"/>
      <c r="D100" s="493"/>
      <c r="E100" s="493"/>
      <c r="F100" s="493"/>
      <c r="G100" s="493"/>
      <c r="H100" s="493"/>
      <c r="I100" s="493"/>
      <c r="J100" s="493"/>
      <c r="K100" s="493"/>
      <c r="L100" s="493"/>
      <c r="M100" s="493"/>
      <c r="N100" s="493"/>
      <c r="O100" s="1" t="s">
        <v>138</v>
      </c>
      <c r="P100" s="58" t="s">
        <v>359</v>
      </c>
    </row>
    <row r="101" spans="1:16" ht="20.149999999999999" hidden="1" customHeight="1" x14ac:dyDescent="0.35">
      <c r="A101" s="116" t="s">
        <v>756</v>
      </c>
      <c r="B101" s="500" t="s">
        <v>758</v>
      </c>
      <c r="C101" s="500"/>
      <c r="D101" s="500"/>
      <c r="E101" s="500"/>
      <c r="F101" s="500"/>
      <c r="G101" s="500"/>
      <c r="H101" s="500"/>
      <c r="I101" s="500"/>
      <c r="J101" s="500"/>
      <c r="K101" s="500"/>
      <c r="L101" s="500"/>
      <c r="M101" s="500"/>
      <c r="N101" s="500"/>
      <c r="O101" s="1"/>
      <c r="P101" s="6"/>
    </row>
    <row r="102" spans="1:16" ht="20.149999999999999" hidden="1" customHeight="1" x14ac:dyDescent="0.35">
      <c r="A102" s="1" t="s">
        <v>759</v>
      </c>
      <c r="B102" s="500" t="s">
        <v>760</v>
      </c>
      <c r="C102" s="500"/>
      <c r="D102" s="500"/>
      <c r="E102" s="500"/>
      <c r="F102" s="500"/>
      <c r="G102" s="500"/>
      <c r="H102" s="500"/>
      <c r="I102" s="500"/>
      <c r="J102" s="500"/>
      <c r="K102" s="500"/>
      <c r="L102" s="500"/>
      <c r="M102" s="500"/>
      <c r="N102" s="500"/>
      <c r="O102" s="1"/>
      <c r="P102" s="6"/>
    </row>
    <row r="103" spans="1:16" ht="20.149999999999999" hidden="1" customHeight="1" x14ac:dyDescent="0.35">
      <c r="A103" s="116" t="s">
        <v>765</v>
      </c>
      <c r="B103" s="500" t="s">
        <v>1346</v>
      </c>
      <c r="C103" s="500"/>
      <c r="D103" s="500"/>
      <c r="E103" s="500"/>
      <c r="F103" s="500"/>
      <c r="G103" s="500"/>
      <c r="H103" s="500"/>
      <c r="I103" s="500"/>
      <c r="J103" s="500"/>
      <c r="K103" s="500"/>
      <c r="L103" s="500"/>
      <c r="M103" s="500"/>
      <c r="N103" s="500"/>
      <c r="O103" s="1"/>
      <c r="P103" s="6"/>
    </row>
    <row r="104" spans="1:16" ht="20.149999999999999" hidden="1" customHeight="1" x14ac:dyDescent="0.35">
      <c r="A104" s="116" t="s">
        <v>791</v>
      </c>
      <c r="B104" s="493" t="s">
        <v>792</v>
      </c>
      <c r="C104" s="493"/>
      <c r="D104" s="493"/>
      <c r="E104" s="493"/>
      <c r="F104" s="493"/>
      <c r="G104" s="493"/>
      <c r="H104" s="493"/>
      <c r="I104" s="493"/>
      <c r="J104" s="493"/>
      <c r="K104" s="493"/>
      <c r="L104" s="493"/>
      <c r="M104" s="493"/>
      <c r="N104" s="493"/>
      <c r="O104" s="1"/>
      <c r="P104" s="6"/>
    </row>
    <row r="105" spans="1:16" ht="20.149999999999999" hidden="1" customHeight="1" x14ac:dyDescent="0.35">
      <c r="A105" s="358" t="s">
        <v>795</v>
      </c>
      <c r="B105" s="493" t="s">
        <v>793</v>
      </c>
      <c r="C105" s="493"/>
      <c r="D105" s="493"/>
      <c r="E105" s="493"/>
      <c r="F105" s="493"/>
      <c r="G105" s="493"/>
      <c r="H105" s="493"/>
      <c r="I105" s="493"/>
      <c r="J105" s="493"/>
      <c r="K105" s="493"/>
      <c r="L105" s="493"/>
      <c r="M105" s="493"/>
      <c r="N105" s="493"/>
      <c r="O105" s="1"/>
      <c r="P105" s="6"/>
    </row>
    <row r="106" spans="1:16" ht="20.149999999999999" hidden="1" customHeight="1" x14ac:dyDescent="0.35">
      <c r="A106" s="116" t="s">
        <v>798</v>
      </c>
      <c r="B106" s="493" t="s">
        <v>794</v>
      </c>
      <c r="C106" s="493"/>
      <c r="D106" s="493"/>
      <c r="E106" s="493"/>
      <c r="F106" s="493"/>
      <c r="G106" s="493"/>
      <c r="H106" s="493"/>
      <c r="I106" s="493"/>
      <c r="J106" s="493"/>
      <c r="K106" s="493"/>
      <c r="L106" s="493"/>
      <c r="M106" s="493"/>
      <c r="N106" s="493"/>
      <c r="O106" s="1"/>
      <c r="P106" s="6"/>
    </row>
    <row r="107" spans="1:16" ht="20.149999999999999" hidden="1" customHeight="1" x14ac:dyDescent="0.35">
      <c r="A107" s="116" t="s">
        <v>797</v>
      </c>
      <c r="B107" s="493" t="s">
        <v>796</v>
      </c>
      <c r="C107" s="493"/>
      <c r="D107" s="493"/>
      <c r="E107" s="493"/>
      <c r="F107" s="493"/>
      <c r="G107" s="493"/>
      <c r="H107" s="493"/>
      <c r="I107" s="493"/>
      <c r="J107" s="493"/>
      <c r="K107" s="493"/>
      <c r="L107" s="493"/>
      <c r="M107" s="493"/>
      <c r="N107" s="493"/>
      <c r="O107" s="1">
        <v>83398831</v>
      </c>
      <c r="P107" s="6"/>
    </row>
    <row r="108" spans="1:16" ht="20.149999999999999" hidden="1" customHeight="1" x14ac:dyDescent="0.35">
      <c r="A108" s="1" t="s">
        <v>805</v>
      </c>
      <c r="B108" s="497" t="s">
        <v>811</v>
      </c>
      <c r="C108" s="497"/>
      <c r="D108" s="497"/>
      <c r="E108" s="497"/>
      <c r="F108" s="497"/>
      <c r="G108" s="497"/>
      <c r="H108" s="497"/>
      <c r="I108" s="497"/>
      <c r="J108" s="497"/>
      <c r="K108" s="497"/>
      <c r="L108" s="497"/>
      <c r="M108" s="497"/>
      <c r="N108" s="497"/>
      <c r="O108" s="1"/>
      <c r="P108" s="6"/>
    </row>
    <row r="109" spans="1:16" ht="20.149999999999999" hidden="1" customHeight="1" x14ac:dyDescent="0.35">
      <c r="A109" s="1" t="s">
        <v>816</v>
      </c>
      <c r="B109" s="498" t="s">
        <v>815</v>
      </c>
      <c r="C109" s="498"/>
      <c r="D109" s="498"/>
      <c r="E109" s="498"/>
      <c r="F109" s="498"/>
      <c r="G109" s="498"/>
      <c r="H109" s="498"/>
      <c r="I109" s="498"/>
      <c r="J109" s="498"/>
      <c r="K109" s="498"/>
      <c r="L109" s="498"/>
      <c r="M109" s="498"/>
      <c r="N109" s="498"/>
      <c r="O109" s="12" t="s">
        <v>189</v>
      </c>
      <c r="P109" s="6"/>
    </row>
    <row r="110" spans="1:16" ht="20.149999999999999" hidden="1" customHeight="1" x14ac:dyDescent="0.35">
      <c r="A110" s="116" t="s">
        <v>832</v>
      </c>
      <c r="B110" s="498" t="s">
        <v>833</v>
      </c>
      <c r="C110" s="498"/>
      <c r="D110" s="498"/>
      <c r="E110" s="498"/>
      <c r="F110" s="498"/>
      <c r="G110" s="498"/>
      <c r="H110" s="498"/>
      <c r="I110" s="498"/>
      <c r="J110" s="498"/>
      <c r="K110" s="498"/>
      <c r="L110" s="498"/>
      <c r="M110" s="498"/>
      <c r="N110" s="498"/>
      <c r="O110" s="1"/>
      <c r="P110" s="6"/>
    </row>
    <row r="111" spans="1:16" ht="20.149999999999999" hidden="1" customHeight="1" x14ac:dyDescent="0.35">
      <c r="A111" s="116" t="s">
        <v>836</v>
      </c>
      <c r="B111" s="500" t="s">
        <v>835</v>
      </c>
      <c r="C111" s="500"/>
      <c r="D111" s="500"/>
      <c r="E111" s="500"/>
      <c r="F111" s="500"/>
      <c r="G111" s="500"/>
      <c r="H111" s="500"/>
      <c r="I111" s="500"/>
      <c r="J111" s="500"/>
      <c r="K111" s="500"/>
      <c r="L111" s="500"/>
      <c r="M111" s="500"/>
      <c r="N111" s="500"/>
      <c r="O111" s="1"/>
      <c r="P111" s="6"/>
    </row>
    <row r="112" spans="1:16" ht="20.149999999999999" hidden="1" customHeight="1" x14ac:dyDescent="0.35">
      <c r="A112" s="116" t="s">
        <v>841</v>
      </c>
      <c r="B112" s="500" t="s">
        <v>926</v>
      </c>
      <c r="C112" s="500"/>
      <c r="D112" s="500"/>
      <c r="E112" s="500"/>
      <c r="F112" s="500"/>
      <c r="G112" s="500"/>
      <c r="H112" s="500"/>
      <c r="I112" s="500"/>
      <c r="J112" s="500"/>
      <c r="K112" s="500"/>
      <c r="L112" s="500"/>
      <c r="M112" s="500"/>
      <c r="N112" s="500"/>
      <c r="O112" s="1"/>
      <c r="P112" s="6"/>
    </row>
    <row r="113" spans="1:16" ht="20.149999999999999" hidden="1" customHeight="1" x14ac:dyDescent="0.35">
      <c r="A113" s="116" t="s">
        <v>847</v>
      </c>
      <c r="B113" s="501" t="s">
        <v>848</v>
      </c>
      <c r="C113" s="501"/>
      <c r="D113" s="501"/>
      <c r="E113" s="501"/>
      <c r="F113" s="501"/>
      <c r="G113" s="501"/>
      <c r="H113" s="501"/>
      <c r="I113" s="501"/>
      <c r="J113" s="501"/>
      <c r="K113" s="501"/>
      <c r="L113" s="501"/>
      <c r="M113" s="501"/>
      <c r="N113" s="501"/>
      <c r="O113" s="1"/>
      <c r="P113" s="6"/>
    </row>
    <row r="114" spans="1:16" ht="20.149999999999999" hidden="1" customHeight="1" x14ac:dyDescent="0.35">
      <c r="A114" s="116" t="s">
        <v>851</v>
      </c>
      <c r="B114" s="500" t="s">
        <v>852</v>
      </c>
      <c r="C114" s="500"/>
      <c r="D114" s="500"/>
      <c r="E114" s="500"/>
      <c r="F114" s="500"/>
      <c r="G114" s="500"/>
      <c r="H114" s="500"/>
      <c r="I114" s="500"/>
      <c r="J114" s="500"/>
      <c r="K114" s="500"/>
      <c r="L114" s="500"/>
      <c r="M114" s="500"/>
      <c r="N114" s="500"/>
      <c r="O114" s="1"/>
      <c r="P114" s="6"/>
    </row>
    <row r="115" spans="1:16" ht="20.149999999999999" hidden="1" customHeight="1" x14ac:dyDescent="0.35">
      <c r="A115" s="116" t="s">
        <v>853</v>
      </c>
      <c r="B115" s="500" t="s">
        <v>856</v>
      </c>
      <c r="C115" s="500"/>
      <c r="D115" s="500"/>
      <c r="E115" s="500"/>
      <c r="F115" s="500"/>
      <c r="G115" s="500"/>
      <c r="H115" s="500"/>
      <c r="I115" s="500"/>
      <c r="J115" s="500"/>
      <c r="K115" s="500"/>
      <c r="L115" s="500"/>
      <c r="M115" s="500"/>
      <c r="N115" s="500"/>
      <c r="O115" s="1"/>
      <c r="P115" s="6"/>
    </row>
    <row r="116" spans="1:16" ht="20.149999999999999" hidden="1" customHeight="1" x14ac:dyDescent="0.35">
      <c r="A116" s="116" t="s">
        <v>860</v>
      </c>
      <c r="B116" s="493" t="s">
        <v>859</v>
      </c>
      <c r="C116" s="493"/>
      <c r="D116" s="493"/>
      <c r="E116" s="493"/>
      <c r="F116" s="493"/>
      <c r="G116" s="493"/>
      <c r="H116" s="493"/>
      <c r="I116" s="493"/>
      <c r="J116" s="493"/>
      <c r="K116" s="493"/>
      <c r="L116" s="493"/>
      <c r="M116" s="493"/>
      <c r="N116" s="493"/>
      <c r="O116" s="1"/>
      <c r="P116" s="6"/>
    </row>
    <row r="117" spans="1:16" ht="20.149999999999999" hidden="1" customHeight="1" x14ac:dyDescent="0.35">
      <c r="A117" s="116" t="s">
        <v>882</v>
      </c>
      <c r="B117" s="501" t="s">
        <v>885</v>
      </c>
      <c r="C117" s="501"/>
      <c r="D117" s="501"/>
      <c r="E117" s="501"/>
      <c r="F117" s="501"/>
      <c r="G117" s="501"/>
      <c r="H117" s="501"/>
      <c r="I117" s="501"/>
      <c r="J117" s="501"/>
      <c r="K117" s="501"/>
      <c r="L117" s="501"/>
      <c r="M117" s="501"/>
      <c r="N117" s="501"/>
      <c r="O117" s="1"/>
      <c r="P117" s="6"/>
    </row>
    <row r="118" spans="1:16" ht="20.149999999999999" hidden="1" customHeight="1" x14ac:dyDescent="0.35">
      <c r="A118" s="116" t="s">
        <v>886</v>
      </c>
      <c r="B118" s="501" t="s">
        <v>1863</v>
      </c>
      <c r="C118" s="501"/>
      <c r="D118" s="501"/>
      <c r="E118" s="501"/>
      <c r="F118" s="501"/>
      <c r="G118" s="501"/>
      <c r="H118" s="501"/>
      <c r="I118" s="501"/>
      <c r="J118" s="501"/>
      <c r="K118" s="501"/>
      <c r="L118" s="501"/>
      <c r="M118" s="501"/>
      <c r="N118" s="501"/>
      <c r="O118" s="1"/>
      <c r="P118" s="6"/>
    </row>
    <row r="119" spans="1:16" ht="20.149999999999999" hidden="1" customHeight="1" x14ac:dyDescent="0.35">
      <c r="A119" s="1" t="s">
        <v>889</v>
      </c>
      <c r="B119" s="501" t="s">
        <v>888</v>
      </c>
      <c r="C119" s="501"/>
      <c r="D119" s="501"/>
      <c r="E119" s="501"/>
      <c r="F119" s="501"/>
      <c r="G119" s="501"/>
      <c r="H119" s="501"/>
      <c r="I119" s="501"/>
      <c r="J119" s="501"/>
      <c r="K119" s="501"/>
      <c r="L119" s="501"/>
      <c r="M119" s="501"/>
      <c r="N119" s="501"/>
      <c r="O119" s="1"/>
      <c r="P119" s="6"/>
    </row>
    <row r="120" spans="1:16" ht="20.149999999999999" customHeight="1" x14ac:dyDescent="0.35">
      <c r="A120" s="116" t="s">
        <v>894</v>
      </c>
      <c r="B120" s="500" t="s">
        <v>895</v>
      </c>
      <c r="C120" s="500"/>
      <c r="D120" s="500"/>
      <c r="E120" s="500"/>
      <c r="F120" s="500"/>
      <c r="G120" s="500"/>
      <c r="H120" s="500"/>
      <c r="I120" s="500"/>
      <c r="J120" s="500"/>
      <c r="K120" s="500"/>
      <c r="L120" s="500"/>
      <c r="M120" s="500"/>
      <c r="N120" s="500"/>
      <c r="O120" s="1"/>
      <c r="P120" s="6"/>
    </row>
    <row r="121" spans="1:16" ht="20.149999999999999" hidden="1" customHeight="1" x14ac:dyDescent="0.35">
      <c r="A121" s="116" t="s">
        <v>897</v>
      </c>
      <c r="B121" s="500" t="s">
        <v>899</v>
      </c>
      <c r="C121" s="500"/>
      <c r="D121" s="500"/>
      <c r="E121" s="500"/>
      <c r="F121" s="500"/>
      <c r="G121" s="500"/>
      <c r="H121" s="500"/>
      <c r="I121" s="500"/>
      <c r="J121" s="500"/>
      <c r="K121" s="500"/>
      <c r="L121" s="500"/>
      <c r="M121" s="500"/>
      <c r="N121" s="500"/>
      <c r="O121" s="1"/>
      <c r="P121" s="6"/>
    </row>
    <row r="122" spans="1:16" ht="20.149999999999999" hidden="1" customHeight="1" x14ac:dyDescent="0.35">
      <c r="A122" s="116" t="s">
        <v>904</v>
      </c>
      <c r="B122" s="500" t="s">
        <v>900</v>
      </c>
      <c r="C122" s="500"/>
      <c r="D122" s="500"/>
      <c r="E122" s="500"/>
      <c r="F122" s="500"/>
      <c r="G122" s="500"/>
      <c r="H122" s="500"/>
      <c r="I122" s="500"/>
      <c r="J122" s="500"/>
      <c r="K122" s="500"/>
      <c r="L122" s="500"/>
      <c r="M122" s="500"/>
      <c r="N122" s="500"/>
      <c r="O122" s="1"/>
      <c r="P122" s="6"/>
    </row>
    <row r="123" spans="1:16" ht="20.149999999999999" hidden="1" customHeight="1" x14ac:dyDescent="0.35">
      <c r="A123" s="116" t="s">
        <v>910</v>
      </c>
      <c r="B123" s="493" t="s">
        <v>911</v>
      </c>
      <c r="C123" s="493"/>
      <c r="D123" s="493"/>
      <c r="E123" s="493"/>
      <c r="F123" s="493"/>
      <c r="G123" s="493"/>
      <c r="H123" s="493"/>
      <c r="I123" s="493"/>
      <c r="J123" s="493"/>
      <c r="K123" s="493"/>
      <c r="L123" s="493"/>
      <c r="M123" s="493"/>
      <c r="N123" s="493"/>
      <c r="O123" s="1"/>
      <c r="P123" s="6"/>
    </row>
    <row r="124" spans="1:16" ht="20.149999999999999" hidden="1" customHeight="1" x14ac:dyDescent="0.35">
      <c r="A124" s="116" t="s">
        <v>912</v>
      </c>
      <c r="B124" s="493" t="s">
        <v>913</v>
      </c>
      <c r="C124" s="493"/>
      <c r="D124" s="493"/>
      <c r="E124" s="493"/>
      <c r="F124" s="493"/>
      <c r="G124" s="493"/>
      <c r="H124" s="493"/>
      <c r="I124" s="493"/>
      <c r="J124" s="493"/>
      <c r="K124" s="493"/>
      <c r="L124" s="493"/>
      <c r="M124" s="493"/>
      <c r="N124" s="493"/>
      <c r="O124" s="1"/>
      <c r="P124" s="6"/>
    </row>
    <row r="125" spans="1:16" ht="20.149999999999999" hidden="1" customHeight="1" x14ac:dyDescent="0.35">
      <c r="A125" s="116" t="s">
        <v>927</v>
      </c>
      <c r="B125" s="493" t="s">
        <v>1409</v>
      </c>
      <c r="C125" s="493"/>
      <c r="D125" s="493"/>
      <c r="E125" s="493"/>
      <c r="F125" s="493"/>
      <c r="G125" s="493"/>
      <c r="H125" s="493"/>
      <c r="I125" s="493"/>
      <c r="J125" s="493"/>
      <c r="K125" s="493"/>
      <c r="L125" s="493"/>
      <c r="M125" s="493"/>
      <c r="N125" s="493"/>
      <c r="O125" s="1"/>
      <c r="P125" s="6"/>
    </row>
    <row r="126" spans="1:16" ht="20.149999999999999" hidden="1" customHeight="1" x14ac:dyDescent="0.35">
      <c r="A126" s="116" t="s">
        <v>930</v>
      </c>
      <c r="B126" s="493" t="s">
        <v>931</v>
      </c>
      <c r="C126" s="493"/>
      <c r="D126" s="493"/>
      <c r="E126" s="493"/>
      <c r="F126" s="493"/>
      <c r="G126" s="493"/>
      <c r="H126" s="493"/>
      <c r="I126" s="493"/>
      <c r="J126" s="493"/>
      <c r="K126" s="493"/>
      <c r="L126" s="493"/>
      <c r="M126" s="493"/>
      <c r="N126" s="493"/>
      <c r="O126" s="1"/>
      <c r="P126" s="6"/>
    </row>
    <row r="127" spans="1:16" ht="20.149999999999999" hidden="1" customHeight="1" x14ac:dyDescent="0.35">
      <c r="A127" s="1" t="s">
        <v>955</v>
      </c>
      <c r="B127" s="493" t="s">
        <v>956</v>
      </c>
      <c r="C127" s="493"/>
      <c r="D127" s="493"/>
      <c r="E127" s="493"/>
      <c r="F127" s="493"/>
      <c r="G127" s="493"/>
      <c r="H127" s="493"/>
      <c r="I127" s="493"/>
      <c r="J127" s="493"/>
      <c r="K127" s="493"/>
      <c r="L127" s="493"/>
      <c r="M127" s="493"/>
      <c r="N127" s="493"/>
      <c r="O127" s="1"/>
      <c r="P127" s="6"/>
    </row>
    <row r="128" spans="1:16" ht="20.149999999999999" hidden="1" customHeight="1" x14ac:dyDescent="0.35">
      <c r="A128" s="116" t="s">
        <v>969</v>
      </c>
      <c r="B128" s="493" t="s">
        <v>970</v>
      </c>
      <c r="C128" s="493"/>
      <c r="D128" s="493"/>
      <c r="E128" s="493"/>
      <c r="F128" s="493"/>
      <c r="G128" s="493"/>
      <c r="H128" s="493"/>
      <c r="I128" s="493"/>
      <c r="J128" s="493"/>
      <c r="K128" s="493"/>
      <c r="L128" s="493"/>
      <c r="M128" s="493"/>
      <c r="N128" s="493"/>
      <c r="O128" s="1"/>
      <c r="P128" s="6"/>
    </row>
    <row r="129" spans="1:16" ht="20.149999999999999" hidden="1" customHeight="1" x14ac:dyDescent="0.35">
      <c r="A129" s="116" t="s">
        <v>974</v>
      </c>
      <c r="B129" s="493" t="s">
        <v>975</v>
      </c>
      <c r="C129" s="493"/>
      <c r="D129" s="493"/>
      <c r="E129" s="493"/>
      <c r="F129" s="493"/>
      <c r="G129" s="493"/>
      <c r="H129" s="493"/>
      <c r="I129" s="493"/>
      <c r="J129" s="493"/>
      <c r="K129" s="493"/>
      <c r="L129" s="493"/>
      <c r="M129" s="493"/>
      <c r="N129" s="493"/>
      <c r="O129" s="1"/>
      <c r="P129" s="6"/>
    </row>
    <row r="130" spans="1:16" ht="20.149999999999999" hidden="1" customHeight="1" x14ac:dyDescent="0.35">
      <c r="A130" s="116" t="s">
        <v>976</v>
      </c>
      <c r="B130" s="502" t="s">
        <v>977</v>
      </c>
      <c r="C130" s="503"/>
      <c r="D130" s="503"/>
      <c r="E130" s="503"/>
      <c r="F130" s="503"/>
      <c r="G130" s="503"/>
      <c r="H130" s="503"/>
      <c r="I130" s="503"/>
      <c r="J130" s="503"/>
      <c r="K130" s="503"/>
      <c r="L130" s="503"/>
      <c r="M130" s="503"/>
      <c r="N130" s="504"/>
      <c r="O130" s="1"/>
      <c r="P130" s="6"/>
    </row>
    <row r="131" spans="1:16" ht="20.149999999999999" hidden="1" customHeight="1" x14ac:dyDescent="0.35">
      <c r="A131" s="116" t="s">
        <v>985</v>
      </c>
      <c r="B131" s="493" t="s">
        <v>986</v>
      </c>
      <c r="C131" s="493"/>
      <c r="D131" s="493"/>
      <c r="E131" s="493"/>
      <c r="F131" s="493"/>
      <c r="G131" s="493"/>
      <c r="H131" s="493"/>
      <c r="I131" s="493"/>
      <c r="J131" s="493"/>
      <c r="K131" s="493"/>
      <c r="L131" s="493"/>
      <c r="M131" s="493"/>
      <c r="N131" s="493"/>
      <c r="O131" s="1"/>
      <c r="P131" s="6"/>
    </row>
    <row r="132" spans="1:16" ht="20.149999999999999" hidden="1" customHeight="1" x14ac:dyDescent="0.35">
      <c r="A132" s="116" t="s">
        <v>989</v>
      </c>
      <c r="B132" s="493" t="s">
        <v>992</v>
      </c>
      <c r="C132" s="493"/>
      <c r="D132" s="493"/>
      <c r="E132" s="493"/>
      <c r="F132" s="493"/>
      <c r="G132" s="493"/>
      <c r="H132" s="493"/>
      <c r="I132" s="493"/>
      <c r="J132" s="493"/>
      <c r="K132" s="493"/>
      <c r="L132" s="493"/>
      <c r="M132" s="493"/>
      <c r="N132" s="493"/>
      <c r="O132" s="1"/>
      <c r="P132" s="6"/>
    </row>
    <row r="133" spans="1:16" ht="20.149999999999999" hidden="1" customHeight="1" x14ac:dyDescent="0.35">
      <c r="A133" s="116" t="s">
        <v>990</v>
      </c>
      <c r="B133" s="493" t="s">
        <v>991</v>
      </c>
      <c r="C133" s="493"/>
      <c r="D133" s="493"/>
      <c r="E133" s="493"/>
      <c r="F133" s="493"/>
      <c r="G133" s="493"/>
      <c r="H133" s="493"/>
      <c r="I133" s="493"/>
      <c r="J133" s="493"/>
      <c r="K133" s="493"/>
      <c r="L133" s="493"/>
      <c r="M133" s="493"/>
      <c r="N133" s="493"/>
      <c r="O133" s="1"/>
      <c r="P133" s="6"/>
    </row>
    <row r="134" spans="1:16" ht="20.149999999999999" hidden="1" customHeight="1" x14ac:dyDescent="0.35">
      <c r="A134" s="116" t="s">
        <v>994</v>
      </c>
      <c r="B134" s="493" t="s">
        <v>995</v>
      </c>
      <c r="C134" s="493"/>
      <c r="D134" s="493"/>
      <c r="E134" s="493"/>
      <c r="F134" s="493"/>
      <c r="G134" s="493"/>
      <c r="H134" s="493"/>
      <c r="I134" s="493"/>
      <c r="J134" s="493"/>
      <c r="K134" s="493"/>
      <c r="L134" s="493"/>
      <c r="M134" s="493"/>
      <c r="N134" s="493"/>
      <c r="O134" s="1"/>
      <c r="P134" s="6"/>
    </row>
    <row r="135" spans="1:16" ht="20.149999999999999" hidden="1" customHeight="1" x14ac:dyDescent="0.35">
      <c r="A135" s="116" t="s">
        <v>1010</v>
      </c>
      <c r="B135" s="493" t="s">
        <v>1011</v>
      </c>
      <c r="C135" s="493"/>
      <c r="D135" s="493"/>
      <c r="E135" s="493"/>
      <c r="F135" s="493"/>
      <c r="G135" s="493"/>
      <c r="H135" s="493"/>
      <c r="I135" s="493"/>
      <c r="J135" s="493"/>
      <c r="K135" s="493"/>
      <c r="L135" s="493"/>
      <c r="M135" s="493"/>
      <c r="N135" s="493"/>
      <c r="O135" s="1" t="s">
        <v>138</v>
      </c>
      <c r="P135" s="6"/>
    </row>
    <row r="136" spans="1:16" ht="20.149999999999999" hidden="1" customHeight="1" x14ac:dyDescent="0.35">
      <c r="A136" s="1" t="s">
        <v>1012</v>
      </c>
      <c r="B136" s="1" t="s">
        <v>1013</v>
      </c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6"/>
    </row>
    <row r="137" spans="1:16" ht="20.149999999999999" hidden="1" customHeight="1" x14ac:dyDescent="0.35">
      <c r="A137" s="116" t="s">
        <v>1014</v>
      </c>
      <c r="B137" s="500" t="s">
        <v>1097</v>
      </c>
      <c r="C137" s="500"/>
      <c r="D137" s="500"/>
      <c r="E137" s="500"/>
      <c r="F137" s="500"/>
      <c r="G137" s="500"/>
      <c r="H137" s="500"/>
      <c r="I137" s="500"/>
      <c r="J137" s="500"/>
      <c r="K137" s="500"/>
      <c r="L137" s="500"/>
      <c r="M137" s="500"/>
      <c r="N137" s="500"/>
      <c r="O137" s="1"/>
      <c r="P137" s="6"/>
    </row>
    <row r="138" spans="1:16" ht="20.149999999999999" hidden="1" customHeight="1" x14ac:dyDescent="0.35">
      <c r="A138" s="116" t="s">
        <v>1017</v>
      </c>
      <c r="B138" s="493" t="s">
        <v>1019</v>
      </c>
      <c r="C138" s="493"/>
      <c r="D138" s="493"/>
      <c r="E138" s="493"/>
      <c r="F138" s="493"/>
      <c r="G138" s="493"/>
      <c r="H138" s="493"/>
      <c r="I138" s="493"/>
      <c r="J138" s="493"/>
      <c r="K138" s="493"/>
      <c r="L138" s="493"/>
      <c r="M138" s="493"/>
      <c r="N138" s="493"/>
      <c r="O138" s="1" t="s">
        <v>138</v>
      </c>
      <c r="P138" s="6"/>
    </row>
    <row r="139" spans="1:16" ht="20.149999999999999" hidden="1" customHeight="1" x14ac:dyDescent="0.35">
      <c r="A139" s="358" t="s">
        <v>1074</v>
      </c>
      <c r="B139" s="493" t="s">
        <v>1098</v>
      </c>
      <c r="C139" s="493"/>
      <c r="D139" s="493"/>
      <c r="E139" s="493"/>
      <c r="F139" s="493"/>
      <c r="G139" s="493"/>
      <c r="H139" s="493"/>
      <c r="I139" s="493"/>
      <c r="J139" s="493"/>
      <c r="K139" s="493"/>
      <c r="L139" s="493"/>
      <c r="M139" s="493"/>
      <c r="N139" s="493"/>
      <c r="O139" s="1" t="s">
        <v>138</v>
      </c>
      <c r="P139" s="6"/>
    </row>
    <row r="140" spans="1:16" ht="20.149999999999999" hidden="1" customHeight="1" x14ac:dyDescent="0.35">
      <c r="A140" s="358" t="s">
        <v>1089</v>
      </c>
      <c r="B140" s="1" t="s">
        <v>1090</v>
      </c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6"/>
    </row>
    <row r="141" spans="1:16" ht="20.149999999999999" hidden="1" customHeight="1" x14ac:dyDescent="0.35">
      <c r="A141" s="358" t="s">
        <v>1167</v>
      </c>
      <c r="B141" s="493" t="s">
        <v>1168</v>
      </c>
      <c r="C141" s="493"/>
      <c r="D141" s="493"/>
      <c r="E141" s="493"/>
      <c r="F141" s="493"/>
      <c r="G141" s="493"/>
      <c r="H141" s="493"/>
      <c r="I141" s="493"/>
      <c r="J141" s="493"/>
      <c r="K141" s="493"/>
      <c r="L141" s="493"/>
      <c r="M141" s="493"/>
      <c r="N141" s="493"/>
      <c r="O141" s="1"/>
      <c r="P141" s="6"/>
    </row>
    <row r="142" spans="1:16" ht="20.149999999999999" hidden="1" customHeight="1" x14ac:dyDescent="0.35">
      <c r="A142" s="358" t="s">
        <v>1172</v>
      </c>
      <c r="B142" s="493" t="s">
        <v>1173</v>
      </c>
      <c r="C142" s="493"/>
      <c r="D142" s="493"/>
      <c r="E142" s="493"/>
      <c r="F142" s="493"/>
      <c r="G142" s="493"/>
      <c r="H142" s="493"/>
      <c r="I142" s="493"/>
      <c r="J142" s="493"/>
      <c r="K142" s="493"/>
      <c r="L142" s="493"/>
      <c r="M142" s="493"/>
      <c r="N142" s="493"/>
      <c r="O142" s="1"/>
      <c r="P142" s="6"/>
    </row>
    <row r="143" spans="1:16" ht="20.149999999999999" hidden="1" customHeight="1" x14ac:dyDescent="0.35">
      <c r="A143" s="358" t="s">
        <v>1209</v>
      </c>
      <c r="B143" s="493" t="s">
        <v>1210</v>
      </c>
      <c r="C143" s="493"/>
      <c r="D143" s="493"/>
      <c r="E143" s="493"/>
      <c r="F143" s="493"/>
      <c r="G143" s="493"/>
      <c r="H143" s="493"/>
      <c r="I143" s="493"/>
      <c r="J143" s="493"/>
      <c r="K143" s="493"/>
      <c r="L143" s="493"/>
      <c r="M143" s="493"/>
      <c r="N143" s="493"/>
      <c r="O143" s="1"/>
      <c r="P143" s="6"/>
    </row>
    <row r="144" spans="1:16" ht="20.149999999999999" hidden="1" customHeight="1" x14ac:dyDescent="0.35">
      <c r="A144" s="116" t="s">
        <v>1250</v>
      </c>
      <c r="B144" s="500" t="s">
        <v>1254</v>
      </c>
      <c r="C144" s="500"/>
      <c r="D144" s="500"/>
      <c r="E144" s="500"/>
      <c r="F144" s="500"/>
      <c r="G144" s="500"/>
      <c r="H144" s="500"/>
      <c r="I144" s="500"/>
      <c r="J144" s="500"/>
      <c r="K144" s="500"/>
      <c r="L144" s="500"/>
      <c r="M144" s="500"/>
      <c r="N144" s="500"/>
      <c r="O144" s="1"/>
      <c r="P144" s="6"/>
    </row>
    <row r="145" spans="1:16" ht="20.149999999999999" hidden="1" customHeight="1" x14ac:dyDescent="0.35">
      <c r="A145" s="116" t="s">
        <v>1255</v>
      </c>
      <c r="B145" s="500" t="s">
        <v>1256</v>
      </c>
      <c r="C145" s="500"/>
      <c r="D145" s="500"/>
      <c r="E145" s="500"/>
      <c r="F145" s="500"/>
      <c r="G145" s="500"/>
      <c r="H145" s="500"/>
      <c r="I145" s="500"/>
      <c r="J145" s="500"/>
      <c r="K145" s="500"/>
      <c r="L145" s="500"/>
      <c r="M145" s="500"/>
      <c r="N145" s="500"/>
      <c r="O145" s="1"/>
      <c r="P145" s="6"/>
    </row>
    <row r="146" spans="1:16" ht="20.149999999999999" hidden="1" customHeight="1" x14ac:dyDescent="0.35">
      <c r="A146" s="116" t="s">
        <v>1332</v>
      </c>
      <c r="B146" s="493" t="s">
        <v>1342</v>
      </c>
      <c r="C146" s="493"/>
      <c r="D146" s="493"/>
      <c r="E146" s="493"/>
      <c r="F146" s="493"/>
      <c r="G146" s="493"/>
      <c r="H146" s="493"/>
      <c r="I146" s="493"/>
      <c r="J146" s="493"/>
      <c r="K146" s="493"/>
      <c r="L146" s="493"/>
      <c r="M146" s="493"/>
      <c r="N146" s="493"/>
      <c r="O146" s="1"/>
      <c r="P146" s="6"/>
    </row>
    <row r="147" spans="1:16" ht="20.149999999999999" hidden="1" customHeight="1" x14ac:dyDescent="0.35">
      <c r="A147" s="116" t="s">
        <v>1376</v>
      </c>
      <c r="B147" s="493" t="s">
        <v>1377</v>
      </c>
      <c r="C147" s="493"/>
      <c r="D147" s="493"/>
      <c r="E147" s="493"/>
      <c r="F147" s="493"/>
      <c r="G147" s="493"/>
      <c r="H147" s="493"/>
      <c r="I147" s="493"/>
      <c r="J147" s="493"/>
      <c r="K147" s="493"/>
      <c r="L147" s="493"/>
      <c r="M147" s="493"/>
      <c r="N147" s="493"/>
      <c r="O147" s="1"/>
      <c r="P147" s="6"/>
    </row>
    <row r="148" spans="1:16" ht="20.149999999999999" hidden="1" customHeight="1" x14ac:dyDescent="0.35">
      <c r="A148" s="116" t="s">
        <v>1381</v>
      </c>
      <c r="B148" s="493" t="s">
        <v>1380</v>
      </c>
      <c r="C148" s="493"/>
      <c r="D148" s="493"/>
      <c r="E148" s="493"/>
      <c r="F148" s="493"/>
      <c r="G148" s="493"/>
      <c r="H148" s="493"/>
      <c r="I148" s="493"/>
      <c r="J148" s="493"/>
      <c r="K148" s="493"/>
      <c r="L148" s="493"/>
      <c r="M148" s="493"/>
      <c r="N148" s="493"/>
      <c r="O148" s="1"/>
      <c r="P148" s="6"/>
    </row>
    <row r="149" spans="1:16" ht="20.149999999999999" hidden="1" customHeight="1" x14ac:dyDescent="0.35">
      <c r="A149" s="116" t="s">
        <v>1389</v>
      </c>
      <c r="B149" s="493" t="s">
        <v>1390</v>
      </c>
      <c r="C149" s="493"/>
      <c r="D149" s="493"/>
      <c r="E149" s="493"/>
      <c r="F149" s="493"/>
      <c r="G149" s="493"/>
      <c r="H149" s="493"/>
      <c r="I149" s="493"/>
      <c r="J149" s="493"/>
      <c r="K149" s="493"/>
      <c r="L149" s="493"/>
      <c r="M149" s="493"/>
      <c r="N149" s="493"/>
      <c r="O149" s="1"/>
      <c r="P149" s="6"/>
    </row>
    <row r="150" spans="1:16" ht="20.149999999999999" hidden="1" customHeight="1" x14ac:dyDescent="0.35">
      <c r="A150" s="358" t="s">
        <v>1394</v>
      </c>
      <c r="B150" s="501" t="s">
        <v>1393</v>
      </c>
      <c r="C150" s="501"/>
      <c r="D150" s="501"/>
      <c r="E150" s="501"/>
      <c r="F150" s="501"/>
      <c r="G150" s="501"/>
      <c r="H150" s="501"/>
      <c r="I150" s="501"/>
      <c r="J150" s="501"/>
      <c r="K150" s="501"/>
      <c r="L150" s="501"/>
      <c r="M150" s="501"/>
      <c r="N150" s="501"/>
      <c r="O150" s="1"/>
      <c r="P150" s="6"/>
    </row>
    <row r="151" spans="1:16" ht="20.149999999999999" hidden="1" customHeight="1" x14ac:dyDescent="0.35">
      <c r="A151" s="358" t="s">
        <v>1395</v>
      </c>
      <c r="B151" s="501" t="s">
        <v>1399</v>
      </c>
      <c r="C151" s="501"/>
      <c r="D151" s="501"/>
      <c r="E151" s="501"/>
      <c r="F151" s="501"/>
      <c r="G151" s="501"/>
      <c r="H151" s="501"/>
      <c r="I151" s="501"/>
      <c r="J151" s="501"/>
      <c r="K151" s="501"/>
      <c r="L151" s="501"/>
      <c r="M151" s="501"/>
      <c r="N151" s="501"/>
      <c r="O151" s="1"/>
      <c r="P151" s="6"/>
    </row>
    <row r="152" spans="1:16" ht="20.149999999999999" hidden="1" customHeight="1" x14ac:dyDescent="0.35">
      <c r="A152" s="358" t="s">
        <v>1408</v>
      </c>
      <c r="B152" s="493" t="s">
        <v>1418</v>
      </c>
      <c r="C152" s="493"/>
      <c r="D152" s="493"/>
      <c r="E152" s="493"/>
      <c r="F152" s="493"/>
      <c r="G152" s="493"/>
      <c r="H152" s="493"/>
      <c r="I152" s="493"/>
      <c r="J152" s="493"/>
      <c r="K152" s="493"/>
      <c r="L152" s="493"/>
      <c r="M152" s="493"/>
      <c r="N152" s="493"/>
      <c r="O152" s="1"/>
      <c r="P152" s="6"/>
    </row>
    <row r="153" spans="1:16" ht="20.149999999999999" hidden="1" customHeight="1" x14ac:dyDescent="0.35">
      <c r="A153" s="116" t="s">
        <v>1430</v>
      </c>
      <c r="B153" s="493" t="s">
        <v>1431</v>
      </c>
      <c r="C153" s="493"/>
      <c r="D153" s="493"/>
      <c r="E153" s="493"/>
      <c r="F153" s="493"/>
      <c r="G153" s="493"/>
      <c r="H153" s="493"/>
      <c r="I153" s="493"/>
      <c r="J153" s="493"/>
      <c r="K153" s="493"/>
      <c r="L153" s="493"/>
      <c r="M153" s="493"/>
      <c r="N153" s="493"/>
      <c r="O153" s="1"/>
      <c r="P153" s="6"/>
    </row>
    <row r="154" spans="1:16" ht="20.149999999999999" hidden="1" customHeight="1" x14ac:dyDescent="0.35">
      <c r="A154" s="116" t="s">
        <v>1851</v>
      </c>
      <c r="B154" s="493" t="s">
        <v>1850</v>
      </c>
      <c r="C154" s="493"/>
      <c r="D154" s="493"/>
      <c r="E154" s="493"/>
      <c r="F154" s="493"/>
      <c r="G154" s="493"/>
      <c r="H154" s="493"/>
      <c r="I154" s="493"/>
      <c r="J154" s="493"/>
      <c r="K154" s="493"/>
      <c r="L154" s="493"/>
      <c r="M154" s="493"/>
      <c r="N154" s="493"/>
      <c r="O154" s="1"/>
      <c r="P154" s="6"/>
    </row>
    <row r="155" spans="1:16" ht="20.149999999999999" hidden="1" customHeight="1" x14ac:dyDescent="0.35">
      <c r="A155" s="116" t="s">
        <v>1856</v>
      </c>
      <c r="B155" s="493" t="s">
        <v>2211</v>
      </c>
      <c r="C155" s="493"/>
      <c r="D155" s="493"/>
      <c r="E155" s="493"/>
      <c r="F155" s="493"/>
      <c r="G155" s="493"/>
      <c r="H155" s="493"/>
      <c r="I155" s="493"/>
      <c r="J155" s="493"/>
      <c r="K155" s="493"/>
      <c r="L155" s="493"/>
      <c r="M155" s="493"/>
      <c r="N155" s="493"/>
      <c r="O155" s="1"/>
      <c r="P155" s="6"/>
    </row>
    <row r="156" spans="1:16" ht="20.149999999999999" hidden="1" customHeight="1" x14ac:dyDescent="0.35">
      <c r="A156" s="116" t="s">
        <v>1862</v>
      </c>
      <c r="B156" s="493" t="s">
        <v>1865</v>
      </c>
      <c r="C156" s="493"/>
      <c r="D156" s="493"/>
      <c r="E156" s="493"/>
      <c r="F156" s="493"/>
      <c r="G156" s="493"/>
      <c r="H156" s="493"/>
      <c r="I156" s="493"/>
      <c r="J156" s="493"/>
      <c r="K156" s="493"/>
      <c r="L156" s="493"/>
      <c r="M156" s="493"/>
      <c r="N156" s="493"/>
      <c r="O156" s="1"/>
      <c r="P156" s="6"/>
    </row>
    <row r="157" spans="1:16" ht="20.149999999999999" hidden="1" customHeight="1" x14ac:dyDescent="0.35">
      <c r="A157" s="116" t="s">
        <v>1866</v>
      </c>
      <c r="B157" s="493" t="s">
        <v>1867</v>
      </c>
      <c r="C157" s="493"/>
      <c r="D157" s="493"/>
      <c r="E157" s="493"/>
      <c r="F157" s="493"/>
      <c r="G157" s="493"/>
      <c r="H157" s="493"/>
      <c r="I157" s="493"/>
      <c r="J157" s="493"/>
      <c r="K157" s="493"/>
      <c r="L157" s="493"/>
      <c r="M157" s="493"/>
      <c r="N157" s="493"/>
      <c r="O157" s="1"/>
      <c r="P157" s="6"/>
    </row>
    <row r="158" spans="1:16" ht="20.149999999999999" hidden="1" customHeight="1" x14ac:dyDescent="0.35">
      <c r="A158" s="1" t="s">
        <v>1868</v>
      </c>
      <c r="B158" s="493" t="s">
        <v>1869</v>
      </c>
      <c r="C158" s="493"/>
      <c r="D158" s="493"/>
      <c r="E158" s="493"/>
      <c r="F158" s="493"/>
      <c r="G158" s="493"/>
      <c r="H158" s="493"/>
      <c r="I158" s="493"/>
      <c r="J158" s="493"/>
      <c r="K158" s="493"/>
      <c r="L158" s="493"/>
      <c r="M158" s="493"/>
      <c r="N158" s="493"/>
      <c r="O158" s="1"/>
      <c r="P158" s="6"/>
    </row>
    <row r="159" spans="1:16" ht="20.149999999999999" hidden="1" customHeight="1" x14ac:dyDescent="0.35">
      <c r="A159" s="116" t="s">
        <v>1879</v>
      </c>
      <c r="B159" s="493" t="s">
        <v>2324</v>
      </c>
      <c r="C159" s="493"/>
      <c r="D159" s="493"/>
      <c r="E159" s="493"/>
      <c r="F159" s="493"/>
      <c r="G159" s="493"/>
      <c r="H159" s="493"/>
      <c r="I159" s="493"/>
      <c r="J159" s="493"/>
      <c r="K159" s="493"/>
      <c r="L159" s="493"/>
      <c r="M159" s="493"/>
      <c r="N159" s="493"/>
      <c r="O159" s="1"/>
      <c r="P159" s="6"/>
    </row>
    <row r="160" spans="1:16" ht="20.149999999999999" hidden="1" customHeight="1" x14ac:dyDescent="0.35">
      <c r="A160" s="116" t="s">
        <v>1934</v>
      </c>
      <c r="B160" s="493" t="s">
        <v>1939</v>
      </c>
      <c r="C160" s="493"/>
      <c r="D160" s="493"/>
      <c r="E160" s="493"/>
      <c r="F160" s="493"/>
      <c r="G160" s="493"/>
      <c r="H160" s="493"/>
      <c r="I160" s="493"/>
      <c r="J160" s="493"/>
      <c r="K160" s="493"/>
      <c r="L160" s="493"/>
      <c r="M160" s="493"/>
      <c r="N160" s="493"/>
      <c r="O160" s="1"/>
      <c r="P160" s="6"/>
    </row>
    <row r="161" spans="1:16" ht="20.149999999999999" hidden="1" customHeight="1" x14ac:dyDescent="0.35">
      <c r="A161" s="116" t="s">
        <v>1943</v>
      </c>
      <c r="B161" s="493" t="s">
        <v>1980</v>
      </c>
      <c r="C161" s="493"/>
      <c r="D161" s="493"/>
      <c r="E161" s="493"/>
      <c r="F161" s="493"/>
      <c r="G161" s="493"/>
      <c r="H161" s="493"/>
      <c r="I161" s="493"/>
      <c r="J161" s="493"/>
      <c r="K161" s="493"/>
      <c r="L161" s="493"/>
      <c r="M161" s="493"/>
      <c r="N161" s="493"/>
      <c r="O161" s="1"/>
      <c r="P161" s="6"/>
    </row>
    <row r="162" spans="1:16" ht="20.149999999999999" hidden="1" customHeight="1" x14ac:dyDescent="0.35">
      <c r="A162" s="116" t="s">
        <v>1948</v>
      </c>
      <c r="B162" s="493" t="s">
        <v>1949</v>
      </c>
      <c r="C162" s="493"/>
      <c r="D162" s="493"/>
      <c r="E162" s="493"/>
      <c r="F162" s="493"/>
      <c r="G162" s="493"/>
      <c r="H162" s="493"/>
      <c r="I162" s="493"/>
      <c r="J162" s="493"/>
      <c r="K162" s="493"/>
      <c r="L162" s="493"/>
      <c r="M162" s="493"/>
      <c r="N162" s="493"/>
      <c r="O162" s="1"/>
      <c r="P162" s="6"/>
    </row>
    <row r="163" spans="1:16" ht="20.149999999999999" hidden="1" customHeight="1" x14ac:dyDescent="0.35">
      <c r="A163" s="116" t="s">
        <v>1958</v>
      </c>
      <c r="B163" s="493" t="s">
        <v>1959</v>
      </c>
      <c r="C163" s="493"/>
      <c r="D163" s="493"/>
      <c r="E163" s="493"/>
      <c r="F163" s="493"/>
      <c r="G163" s="493"/>
      <c r="H163" s="493"/>
      <c r="I163" s="493"/>
      <c r="J163" s="493"/>
      <c r="K163" s="493"/>
      <c r="L163" s="493"/>
      <c r="M163" s="493"/>
      <c r="N163" s="493"/>
      <c r="O163" s="1"/>
      <c r="P163" s="6"/>
    </row>
    <row r="164" spans="1:16" ht="20.149999999999999" hidden="1" customHeight="1" x14ac:dyDescent="0.35">
      <c r="A164" s="1" t="s">
        <v>1976</v>
      </c>
      <c r="B164" s="493" t="s">
        <v>1978</v>
      </c>
      <c r="C164" s="493"/>
      <c r="D164" s="493"/>
      <c r="E164" s="493"/>
      <c r="F164" s="493"/>
      <c r="G164" s="493"/>
      <c r="H164" s="493"/>
      <c r="I164" s="493"/>
      <c r="J164" s="493"/>
      <c r="K164" s="493"/>
      <c r="L164" s="493"/>
      <c r="M164" s="493"/>
      <c r="N164" s="493"/>
      <c r="O164" s="1"/>
      <c r="P164" s="6"/>
    </row>
    <row r="165" spans="1:16" ht="20.149999999999999" hidden="1" customHeight="1" x14ac:dyDescent="0.35">
      <c r="A165" s="116" t="s">
        <v>1988</v>
      </c>
      <c r="B165" s="493" t="s">
        <v>1989</v>
      </c>
      <c r="C165" s="493"/>
      <c r="D165" s="493"/>
      <c r="E165" s="493"/>
      <c r="F165" s="493"/>
      <c r="G165" s="493"/>
      <c r="H165" s="493"/>
      <c r="I165" s="493"/>
      <c r="J165" s="493"/>
      <c r="K165" s="493"/>
      <c r="L165" s="493"/>
      <c r="M165" s="493"/>
      <c r="N165" s="493"/>
      <c r="O165" s="1"/>
      <c r="P165" s="6"/>
    </row>
    <row r="166" spans="1:16" ht="20.149999999999999" hidden="1" customHeight="1" x14ac:dyDescent="0.35">
      <c r="A166" s="116" t="s">
        <v>1990</v>
      </c>
      <c r="B166" s="493" t="s">
        <v>2272</v>
      </c>
      <c r="C166" s="493"/>
      <c r="D166" s="493"/>
      <c r="E166" s="493"/>
      <c r="F166" s="493"/>
      <c r="G166" s="493"/>
      <c r="H166" s="493"/>
      <c r="I166" s="493"/>
      <c r="J166" s="493"/>
      <c r="K166" s="493"/>
      <c r="L166" s="493"/>
      <c r="M166" s="493"/>
      <c r="N166" s="493"/>
      <c r="O166" s="1" t="s">
        <v>138</v>
      </c>
      <c r="P166" s="58" t="s">
        <v>361</v>
      </c>
    </row>
    <row r="167" spans="1:16" ht="20.149999999999999" hidden="1" customHeight="1" x14ac:dyDescent="0.35">
      <c r="A167" s="116" t="s">
        <v>2005</v>
      </c>
      <c r="B167" s="494" t="s">
        <v>2228</v>
      </c>
      <c r="C167" s="493"/>
      <c r="D167" s="493"/>
      <c r="E167" s="493"/>
      <c r="F167" s="493"/>
      <c r="G167" s="493"/>
      <c r="H167" s="493"/>
      <c r="I167" s="493"/>
      <c r="J167" s="493"/>
      <c r="K167" s="493"/>
      <c r="L167" s="493"/>
      <c r="M167" s="493"/>
      <c r="N167" s="493"/>
      <c r="O167" s="1"/>
      <c r="P167" s="6"/>
    </row>
    <row r="168" spans="1:16" ht="20.149999999999999" hidden="1" customHeight="1" x14ac:dyDescent="0.35">
      <c r="A168" s="116" t="s">
        <v>2049</v>
      </c>
      <c r="B168" s="495" t="s">
        <v>2326</v>
      </c>
      <c r="C168" s="495"/>
      <c r="D168" s="495"/>
      <c r="E168" s="495"/>
      <c r="F168" s="495"/>
      <c r="G168" s="495"/>
      <c r="H168" s="495"/>
      <c r="I168" s="495"/>
      <c r="J168" s="495"/>
      <c r="K168" s="495"/>
      <c r="L168" s="495"/>
      <c r="M168" s="495"/>
      <c r="N168" s="495"/>
      <c r="O168" s="1"/>
      <c r="P168" s="6"/>
    </row>
    <row r="169" spans="1:16" ht="20.149999999999999" hidden="1" customHeight="1" x14ac:dyDescent="0.35">
      <c r="A169" s="1" t="s">
        <v>2054</v>
      </c>
      <c r="B169" s="500" t="s">
        <v>2201</v>
      </c>
      <c r="C169" s="500"/>
      <c r="D169" s="500"/>
      <c r="E169" s="500"/>
      <c r="F169" s="500"/>
      <c r="G169" s="500"/>
      <c r="H169" s="500"/>
      <c r="I169" s="500"/>
      <c r="J169" s="500"/>
      <c r="K169" s="500"/>
      <c r="L169" s="500"/>
      <c r="M169" s="500"/>
      <c r="N169" s="500"/>
      <c r="O169" s="1"/>
      <c r="P169" s="6"/>
    </row>
    <row r="170" spans="1:16" ht="20.149999999999999" hidden="1" customHeight="1" x14ac:dyDescent="0.35">
      <c r="A170" s="116" t="s">
        <v>2055</v>
      </c>
      <c r="B170" s="500" t="s">
        <v>2355</v>
      </c>
      <c r="C170" s="500"/>
      <c r="D170" s="500"/>
      <c r="E170" s="500"/>
      <c r="F170" s="500"/>
      <c r="G170" s="500"/>
      <c r="H170" s="500"/>
      <c r="I170" s="500"/>
      <c r="J170" s="500"/>
      <c r="K170" s="500"/>
      <c r="L170" s="500"/>
      <c r="M170" s="500"/>
      <c r="N170" s="500"/>
      <c r="O170" s="1"/>
      <c r="P170" s="6"/>
    </row>
    <row r="171" spans="1:16" ht="20.149999999999999" hidden="1" customHeight="1" x14ac:dyDescent="0.35">
      <c r="A171" s="116" t="s">
        <v>2056</v>
      </c>
      <c r="B171" s="500" t="s">
        <v>2356</v>
      </c>
      <c r="C171" s="500"/>
      <c r="D171" s="500"/>
      <c r="E171" s="500"/>
      <c r="F171" s="500"/>
      <c r="G171" s="500"/>
      <c r="H171" s="500"/>
      <c r="I171" s="500"/>
      <c r="J171" s="500"/>
      <c r="K171" s="500"/>
      <c r="L171" s="500"/>
      <c r="M171" s="500"/>
      <c r="N171" s="500"/>
      <c r="O171" s="1"/>
      <c r="P171" s="6"/>
    </row>
    <row r="172" spans="1:16" ht="20.149999999999999" hidden="1" customHeight="1" x14ac:dyDescent="0.35">
      <c r="A172" s="1" t="s">
        <v>2057</v>
      </c>
      <c r="B172" s="500" t="s">
        <v>2135</v>
      </c>
      <c r="C172" s="500"/>
      <c r="D172" s="500"/>
      <c r="E172" s="500"/>
      <c r="F172" s="500"/>
      <c r="G172" s="500"/>
      <c r="H172" s="500"/>
      <c r="I172" s="500"/>
      <c r="J172" s="500"/>
      <c r="K172" s="500"/>
      <c r="L172" s="500"/>
      <c r="M172" s="500"/>
      <c r="N172" s="500"/>
      <c r="O172" s="1"/>
      <c r="P172" s="6"/>
    </row>
    <row r="173" spans="1:16" ht="20.149999999999999" hidden="1" customHeight="1" x14ac:dyDescent="0.35">
      <c r="A173" s="116" t="s">
        <v>2058</v>
      </c>
      <c r="B173" s="500" t="s">
        <v>2325</v>
      </c>
      <c r="C173" s="500"/>
      <c r="D173" s="500"/>
      <c r="E173" s="500"/>
      <c r="F173" s="500"/>
      <c r="G173" s="500"/>
      <c r="H173" s="500"/>
      <c r="I173" s="500"/>
      <c r="J173" s="500"/>
      <c r="K173" s="500"/>
      <c r="L173" s="500"/>
      <c r="M173" s="500"/>
      <c r="N173" s="500"/>
      <c r="O173" s="1"/>
      <c r="P173" s="6"/>
    </row>
    <row r="174" spans="1:16" ht="20.149999999999999" hidden="1" customHeight="1" x14ac:dyDescent="0.35">
      <c r="A174" s="1" t="s">
        <v>2059</v>
      </c>
      <c r="B174" s="500" t="s">
        <v>2198</v>
      </c>
      <c r="C174" s="500"/>
      <c r="D174" s="500"/>
      <c r="E174" s="500"/>
      <c r="F174" s="500"/>
      <c r="G174" s="500"/>
      <c r="H174" s="500"/>
      <c r="I174" s="500"/>
      <c r="J174" s="500"/>
      <c r="K174" s="500"/>
      <c r="L174" s="500"/>
      <c r="M174" s="500"/>
      <c r="N174" s="500"/>
      <c r="O174" s="1"/>
      <c r="P174" s="6"/>
    </row>
    <row r="175" spans="1:16" ht="20.149999999999999" hidden="1" customHeight="1" x14ac:dyDescent="0.35">
      <c r="A175" s="1" t="s">
        <v>2060</v>
      </c>
      <c r="B175" s="500" t="s">
        <v>2199</v>
      </c>
      <c r="C175" s="500"/>
      <c r="D175" s="500"/>
      <c r="E175" s="500"/>
      <c r="F175" s="500"/>
      <c r="G175" s="500"/>
      <c r="H175" s="500"/>
      <c r="I175" s="500"/>
      <c r="J175" s="500"/>
      <c r="K175" s="500"/>
      <c r="L175" s="500"/>
      <c r="M175" s="500"/>
      <c r="N175" s="500"/>
      <c r="O175" s="1"/>
      <c r="P175" s="6"/>
    </row>
    <row r="176" spans="1:16" ht="20.149999999999999" hidden="1" customHeight="1" x14ac:dyDescent="0.35">
      <c r="A176" s="1" t="s">
        <v>2061</v>
      </c>
      <c r="B176" s="500" t="s">
        <v>2200</v>
      </c>
      <c r="C176" s="500"/>
      <c r="D176" s="500"/>
      <c r="E176" s="500"/>
      <c r="F176" s="500"/>
      <c r="G176" s="500"/>
      <c r="H176" s="500"/>
      <c r="I176" s="500"/>
      <c r="J176" s="500"/>
      <c r="K176" s="500"/>
      <c r="L176" s="500"/>
      <c r="M176" s="500"/>
      <c r="N176" s="500"/>
      <c r="O176" s="1"/>
      <c r="P176" s="6"/>
    </row>
    <row r="177" spans="1:16" ht="20.149999999999999" hidden="1" customHeight="1" x14ac:dyDescent="0.35">
      <c r="A177" s="116" t="s">
        <v>2062</v>
      </c>
      <c r="B177" s="500" t="s">
        <v>2126</v>
      </c>
      <c r="C177" s="500"/>
      <c r="D177" s="500"/>
      <c r="E177" s="500"/>
      <c r="F177" s="500"/>
      <c r="G177" s="500"/>
      <c r="H177" s="500"/>
      <c r="I177" s="500"/>
      <c r="J177" s="500"/>
      <c r="K177" s="500"/>
      <c r="L177" s="500"/>
      <c r="M177" s="500"/>
      <c r="N177" s="500"/>
      <c r="O177" s="1"/>
      <c r="P177" s="6"/>
    </row>
    <row r="178" spans="1:16" ht="20.149999999999999" hidden="1" customHeight="1" x14ac:dyDescent="0.35">
      <c r="A178" s="1" t="s">
        <v>2063</v>
      </c>
      <c r="B178" s="500" t="s">
        <v>2067</v>
      </c>
      <c r="C178" s="500"/>
      <c r="D178" s="500"/>
      <c r="E178" s="500"/>
      <c r="F178" s="500"/>
      <c r="G178" s="500"/>
      <c r="H178" s="500"/>
      <c r="I178" s="500"/>
      <c r="J178" s="500"/>
      <c r="K178" s="500"/>
      <c r="L178" s="500"/>
      <c r="M178" s="500"/>
      <c r="N178" s="500"/>
      <c r="O178" s="1"/>
      <c r="P178" s="6"/>
    </row>
    <row r="179" spans="1:16" ht="20.149999999999999" hidden="1" customHeight="1" x14ac:dyDescent="0.35">
      <c r="A179" s="1" t="s">
        <v>2064</v>
      </c>
      <c r="B179" s="500" t="s">
        <v>2065</v>
      </c>
      <c r="C179" s="500"/>
      <c r="D179" s="500"/>
      <c r="E179" s="500"/>
      <c r="F179" s="500"/>
      <c r="G179" s="500"/>
      <c r="H179" s="500"/>
      <c r="I179" s="500"/>
      <c r="J179" s="500"/>
      <c r="K179" s="500"/>
      <c r="L179" s="500"/>
      <c r="M179" s="500"/>
      <c r="N179" s="500"/>
      <c r="O179" s="1"/>
      <c r="P179" s="6"/>
    </row>
    <row r="180" spans="1:16" ht="20.149999999999999" hidden="1" customHeight="1" x14ac:dyDescent="0.35">
      <c r="A180" s="116" t="s">
        <v>2066</v>
      </c>
      <c r="B180" s="500" t="s">
        <v>2269</v>
      </c>
      <c r="C180" s="500"/>
      <c r="D180" s="500"/>
      <c r="E180" s="500"/>
      <c r="F180" s="500"/>
      <c r="G180" s="500"/>
      <c r="H180" s="500"/>
      <c r="I180" s="500"/>
      <c r="J180" s="500"/>
      <c r="K180" s="500"/>
      <c r="L180" s="500"/>
      <c r="M180" s="500"/>
      <c r="N180" s="500"/>
      <c r="O180" s="1"/>
      <c r="P180" s="6"/>
    </row>
    <row r="181" spans="1:16" hidden="1" x14ac:dyDescent="0.35">
      <c r="A181" s="116" t="s">
        <v>2076</v>
      </c>
      <c r="B181" s="500" t="s">
        <v>2077</v>
      </c>
      <c r="C181" s="500"/>
      <c r="D181" s="500"/>
      <c r="E181" s="500"/>
      <c r="F181" s="500"/>
      <c r="G181" s="500"/>
      <c r="H181" s="500"/>
      <c r="I181" s="500"/>
      <c r="J181" s="500"/>
      <c r="K181" s="500"/>
      <c r="L181" s="500"/>
      <c r="M181" s="500"/>
      <c r="N181" s="500"/>
      <c r="O181" s="1"/>
      <c r="P181" s="6"/>
    </row>
    <row r="182" spans="1:16" hidden="1" x14ac:dyDescent="0.35">
      <c r="A182" s="361" t="s">
        <v>2090</v>
      </c>
      <c r="B182" s="500" t="s">
        <v>2091</v>
      </c>
      <c r="C182" s="500"/>
      <c r="D182" s="500"/>
      <c r="E182" s="500"/>
      <c r="F182" s="500"/>
      <c r="G182" s="500"/>
      <c r="H182" s="500"/>
      <c r="I182" s="500"/>
      <c r="J182" s="500"/>
      <c r="K182" s="500"/>
      <c r="L182" s="500"/>
      <c r="M182" s="500"/>
      <c r="N182" s="500"/>
    </row>
    <row r="183" spans="1:16" hidden="1" x14ac:dyDescent="0.35">
      <c r="A183" s="372" t="s">
        <v>2111</v>
      </c>
      <c r="B183" s="493" t="s">
        <v>2117</v>
      </c>
      <c r="C183" s="493"/>
      <c r="D183" s="493"/>
      <c r="E183" s="493"/>
      <c r="F183" s="493"/>
      <c r="G183" s="493"/>
      <c r="H183" s="493"/>
      <c r="I183" s="493"/>
      <c r="J183" s="493"/>
      <c r="K183" s="493"/>
      <c r="L183" s="493"/>
      <c r="M183" s="493"/>
      <c r="N183" s="493"/>
    </row>
    <row r="184" spans="1:16" hidden="1" x14ac:dyDescent="0.35">
      <c r="A184" s="372" t="s">
        <v>2130</v>
      </c>
      <c r="B184" s="493" t="s">
        <v>2205</v>
      </c>
      <c r="C184" s="493"/>
      <c r="D184" s="493"/>
      <c r="E184" s="493"/>
      <c r="F184" s="493"/>
      <c r="G184" s="493"/>
      <c r="H184" s="493"/>
      <c r="I184" s="493"/>
      <c r="J184" s="493"/>
      <c r="K184" s="493"/>
      <c r="L184" s="493"/>
      <c r="M184" s="493"/>
      <c r="N184" s="493"/>
    </row>
    <row r="185" spans="1:16" hidden="1" x14ac:dyDescent="0.35">
      <c r="A185" s="93" t="s">
        <v>2178</v>
      </c>
      <c r="B185" s="493" t="s">
        <v>2179</v>
      </c>
      <c r="C185" s="493"/>
      <c r="D185" s="493"/>
      <c r="E185" s="493"/>
      <c r="F185" s="493"/>
      <c r="G185" s="493"/>
      <c r="H185" s="493"/>
      <c r="I185" s="493"/>
      <c r="J185" s="493"/>
      <c r="K185" s="493"/>
      <c r="L185" s="493"/>
      <c r="M185" s="493"/>
      <c r="N185" s="493"/>
    </row>
    <row r="186" spans="1:16" hidden="1" x14ac:dyDescent="0.35">
      <c r="A186" t="s">
        <v>2189</v>
      </c>
      <c r="B186" s="493" t="s">
        <v>2190</v>
      </c>
      <c r="C186" s="493"/>
      <c r="D186" s="493"/>
      <c r="E186" s="493"/>
      <c r="F186" s="493"/>
      <c r="G186" s="493"/>
      <c r="H186" s="493"/>
      <c r="I186" s="493"/>
      <c r="J186" s="493"/>
      <c r="K186" s="493"/>
      <c r="L186" s="493"/>
      <c r="M186" s="493"/>
      <c r="N186" s="493"/>
    </row>
    <row r="187" spans="1:16" hidden="1" x14ac:dyDescent="0.35">
      <c r="A187" s="93" t="s">
        <v>2194</v>
      </c>
      <c r="B187" s="493" t="s">
        <v>2196</v>
      </c>
      <c r="C187" s="493"/>
      <c r="D187" s="493"/>
      <c r="E187" s="493"/>
      <c r="F187" s="493"/>
      <c r="G187" s="493"/>
      <c r="H187" s="493"/>
      <c r="I187" s="493"/>
      <c r="J187" s="493"/>
      <c r="K187" s="493"/>
      <c r="L187" s="493"/>
      <c r="M187" s="493"/>
      <c r="N187" s="493"/>
    </row>
    <row r="188" spans="1:16" hidden="1" x14ac:dyDescent="0.35">
      <c r="A188" s="358" t="s">
        <v>2252</v>
      </c>
      <c r="B188" s="493" t="s">
        <v>2267</v>
      </c>
      <c r="C188" s="493"/>
      <c r="D188" s="493"/>
      <c r="E188" s="493"/>
      <c r="F188" s="493"/>
      <c r="G188" s="493"/>
      <c r="H188" s="493"/>
      <c r="I188" s="493"/>
      <c r="J188" s="493"/>
      <c r="K188" s="493"/>
      <c r="L188" s="493"/>
      <c r="M188" s="493"/>
      <c r="N188" s="493"/>
      <c r="O188" s="1" t="s">
        <v>138</v>
      </c>
      <c r="P188" s="58" t="s">
        <v>361</v>
      </c>
    </row>
    <row r="189" spans="1:16" hidden="1" x14ac:dyDescent="0.35">
      <c r="A189" s="358" t="s">
        <v>2301</v>
      </c>
      <c r="B189" s="494" t="s">
        <v>2311</v>
      </c>
      <c r="C189" s="493"/>
      <c r="D189" s="493"/>
      <c r="E189" s="493"/>
      <c r="F189" s="493"/>
      <c r="G189" s="493"/>
      <c r="H189" s="493"/>
      <c r="I189" s="493"/>
      <c r="J189" s="493"/>
      <c r="K189" s="493"/>
      <c r="L189" s="493"/>
      <c r="M189" s="493"/>
      <c r="N189" s="493"/>
      <c r="O189" s="1" t="s">
        <v>2304</v>
      </c>
      <c r="P189" s="58"/>
    </row>
    <row r="190" spans="1:16" ht="14.5" hidden="1" customHeight="1" x14ac:dyDescent="0.35">
      <c r="A190" s="358" t="s">
        <v>2315</v>
      </c>
      <c r="B190" s="494" t="s">
        <v>2316</v>
      </c>
      <c r="C190" s="493"/>
      <c r="D190" s="493"/>
      <c r="E190" s="493"/>
      <c r="F190" s="493"/>
      <c r="G190" s="493"/>
      <c r="H190" s="493"/>
      <c r="I190" s="493"/>
      <c r="J190" s="493"/>
      <c r="K190" s="493"/>
      <c r="L190" s="493"/>
      <c r="M190" s="493"/>
      <c r="N190" s="493"/>
      <c r="O190" s="1" t="s">
        <v>2304</v>
      </c>
      <c r="P190" s="58"/>
    </row>
    <row r="191" spans="1:16" hidden="1" x14ac:dyDescent="0.35">
      <c r="A191" s="358" t="s">
        <v>2330</v>
      </c>
      <c r="B191" s="494" t="s">
        <v>2333</v>
      </c>
      <c r="C191" s="493"/>
      <c r="D191" s="493"/>
      <c r="E191" s="493"/>
      <c r="F191" s="493"/>
      <c r="G191" s="493"/>
      <c r="H191" s="493"/>
      <c r="I191" s="493"/>
      <c r="J191" s="493"/>
      <c r="K191" s="493"/>
      <c r="L191" s="493"/>
      <c r="M191" s="493"/>
      <c r="N191" s="493"/>
      <c r="O191" s="1" t="s">
        <v>2304</v>
      </c>
      <c r="P191" s="58"/>
    </row>
    <row r="192" spans="1:16" hidden="1" x14ac:dyDescent="0.35">
      <c r="A192" s="358" t="s">
        <v>2331</v>
      </c>
      <c r="B192" s="494" t="s">
        <v>2332</v>
      </c>
      <c r="C192" s="493"/>
      <c r="D192" s="493"/>
      <c r="E192" s="493"/>
      <c r="F192" s="493"/>
      <c r="G192" s="493"/>
      <c r="H192" s="493"/>
      <c r="I192" s="493"/>
      <c r="J192" s="493"/>
      <c r="K192" s="493"/>
      <c r="L192" s="493"/>
      <c r="M192" s="493"/>
      <c r="N192" s="493"/>
      <c r="O192" s="1" t="s">
        <v>2304</v>
      </c>
      <c r="P192" s="58"/>
    </row>
    <row r="193" spans="1:16" ht="14.5" hidden="1" customHeight="1" x14ac:dyDescent="0.35">
      <c r="A193" s="358" t="s">
        <v>2335</v>
      </c>
      <c r="B193" s="494" t="s">
        <v>2336</v>
      </c>
      <c r="C193" s="493"/>
      <c r="D193" s="493"/>
      <c r="E193" s="493"/>
      <c r="F193" s="493"/>
      <c r="G193" s="493"/>
      <c r="H193" s="493"/>
      <c r="I193" s="493"/>
      <c r="J193" s="493"/>
      <c r="K193" s="493"/>
      <c r="L193" s="493"/>
      <c r="M193" s="493"/>
      <c r="N193" s="493"/>
      <c r="O193" s="1" t="s">
        <v>2304</v>
      </c>
      <c r="P193" s="58"/>
    </row>
    <row r="194" spans="1:16" ht="14.5" hidden="1" customHeight="1" x14ac:dyDescent="0.35">
      <c r="A194" s="358" t="s">
        <v>2337</v>
      </c>
      <c r="B194" s="494" t="s">
        <v>2338</v>
      </c>
      <c r="C194" s="493"/>
      <c r="D194" s="493"/>
      <c r="E194" s="493"/>
      <c r="F194" s="493"/>
      <c r="G194" s="493"/>
      <c r="H194" s="493"/>
      <c r="I194" s="493"/>
      <c r="J194" s="493"/>
      <c r="K194" s="493"/>
      <c r="L194" s="493"/>
      <c r="M194" s="493"/>
      <c r="N194" s="493"/>
      <c r="O194" s="1" t="s">
        <v>2304</v>
      </c>
      <c r="P194" s="58"/>
    </row>
    <row r="195" spans="1:16" ht="14.5" customHeight="1" x14ac:dyDescent="0.35">
      <c r="A195" s="358" t="s">
        <v>2345</v>
      </c>
      <c r="B195" s="494" t="s">
        <v>2347</v>
      </c>
      <c r="C195" s="493"/>
      <c r="D195" s="493"/>
      <c r="E195" s="493"/>
      <c r="F195" s="493"/>
      <c r="G195" s="493"/>
      <c r="H195" s="493"/>
      <c r="I195" s="493"/>
      <c r="J195" s="493"/>
      <c r="K195" s="493"/>
      <c r="L195" s="493"/>
      <c r="M195" s="493"/>
      <c r="N195" s="493"/>
      <c r="O195" s="1"/>
      <c r="P195" s="58"/>
    </row>
    <row r="196" spans="1:16" hidden="1" x14ac:dyDescent="0.35">
      <c r="A196" s="358" t="s">
        <v>2379</v>
      </c>
      <c r="B196" s="494" t="s">
        <v>2380</v>
      </c>
      <c r="C196" s="493"/>
      <c r="D196" s="493"/>
      <c r="E196" s="493"/>
      <c r="F196" s="493"/>
      <c r="G196" s="493"/>
      <c r="H196" s="493"/>
      <c r="I196" s="493"/>
      <c r="J196" s="493"/>
      <c r="K196" s="493"/>
      <c r="L196" s="493"/>
      <c r="M196" s="493"/>
      <c r="N196" s="493"/>
      <c r="O196" s="1" t="s">
        <v>2304</v>
      </c>
      <c r="P196" s="58"/>
    </row>
    <row r="197" spans="1:16" hidden="1" x14ac:dyDescent="0.35">
      <c r="A197" s="358" t="s">
        <v>2381</v>
      </c>
      <c r="B197" s="494" t="s">
        <v>2382</v>
      </c>
      <c r="C197" s="493"/>
      <c r="D197" s="493"/>
      <c r="E197" s="493"/>
      <c r="F197" s="493"/>
      <c r="G197" s="493"/>
      <c r="H197" s="493"/>
      <c r="I197" s="493"/>
      <c r="J197" s="493"/>
      <c r="K197" s="493"/>
      <c r="L197" s="493"/>
      <c r="M197" s="493"/>
      <c r="N197" s="493"/>
    </row>
    <row r="198" spans="1:16" hidden="1" x14ac:dyDescent="0.35">
      <c r="A198" s="358" t="s">
        <v>2383</v>
      </c>
      <c r="B198" s="494" t="s">
        <v>2384</v>
      </c>
      <c r="C198" s="493"/>
      <c r="D198" s="493"/>
      <c r="E198" s="493"/>
      <c r="F198" s="493"/>
      <c r="G198" s="493"/>
      <c r="H198" s="493"/>
      <c r="I198" s="493"/>
      <c r="J198" s="493"/>
      <c r="K198" s="493"/>
      <c r="L198" s="493"/>
      <c r="M198" s="493"/>
      <c r="N198" s="493"/>
    </row>
    <row r="199" spans="1:16" hidden="1" x14ac:dyDescent="0.35">
      <c r="A199" s="358" t="s">
        <v>2385</v>
      </c>
      <c r="B199" s="494" t="s">
        <v>2386</v>
      </c>
      <c r="C199" s="493"/>
      <c r="D199" s="493"/>
      <c r="E199" s="493"/>
      <c r="F199" s="493"/>
      <c r="G199" s="493"/>
      <c r="H199" s="493"/>
      <c r="I199" s="493"/>
      <c r="J199" s="493"/>
      <c r="K199" s="493"/>
      <c r="L199" s="493"/>
      <c r="M199" s="493"/>
      <c r="N199" s="493"/>
    </row>
    <row r="200" spans="1:16" x14ac:dyDescent="0.35">
      <c r="A200" s="447"/>
      <c r="B200" s="448"/>
      <c r="C200" s="449"/>
      <c r="D200" s="449"/>
      <c r="E200" s="449"/>
      <c r="F200" s="449"/>
      <c r="G200" s="449"/>
      <c r="H200" s="449"/>
      <c r="I200" s="449"/>
      <c r="J200" s="449"/>
      <c r="K200" s="449"/>
      <c r="L200" s="449"/>
      <c r="M200" s="449"/>
      <c r="N200" s="449"/>
    </row>
    <row r="201" spans="1:16" x14ac:dyDescent="0.35">
      <c r="A201" s="447"/>
      <c r="B201" s="448"/>
      <c r="C201" s="449"/>
      <c r="D201" s="449"/>
      <c r="E201" s="449"/>
      <c r="F201" s="449"/>
      <c r="G201" s="449"/>
      <c r="H201" s="449"/>
      <c r="I201" s="449"/>
      <c r="J201" s="449"/>
      <c r="K201" s="449"/>
      <c r="L201" s="449"/>
      <c r="M201" s="449"/>
      <c r="N201" s="449"/>
    </row>
    <row r="202" spans="1:16" x14ac:dyDescent="0.35">
      <c r="A202" s="447"/>
      <c r="B202" s="448"/>
      <c r="C202" s="449"/>
      <c r="D202" s="449"/>
      <c r="E202" s="449"/>
      <c r="F202" s="449"/>
      <c r="G202" s="449"/>
      <c r="H202" s="449"/>
      <c r="I202" s="449"/>
      <c r="J202" s="449"/>
      <c r="K202" s="449"/>
      <c r="L202" s="449"/>
      <c r="M202" s="449"/>
      <c r="N202" s="449"/>
    </row>
    <row r="203" spans="1:16" x14ac:dyDescent="0.35">
      <c r="A203" s="447"/>
      <c r="B203" s="448"/>
      <c r="C203" s="449"/>
      <c r="D203" s="449"/>
      <c r="E203" s="449"/>
      <c r="F203" s="449"/>
      <c r="G203" s="449"/>
      <c r="H203" s="449"/>
      <c r="I203" s="449"/>
      <c r="J203" s="449"/>
      <c r="K203" s="449"/>
      <c r="L203" s="449"/>
      <c r="M203" s="449"/>
      <c r="N203" s="449"/>
    </row>
    <row r="204" spans="1:16" x14ac:dyDescent="0.35">
      <c r="A204" s="447"/>
      <c r="B204" s="448"/>
      <c r="C204" s="449"/>
      <c r="D204" s="449"/>
      <c r="E204" s="449"/>
      <c r="F204" s="449"/>
      <c r="G204" s="449"/>
      <c r="H204" s="449"/>
      <c r="I204" s="449"/>
      <c r="J204" s="449"/>
      <c r="K204" s="449"/>
      <c r="L204" s="449"/>
      <c r="M204" s="449"/>
      <c r="N204" s="449"/>
    </row>
    <row r="205" spans="1:16" x14ac:dyDescent="0.35">
      <c r="A205" s="447"/>
      <c r="B205" s="448"/>
      <c r="C205" s="449"/>
      <c r="D205" s="449"/>
      <c r="E205" s="449"/>
      <c r="F205" s="449"/>
      <c r="G205" s="449"/>
      <c r="H205" s="449"/>
      <c r="I205" s="449"/>
      <c r="J205" s="449"/>
      <c r="K205" s="449"/>
      <c r="L205" s="449"/>
      <c r="M205" s="449"/>
      <c r="N205" s="449"/>
    </row>
    <row r="206" spans="1:16" x14ac:dyDescent="0.35">
      <c r="A206" s="447"/>
      <c r="B206" s="448"/>
      <c r="C206" s="449"/>
      <c r="D206" s="449"/>
      <c r="E206" s="449"/>
      <c r="F206" s="449"/>
      <c r="G206" s="449"/>
      <c r="H206" s="449"/>
      <c r="I206" s="449"/>
      <c r="J206" s="449"/>
      <c r="K206" s="449"/>
      <c r="L206" s="449"/>
      <c r="M206" s="449"/>
      <c r="N206" s="449"/>
    </row>
    <row r="207" spans="1:16" x14ac:dyDescent="0.35">
      <c r="A207" s="447"/>
      <c r="B207" s="448"/>
      <c r="C207" s="449"/>
      <c r="D207" s="449"/>
      <c r="E207" s="449"/>
      <c r="F207" s="449"/>
      <c r="G207" s="449"/>
      <c r="H207" s="449"/>
      <c r="I207" s="449"/>
      <c r="J207" s="449"/>
      <c r="K207" s="449"/>
      <c r="L207" s="449"/>
      <c r="M207" s="449"/>
      <c r="N207" s="449"/>
    </row>
    <row r="208" spans="1:16" ht="18.5" x14ac:dyDescent="0.45">
      <c r="B208" s="507"/>
      <c r="C208" s="507"/>
      <c r="D208" s="507"/>
      <c r="E208" s="507"/>
      <c r="F208" s="507"/>
      <c r="G208" s="507"/>
      <c r="H208" s="507"/>
      <c r="I208" s="507"/>
      <c r="J208" s="507"/>
      <c r="K208" s="507"/>
      <c r="L208" s="507"/>
      <c r="M208" s="507"/>
      <c r="N208" s="507"/>
      <c r="O208" s="30"/>
      <c r="P208" s="30"/>
    </row>
    <row r="209" spans="2:16" ht="18.5" x14ac:dyDescent="0.45">
      <c r="B209" s="22"/>
      <c r="C209" s="22"/>
      <c r="D209" s="505"/>
      <c r="E209" s="505"/>
      <c r="F209" s="505"/>
      <c r="G209" s="90"/>
      <c r="H209" s="97"/>
      <c r="I209" s="506"/>
      <c r="J209" s="506"/>
      <c r="K209" s="286"/>
      <c r="N209" s="469"/>
      <c r="O209" s="469"/>
      <c r="P209" s="469"/>
    </row>
    <row r="210" spans="2:16" ht="18.5" x14ac:dyDescent="0.45">
      <c r="B210" s="90"/>
      <c r="C210" s="90"/>
      <c r="D210" s="402"/>
      <c r="E210" s="402"/>
      <c r="F210" s="402"/>
      <c r="G210" s="90"/>
      <c r="H210" s="68"/>
      <c r="I210" s="68"/>
      <c r="J210" s="68"/>
      <c r="K210" s="394"/>
      <c r="N210" s="469"/>
      <c r="O210" s="469"/>
      <c r="P210" s="469"/>
    </row>
    <row r="211" spans="2:16" ht="18.5" x14ac:dyDescent="0.45">
      <c r="B211" s="299"/>
      <c r="C211" s="411" t="s">
        <v>2283</v>
      </c>
      <c r="D211" s="230"/>
      <c r="E211" s="230"/>
      <c r="F211" s="230"/>
      <c r="G211" s="90"/>
      <c r="H211" s="68"/>
      <c r="I211" s="68"/>
      <c r="J211" s="68"/>
      <c r="K211" s="394"/>
    </row>
    <row r="212" spans="2:16" ht="18.5" x14ac:dyDescent="0.45">
      <c r="B212" s="22"/>
      <c r="C212" s="22" t="s">
        <v>1562</v>
      </c>
      <c r="D212" s="480" t="str">
        <f>VLOOKUP(C212,'[1]Sales Master'!B$3:D$603,2,0)</f>
        <v>Atap Seeds in Syrup亚嗒子</v>
      </c>
      <c r="E212" s="480"/>
      <c r="F212" s="480"/>
      <c r="G212" s="90">
        <v>1</v>
      </c>
      <c r="H212" s="68" t="str">
        <f>VLOOKUP(C212,'[1]Sales Master'!B$3:F$896,5,0)</f>
        <v>20 kgs/桶</v>
      </c>
      <c r="I212" s="481" t="str">
        <f>VLOOKUP(C212,'[1]Sales Master'!B$3:E$896,4,0)</f>
        <v>2P</v>
      </c>
      <c r="J212" s="481"/>
      <c r="K212" s="394">
        <v>64</v>
      </c>
    </row>
    <row r="213" spans="2:16" ht="18.5" x14ac:dyDescent="0.45">
      <c r="B213" s="22"/>
      <c r="C213" s="22" t="s">
        <v>1563</v>
      </c>
      <c r="D213" s="480" t="str">
        <f>VLOOKUP(C213,'[1]Sales Master'!B$3:D$603,2,0)</f>
        <v>Atap Seeds in Syrup亚嗒子</v>
      </c>
      <c r="E213" s="480"/>
      <c r="F213" s="480"/>
      <c r="G213" s="90">
        <v>1</v>
      </c>
      <c r="H213" s="68" t="str">
        <f>VLOOKUP(C213,'[1]Sales Master'!B$3:F$896,5,0)</f>
        <v>NW (2.1:0.9) 3 kgs</v>
      </c>
      <c r="I213" s="481" t="str">
        <f>VLOOKUP(C213,'[1]Sales Master'!B$3:E$896,4,0)</f>
        <v>2P</v>
      </c>
      <c r="J213" s="481"/>
      <c r="K213" s="394">
        <v>11.5</v>
      </c>
    </row>
    <row r="214" spans="2:16" ht="18.5" x14ac:dyDescent="0.45">
      <c r="B214" s="22"/>
      <c r="C214" s="22"/>
      <c r="D214" s="230"/>
      <c r="E214" s="230"/>
      <c r="F214" s="230"/>
      <c r="G214" s="401"/>
      <c r="H214" s="68"/>
      <c r="I214" s="68"/>
      <c r="J214" s="68"/>
      <c r="K214" s="394"/>
    </row>
    <row r="215" spans="2:16" ht="18.5" x14ac:dyDescent="0.45">
      <c r="B215" s="299"/>
      <c r="C215" s="285" t="s">
        <v>1891</v>
      </c>
      <c r="D215" s="24"/>
      <c r="E215" s="24"/>
      <c r="F215" s="24"/>
      <c r="G215" s="401"/>
      <c r="H215" s="68"/>
      <c r="I215" s="68"/>
      <c r="J215" s="68"/>
      <c r="K215" s="394"/>
    </row>
    <row r="216" spans="2:16" ht="18.5" x14ac:dyDescent="0.45">
      <c r="B216" s="22"/>
      <c r="C216" s="22" t="s">
        <v>1771</v>
      </c>
      <c r="D216" s="505" t="str">
        <f>VLOOKUP(C216,'Sales Master'!B$3:D$699,2,)</f>
        <v>Fine Sugar 白糖</v>
      </c>
      <c r="E216" s="505"/>
      <c r="F216" s="505"/>
      <c r="G216" s="401">
        <v>1</v>
      </c>
      <c r="H216" s="97" t="str">
        <f>VLOOKUP(C216,'Sales Master'!$B$3:$F$3179,5,0)</f>
        <v>25 KGS</v>
      </c>
      <c r="I216" s="506" t="str">
        <f>VLOOKUP(C216,'Sales Master'!$B$3:$E$3179,4,0)</f>
        <v>MITRPHOL</v>
      </c>
      <c r="J216" s="506"/>
      <c r="K216" s="394">
        <v>31</v>
      </c>
    </row>
    <row r="218" spans="2:16" ht="18.5" x14ac:dyDescent="0.45">
      <c r="C218" s="411" t="s">
        <v>2246</v>
      </c>
      <c r="D218" s="24"/>
      <c r="E218" s="24"/>
      <c r="F218" s="24"/>
      <c r="G218" s="90"/>
      <c r="H218" s="68"/>
      <c r="I218" s="68"/>
      <c r="J218" s="68"/>
      <c r="K218" s="387"/>
    </row>
    <row r="219" spans="2:16" ht="18.5" x14ac:dyDescent="0.45">
      <c r="C219" s="22" t="s">
        <v>1766</v>
      </c>
      <c r="D219" s="230" t="str">
        <f>VLOOKUP(C219,'[1]Sales Master'!B$3:D$603,2,0)</f>
        <v>Brown Sugar 黑糖</v>
      </c>
      <c r="E219" s="230"/>
      <c r="F219" s="230"/>
      <c r="G219" s="90">
        <v>1</v>
      </c>
      <c r="H219" s="68" t="str">
        <f>VLOOKUP(C219,'[1]Sales Master'!B$3:F$896,5,0)</f>
        <v>6 kgs</v>
      </c>
      <c r="I219" s="481" t="str">
        <f>VLOOKUP(C219,'Sales Master'!$B$3:$E$3179,4,0)</f>
        <v>Star</v>
      </c>
      <c r="J219" s="481"/>
      <c r="K219" s="394">
        <v>16.5</v>
      </c>
    </row>
    <row r="220" spans="2:16" ht="18.5" x14ac:dyDescent="0.45">
      <c r="C220" s="22" t="s">
        <v>1768</v>
      </c>
      <c r="D220" s="480" t="str">
        <f>VLOOKUP(C220,'[1]Sales Master'!B$3:D$603,2,0)</f>
        <v>Red Sugar 赤糖</v>
      </c>
      <c r="E220" s="480"/>
      <c r="F220" s="480"/>
      <c r="G220" s="90">
        <v>1</v>
      </c>
      <c r="H220" s="68" t="str">
        <f>VLOOKUP(C220,'[1]Sales Master'!B$3:F$896,5,0)</f>
        <v>6 kgs</v>
      </c>
      <c r="I220" s="481" t="str">
        <f>VLOOKUP(C220,'Sales Master'!$B$3:$E$3179,4,0)</f>
        <v>Star</v>
      </c>
      <c r="J220" s="481"/>
      <c r="K220" s="394">
        <v>16.5</v>
      </c>
    </row>
  </sheetData>
  <autoFilter ref="A3:Z199" xr:uid="{E52E15A4-4168-4F9C-96D9-52BC99476150}">
    <filterColumn colId="1" showButton="0">
      <filters>
        <filter val="Tiong Bahru Soya Bean                                                        52 Tiong Bahru Road #02-63.    Singapore 168716"/>
        <filter val="Whampoa Soya Bean                            Blk 221B Boon Lay Hawker Centre. #01-133"/>
      </filters>
    </filterColumn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</autoFilter>
  <mergeCells count="208">
    <mergeCell ref="B199:N199"/>
    <mergeCell ref="B189:N189"/>
    <mergeCell ref="I219:J219"/>
    <mergeCell ref="D220:F220"/>
    <mergeCell ref="I220:J220"/>
    <mergeCell ref="D209:F209"/>
    <mergeCell ref="I209:J209"/>
    <mergeCell ref="D212:F212"/>
    <mergeCell ref="I212:J212"/>
    <mergeCell ref="D216:F216"/>
    <mergeCell ref="I216:J216"/>
    <mergeCell ref="D213:F213"/>
    <mergeCell ref="I213:J213"/>
    <mergeCell ref="B190:N190"/>
    <mergeCell ref="B193:N193"/>
    <mergeCell ref="B191:N191"/>
    <mergeCell ref="B192:N192"/>
    <mergeCell ref="N209:P209"/>
    <mergeCell ref="N210:P210"/>
    <mergeCell ref="B194:N194"/>
    <mergeCell ref="B196:N196"/>
    <mergeCell ref="B197:N197"/>
    <mergeCell ref="B208:N208"/>
    <mergeCell ref="B198:N198"/>
    <mergeCell ref="B130:N130"/>
    <mergeCell ref="B186:N186"/>
    <mergeCell ref="B183:N183"/>
    <mergeCell ref="B178:N178"/>
    <mergeCell ref="B179:N179"/>
    <mergeCell ref="B180:N180"/>
    <mergeCell ref="B181:N181"/>
    <mergeCell ref="B169:N169"/>
    <mergeCell ref="B170:N170"/>
    <mergeCell ref="B171:N171"/>
    <mergeCell ref="B172:N172"/>
    <mergeCell ref="B173:N173"/>
    <mergeCell ref="B174:N174"/>
    <mergeCell ref="B175:N175"/>
    <mergeCell ref="B176:N176"/>
    <mergeCell ref="B177:N177"/>
    <mergeCell ref="B182:N182"/>
    <mergeCell ref="B185:N185"/>
    <mergeCell ref="B184:N184"/>
    <mergeCell ref="B157:N157"/>
    <mergeCell ref="B156:N156"/>
    <mergeCell ref="B158:N158"/>
    <mergeCell ref="B161:N161"/>
    <mergeCell ref="B160:N160"/>
    <mergeCell ref="B167:N167"/>
    <mergeCell ref="B165:N165"/>
    <mergeCell ref="B166:N166"/>
    <mergeCell ref="B164:N164"/>
    <mergeCell ref="B163:N163"/>
    <mergeCell ref="B162:N162"/>
    <mergeCell ref="B159:N159"/>
    <mergeCell ref="B131:N131"/>
    <mergeCell ref="B155:N155"/>
    <mergeCell ref="B154:N154"/>
    <mergeCell ref="B153:N153"/>
    <mergeCell ref="B152:N152"/>
    <mergeCell ref="B151:N151"/>
    <mergeCell ref="B149:N149"/>
    <mergeCell ref="B146:N146"/>
    <mergeCell ref="B148:N148"/>
    <mergeCell ref="B147:N147"/>
    <mergeCell ref="B150:N150"/>
    <mergeCell ref="B145:N145"/>
    <mergeCell ref="B143:N143"/>
    <mergeCell ref="B142:N142"/>
    <mergeCell ref="B137:N137"/>
    <mergeCell ref="B135:N135"/>
    <mergeCell ref="B134:N134"/>
    <mergeCell ref="B132:N132"/>
    <mergeCell ref="B133:N133"/>
    <mergeCell ref="B144:N144"/>
    <mergeCell ref="B141:N141"/>
    <mergeCell ref="B139:N139"/>
    <mergeCell ref="B138:N138"/>
    <mergeCell ref="B92:N92"/>
    <mergeCell ref="B93:N93"/>
    <mergeCell ref="B70:N70"/>
    <mergeCell ref="B91:N91"/>
    <mergeCell ref="B114:N114"/>
    <mergeCell ref="B115:N115"/>
    <mergeCell ref="B113:N113"/>
    <mergeCell ref="B129:N129"/>
    <mergeCell ref="B127:N127"/>
    <mergeCell ref="B126:N126"/>
    <mergeCell ref="B117:N117"/>
    <mergeCell ref="B119:N119"/>
    <mergeCell ref="B118:N118"/>
    <mergeCell ref="B120:N120"/>
    <mergeCell ref="B128:N128"/>
    <mergeCell ref="B125:N125"/>
    <mergeCell ref="B121:N121"/>
    <mergeCell ref="B116:N116"/>
    <mergeCell ref="B124:N124"/>
    <mergeCell ref="B123:N123"/>
    <mergeCell ref="B94:N94"/>
    <mergeCell ref="B95:N95"/>
    <mergeCell ref="B103:N103"/>
    <mergeCell ref="B98:N98"/>
    <mergeCell ref="B99:N99"/>
    <mergeCell ref="B100:N100"/>
    <mergeCell ref="B112:N112"/>
    <mergeCell ref="B111:N111"/>
    <mergeCell ref="B109:N109"/>
    <mergeCell ref="B108:N108"/>
    <mergeCell ref="B107:N107"/>
    <mergeCell ref="B105:N105"/>
    <mergeCell ref="B106:N106"/>
    <mergeCell ref="B104:N104"/>
    <mergeCell ref="B102:N102"/>
    <mergeCell ref="B97:N97"/>
    <mergeCell ref="B96:N96"/>
    <mergeCell ref="B110:N110"/>
    <mergeCell ref="B101:N101"/>
    <mergeCell ref="B83:N83"/>
    <mergeCell ref="B81:N81"/>
    <mergeCell ref="B85:N85"/>
    <mergeCell ref="B75:N75"/>
    <mergeCell ref="B71:N71"/>
    <mergeCell ref="B79:N79"/>
    <mergeCell ref="B84:N84"/>
    <mergeCell ref="B48:N48"/>
    <mergeCell ref="B122:N122"/>
    <mergeCell ref="B90:N90"/>
    <mergeCell ref="B72:N72"/>
    <mergeCell ref="B69:N69"/>
    <mergeCell ref="B78:N78"/>
    <mergeCell ref="B65:N65"/>
    <mergeCell ref="B66:N66"/>
    <mergeCell ref="B67:N67"/>
    <mergeCell ref="B56:N56"/>
    <mergeCell ref="B54:N54"/>
    <mergeCell ref="B77:N77"/>
    <mergeCell ref="B42:N42"/>
    <mergeCell ref="B14:N14"/>
    <mergeCell ref="B5:N5"/>
    <mergeCell ref="B8:N8"/>
    <mergeCell ref="B20:N20"/>
    <mergeCell ref="B23:N23"/>
    <mergeCell ref="B12:N12"/>
    <mergeCell ref="B15:N15"/>
    <mergeCell ref="B89:N89"/>
    <mergeCell ref="B88:N88"/>
    <mergeCell ref="B76:N76"/>
    <mergeCell ref="B87:N87"/>
    <mergeCell ref="B82:N82"/>
    <mergeCell ref="B6:N6"/>
    <mergeCell ref="B7:N7"/>
    <mergeCell ref="B9:N9"/>
    <mergeCell ref="B11:N11"/>
    <mergeCell ref="B10:N10"/>
    <mergeCell ref="B26:N26"/>
    <mergeCell ref="B17:N17"/>
    <mergeCell ref="B62:N62"/>
    <mergeCell ref="B22:N22"/>
    <mergeCell ref="B18:N18"/>
    <mergeCell ref="B19:N19"/>
    <mergeCell ref="B24:N24"/>
    <mergeCell ref="B21:N21"/>
    <mergeCell ref="B80:N80"/>
    <mergeCell ref="B61:N61"/>
    <mergeCell ref="B60:N60"/>
    <mergeCell ref="B63:N63"/>
    <mergeCell ref="B55:N55"/>
    <mergeCell ref="B47:N47"/>
    <mergeCell ref="B73:N73"/>
    <mergeCell ref="B64:N64"/>
    <mergeCell ref="B68:N68"/>
    <mergeCell ref="B39:N39"/>
    <mergeCell ref="B59:N59"/>
    <mergeCell ref="B57:N57"/>
    <mergeCell ref="B49:N49"/>
    <mergeCell ref="B32:N32"/>
    <mergeCell ref="B52:N52"/>
    <mergeCell ref="B51:N51"/>
    <mergeCell ref="B28:N28"/>
    <mergeCell ref="B29:N29"/>
    <mergeCell ref="B30:N30"/>
    <mergeCell ref="B46:N46"/>
    <mergeCell ref="B58:N58"/>
    <mergeCell ref="B74:N74"/>
    <mergeCell ref="B188:N188"/>
    <mergeCell ref="B187:N187"/>
    <mergeCell ref="B16:N16"/>
    <mergeCell ref="B13:N13"/>
    <mergeCell ref="B86:N86"/>
    <mergeCell ref="B195:N195"/>
    <mergeCell ref="B168:N168"/>
    <mergeCell ref="B3:N3"/>
    <mergeCell ref="B31:N31"/>
    <mergeCell ref="B33:N33"/>
    <mergeCell ref="B44:N44"/>
    <mergeCell ref="B45:N45"/>
    <mergeCell ref="B50:N50"/>
    <mergeCell ref="B41:N41"/>
    <mergeCell ref="B43:N43"/>
    <mergeCell ref="B34:N34"/>
    <mergeCell ref="B38:N38"/>
    <mergeCell ref="B35:N35"/>
    <mergeCell ref="B36:N36"/>
    <mergeCell ref="B27:N27"/>
    <mergeCell ref="B37:N37"/>
    <mergeCell ref="B40:N40"/>
    <mergeCell ref="B4:N4"/>
    <mergeCell ref="B25:N25"/>
  </mergeCells>
  <conditionalFormatting sqref="B212:B214">
    <cfRule type="duplicateValues" dxfId="150" priority="5"/>
  </conditionalFormatting>
  <conditionalFormatting sqref="B211:B215">
    <cfRule type="duplicateValues" dxfId="149" priority="6"/>
  </conditionalFormatting>
  <conditionalFormatting sqref="C214">
    <cfRule type="duplicateValues" dxfId="148" priority="3"/>
  </conditionalFormatting>
  <conditionalFormatting sqref="C214:C215">
    <cfRule type="duplicateValues" dxfId="147" priority="4"/>
  </conditionalFormatting>
  <conditionalFormatting sqref="C211:C213">
    <cfRule type="duplicateValues" dxfId="146" priority="2"/>
  </conditionalFormatting>
  <conditionalFormatting sqref="C218:C220">
    <cfRule type="duplicateValues" dxfId="145" priority="1"/>
  </conditionalFormatting>
  <hyperlinks>
    <hyperlink ref="A25" location="Ally!Print_Area" display="ID#22" xr:uid="{3829BA9F-AF3C-4043-A02C-95C50ECFC36B}"/>
    <hyperlink ref="A36" location="'#33'!Print_Area" display="ID#33" xr:uid="{9C9CF657-DF61-467D-98F6-1B3953EA60CF}"/>
    <hyperlink ref="A81" location="'#78'!Print_Area" display="ID#78" xr:uid="{257ABD56-54F6-4FB5-B891-19FC6232280B}"/>
    <hyperlink ref="A77" location="'#74'!Print_Area" display="ID#74" xr:uid="{D3E0B76E-9C14-47B9-AA8B-E23DA101BF26}"/>
    <hyperlink ref="A78" location="'#75'!Print_Area" display="ID#75" xr:uid="{1291AB5E-2890-4012-88CA-3D554476A336}"/>
    <hyperlink ref="A79" location="'#76'!Print_Area" display="ID#76" xr:uid="{6738DCF7-F586-434A-9833-2E70804336E1}"/>
    <hyperlink ref="A44" location="'#41'!Print_Area" display="ID#41" xr:uid="{A186D990-B97B-45F3-BD5C-0003B90428E9}"/>
    <hyperlink ref="A90" location="'#87'!Print_Area" display="ID#87" xr:uid="{07E8B96A-06CB-42A4-899C-366F1C9B4419}"/>
    <hyperlink ref="A47" location="'#44'!Print_Area" display="ID#44" xr:uid="{2B06E5EB-A8EF-493D-86DC-B91C816A30D9}"/>
    <hyperlink ref="A7" location="'#04'!Print_Area" display="ID#04" xr:uid="{770CE230-661A-4AC1-A79D-6E72D1F3979D}"/>
    <hyperlink ref="A6" location="'#03'!Print_Area" display="ID#03" xr:uid="{70022009-7B21-433E-B35D-A70FBB94813D}"/>
    <hyperlink ref="A53" location="'#50'!Print_Area" display="ID#50" xr:uid="{E8F5E0E6-DBB8-4A2A-8F46-84397BFE0718}"/>
    <hyperlink ref="A92" location="'#89'!Print_Area" display="ID#89" xr:uid="{0A749913-B5B5-4641-BE01-F5ED506815B2}"/>
    <hyperlink ref="A12" location="'#09'!Print_Area" display="ID#09" xr:uid="{0DA3E3FC-67AC-4836-9CE4-916E2C7C4805}"/>
    <hyperlink ref="A21" location="'#18'!Print_Area" display="ID#18" xr:uid="{5D40E5EE-B32F-4BF1-A2F7-C0CD7A0A1B90}"/>
    <hyperlink ref="A20" location="'#17'!Print_Area" display="ID#17" xr:uid="{6F534E9D-6BAE-4463-B8FA-D3D5BD27CE88}"/>
    <hyperlink ref="A19" location="'#16'!Print_Area" display="ID#16" xr:uid="{91577285-EF14-4CBD-A780-5D8D398334A0}"/>
    <hyperlink ref="A48" location="'#45'!Print_Area" display="ID#45" xr:uid="{A70736DC-555D-4585-96BB-A1524AB641AC}"/>
    <hyperlink ref="A93" location="'#90'!Print_Area" display="ID#90" xr:uid="{208D32BB-5B64-4F02-8A9D-BDDDB9D60B96}"/>
    <hyperlink ref="A13" location="'#10'!Print_Area" display="ID#10" xr:uid="{AAD6E324-D966-43EE-97FA-651A75FEF5F1}"/>
    <hyperlink ref="A14" location="'#11'!Print_Area" display="ID#11" xr:uid="{BDD214FB-0AA4-4350-A4B6-94A2642E88CB}"/>
    <hyperlink ref="A95" location="'#92'!Print_Area" display="ID#92" xr:uid="{D14388C9-347F-46A3-8E47-41696A727498}"/>
    <hyperlink ref="A82" location="'#79'!Print_Area" display="ID#79" xr:uid="{FFA9FD2C-002A-4B49-9E99-1779D8E09179}"/>
    <hyperlink ref="A96" location="'#93'!Print_Area" display="ID#93" xr:uid="{FB1A7DAC-F611-41E9-B426-0583227B891A}"/>
    <hyperlink ref="A83" location="'#80'!Print_Area" display="ID#80" xr:uid="{86F212B5-0CE3-47D1-94E9-784EDD864806}"/>
    <hyperlink ref="A97" location="'#94'!Print_Area" display="ID#94" xr:uid="{CE2D4EAA-568E-480F-A74B-FB248D242640}"/>
    <hyperlink ref="A16" location="'#13'!Print_Area" display="ID#13" xr:uid="{F08279ED-5043-4A1C-A285-611A793442C3}"/>
    <hyperlink ref="A94" location="'#91'!Print_Area" display="ID#91" xr:uid="{D76DF2BF-662B-410A-8973-8A3A084558C8}"/>
    <hyperlink ref="A98" location="'#95'!Print_Area" display="ID#95" xr:uid="{AD10342C-B68E-4E2E-8E25-CB7151AD426C}"/>
    <hyperlink ref="A54" location="'#51'!Print_Area" display="ID#51" xr:uid="{25357BC3-2782-4AD8-BA31-A4BFD6120334}"/>
    <hyperlink ref="A72" location="'#69'!Print_Area" display="ID#69" xr:uid="{EFCD1BDB-AB02-4F1A-9066-ECA0D333C6EB}"/>
    <hyperlink ref="A99" location="'#96'!Print_Area" display="ID#96" xr:uid="{0F3A011A-94A4-41D9-B4E9-E22CB2C118DF}"/>
    <hyperlink ref="A80" location="'#77'!Print_Area" display="ID#77" xr:uid="{9B6F2C02-79AB-4167-94FA-CBD9B772F09B}"/>
    <hyperlink ref="A31" location="'#28'!Print_Area" display="ID#28" xr:uid="{ED0E4D5C-78C0-4E58-B753-89C1AFE75CBB}"/>
    <hyperlink ref="A32" location="'#29'!Print_Area" display="ID#29" xr:uid="{544E8E3A-E511-41A9-9472-EC3B54B50604}"/>
    <hyperlink ref="A84" location="'#81'!Print_Area" display="ID#81" xr:uid="{2B70D826-EF0C-4169-8755-0DF17D51C93F}"/>
    <hyperlink ref="A51" location="'#48'!Print_Area" display="ID#48" xr:uid="{B55A3B4E-F6FE-4282-973D-C0EBABDEA79E}"/>
    <hyperlink ref="A17" location="'#14'!Print_Area" display="ID#14" xr:uid="{3ABA9987-2B48-4ED6-88C7-6BF68FF6A3F9}"/>
    <hyperlink ref="A15" location="'#12'!Print_Area" display="ID#12" xr:uid="{1A79E801-621F-410C-8EE5-45E4ADDFA573}"/>
    <hyperlink ref="A100" location="'#97'!Print_Area" display="ID#97" xr:uid="{4A17427B-0332-495A-90C3-91D10710D909}"/>
    <hyperlink ref="A39" location="'#36'!Print_Area" display="ID#36" xr:uid="{26FF2C85-1015-41E4-9103-A4D28E30D6C5}"/>
    <hyperlink ref="A43" location="'#40'!Print_Area" display="ID#40" xr:uid="{EBDAEBC4-CDA4-4106-8A45-987F8B41F76A}"/>
    <hyperlink ref="A58" location="'#55'!Print_Area" display="ID#55" xr:uid="{056ECA49-E781-4CC3-8141-A414E5ADC0C0}"/>
    <hyperlink ref="A57" location="'#54'!Print_Area" display="ID#54" xr:uid="{9B3ABF53-287F-4CB5-A69B-ADDBA95EAECF}"/>
    <hyperlink ref="A46" location="'#43'!Print_Area" display="ID#43" xr:uid="{A26B2792-7342-4456-858F-6BD47D94376C}"/>
    <hyperlink ref="A29" location="'#26'!Print_Area" display="ID#26" xr:uid="{3615BC19-D3B6-45F0-8D6F-15838269483C}"/>
    <hyperlink ref="A23" location="'#20'!Print_Area" display="ID#20" xr:uid="{DD436A41-AC1B-4096-B1B0-9A3C147C99B5}"/>
    <hyperlink ref="A74" location="'#71'!Print_Area" display="ID#71" xr:uid="{770C7BDA-57A1-4908-8001-E9A0930D087F}"/>
    <hyperlink ref="A9" location="'#06'!Print_Area" display="ID#06" xr:uid="{913F87ED-4018-4EB4-8405-6681E4673AC2}"/>
    <hyperlink ref="A10" location="'#07'!Print_Area" display="ID#07" xr:uid="{581644D9-4F90-4800-BE88-AFF6F3F30360}"/>
    <hyperlink ref="A62" location="'#59'!Print_Area" display="ID#59" xr:uid="{CE1AE6AD-738C-40DE-BE35-D664AE5FB643}"/>
    <hyperlink ref="A18" location="'#15'!Print_Area" display="ID#15" xr:uid="{D472910E-BC5F-4FA7-A3EC-528722A5BF1C}"/>
    <hyperlink ref="A8" location="'#05'!Print_Area" display="ID#05" xr:uid="{C074ACB7-57B5-4836-9B07-66F0377015C4}"/>
    <hyperlink ref="A4" location="'#01'!Print_Area" display="ID#01" xr:uid="{8D537EC5-BC43-4141-8EE5-D0A4BB3D7AB5}"/>
    <hyperlink ref="A5" location="'#02'!Print_Area" display="ID#02" xr:uid="{DCB7CDE0-CF91-4FA4-91B5-8E985D4D870E}"/>
    <hyperlink ref="A22" location="'#19'!Print_Area" display="ID#19" xr:uid="{F66327A6-9A23-4085-82FA-EAEAB40154B4}"/>
    <hyperlink ref="A27" location="'#24'!Print_Area" display="ID#24" xr:uid="{8F1FD257-E894-4155-9A91-91C9F2597364}"/>
    <hyperlink ref="A69" location="'#66'!Print_Area" display="ID#66" xr:uid="{408D6C60-9AA7-447D-9B86-3D47F96053D6}"/>
    <hyperlink ref="A34" location="'#31'!Print_Area" display="ID#31" xr:uid="{EA305AE0-4843-4268-86AE-6D4BDBF54733}"/>
    <hyperlink ref="A35" location="'#32'!Print_Area" display="ID#32" xr:uid="{8EE02A97-9C5E-43C7-94C2-145D2B623500}"/>
    <hyperlink ref="A37" location="'#34'!Print_Area" display="ID#34" xr:uid="{7A22469D-04F8-40FC-8C4F-7952574CF333}"/>
    <hyperlink ref="A63" location="'#60'!Print_Area" display="ID#60" xr:uid="{23DA12BC-6816-4E3D-A9AA-DEF193375CBE}"/>
    <hyperlink ref="A38" location="'#35'!Print_Area" display="ID#35" xr:uid="{55486963-8140-4FB2-B64E-D9AFD3FBB87D}"/>
    <hyperlink ref="A40" location="'#37'!Print_Area" display="ID#37" xr:uid="{7612EA49-8E01-4C74-AB43-431E5CC9B733}"/>
    <hyperlink ref="A41" location="'#38'!Print_Area" display="ID#38" xr:uid="{08343333-3CA9-4C88-BE72-4AB5128F3463}"/>
    <hyperlink ref="A45" location="'#42'!Print_Area" display="ID#42" xr:uid="{ED9F4A15-35E5-4C1A-B5A9-646D3652305C}"/>
    <hyperlink ref="A55" location="'#52'!Print_Area" display="ID#52" xr:uid="{58B2B738-4A79-496E-9E85-54C01725DFBE}"/>
    <hyperlink ref="A56" location="'#53'!Print_Area" display="ID#53" xr:uid="{76763DEB-F995-4FB1-AF5F-4EE5ABCA1307}"/>
    <hyperlink ref="A64" location="'#61'!Print_Area" display="ID#61" xr:uid="{92098091-AA60-43B2-B4D3-86B1D34A07E1}"/>
    <hyperlink ref="A68" location="'#65'!Print_Area" display="ID#65" xr:uid="{8901DD8C-6B2F-422B-9CFA-ED6E9D8A2244}"/>
    <hyperlink ref="A70" location="'#67'!Print_Area" display="ID#67" xr:uid="{67340604-4346-415C-87C4-29EC27044B55}"/>
    <hyperlink ref="A71" location="'#68'!Print_Area" display="ID#68" xr:uid="{8D271B23-3EF1-493E-9540-B8AF060A3373}"/>
    <hyperlink ref="A73" location="'#70'!Print_Area" display="ID#70" xr:uid="{3CE15121-CE54-4753-92A7-F00117E8B25E}"/>
    <hyperlink ref="A76" location="'#73'!Print_Area" display="ID#73" xr:uid="{22D04132-98A1-46D6-9EEB-0FE03F10D093}"/>
    <hyperlink ref="A75" location="'#72'!Print_Area" display="ID#72" xr:uid="{9FD1F773-0483-4033-8800-4411B217A75E}"/>
    <hyperlink ref="A89" location="'#86'!Print_Area" display="ID#86" xr:uid="{868DB1E8-393B-42FB-BE97-A83A24C19765}"/>
    <hyperlink ref="A30" location="'#27'!Print_Area" display="ID#27" xr:uid="{4E06FF99-2F2C-4408-AD99-2172FDC6818A}"/>
    <hyperlink ref="A67" location="'#64'!Print_Area" display="ID#64" xr:uid="{747B7E96-B312-4DDA-AFC7-6056AD8A1369}"/>
    <hyperlink ref="A24" location="'#21'!Print_Area" display="ID#21" xr:uid="{79AAE4EA-CF43-4D2E-AB50-F4251EF4767B}"/>
    <hyperlink ref="A61" location="'#58'!Print_Area" display="ID#58" xr:uid="{665E27F2-93B9-4023-94E9-AC3F23FC5337}"/>
    <hyperlink ref="A66" location="'#63'!Print_Area" display="ID#63" xr:uid="{A3FA5BBD-9220-4433-80F4-43F5297165F5}"/>
    <hyperlink ref="A101" location="'#99'!Print_Area" display="ID#99" xr:uid="{0C1579F1-CF57-4AF2-A7A5-DEBB226EAA72}"/>
    <hyperlink ref="A87" location="'#84'!Print_Area" display="ID#84" xr:uid="{75E22AFD-8623-4136-BA30-E36E0982AC03}"/>
    <hyperlink ref="A88" location="'#85'!Print_Area" display="ID#85" xr:uid="{1B0B9CF4-065F-48DC-A10E-60AF79E1D185}"/>
    <hyperlink ref="A33" location="'#30'!Print_Area" display="ID#30" xr:uid="{BA32D1AB-E62D-4D83-906E-31A6BB47F304}"/>
    <hyperlink ref="A104" location="'#102'!A1" display="ID#102" xr:uid="{834B0284-DE6F-46B1-A58F-B8E25E68C64E}"/>
    <hyperlink ref="A11" location="'#08'!Print_Area" display="ID#08" xr:uid="{3BA3FD64-3374-4CA7-AED2-E4392BBA6AA9}"/>
    <hyperlink ref="A103" location="'#101'!Print_Area" display="ID#101" xr:uid="{AE166301-7E75-4BF9-A728-1635D11F723D}"/>
    <hyperlink ref="A60" location="'#57'!Print_Area" display="ID#57" xr:uid="{DA966C21-16A0-447C-9BD6-89B7763CC394}"/>
    <hyperlink ref="A107" location="'#105'!Print_Area" display="ID#105" xr:uid="{E0F088FD-12D9-468D-843F-76568E61AA83}"/>
    <hyperlink ref="A42" location="'#39'!Print_Area" display="ID#39" xr:uid="{1356E0EB-54CE-41CA-99AD-38DB0143B4EE}"/>
    <hyperlink ref="A65" location="'#62'!Print_Area" display="ID#62" xr:uid="{A3A5AD90-2AB7-472B-954A-515664504FD0}"/>
    <hyperlink ref="A105" location="'#103'!Print_Area" display="ID#103" xr:uid="{C071C399-C4A5-4EEC-A185-DF0870AD10AA}"/>
    <hyperlink ref="A110" location="'#108'!Print_Area" display="ID#108" xr:uid="{05E65A34-807A-40A1-AC1C-5F09B6F1E89E}"/>
    <hyperlink ref="A112" location="'#110'!Print_Area" display="ID#110" xr:uid="{261480F2-7D2C-4C9E-9D9B-D70F720D91A1}"/>
    <hyperlink ref="A113" location="'#110'!Print_Area" display="ID#110" xr:uid="{BBA94A4E-5E73-46AD-BBFA-C27897AFF65A}"/>
    <hyperlink ref="A114" location="'#110'!Print_Area" display="ID#110" xr:uid="{F8979F58-21F2-4E8E-85BF-C219DC471C03}"/>
    <hyperlink ref="A115" location="'#113'!Print_Area" display="ID#113" xr:uid="{AEE87BE3-2FB5-42AF-AC77-88075D72FAAF}"/>
    <hyperlink ref="A50" location="'#47'!Print_Area" display="ID#47" xr:uid="{13121004-C5E5-4C9B-97B8-3154E4B22131}"/>
    <hyperlink ref="A116" location="'#114'!Print_Area" display="ID#114" xr:uid="{63408DD9-0FA1-4FA9-A3C2-0E10890C5CA7}"/>
    <hyperlink ref="A120" location="'#118'!A1" display="ID#118" xr:uid="{20AD1564-7D11-4E67-B2C8-50CA965FF540}"/>
    <hyperlink ref="A121" location="'#119'!Print_Area" display="ID#119" xr:uid="{276F51E1-23DB-4D60-82EF-2DC879BA50AA}"/>
    <hyperlink ref="A122" location="'#120'!Print_Area" display="Id#120" xr:uid="{1650A839-A9AB-410C-8348-23C3675C4BC6}"/>
    <hyperlink ref="A123" location="'#121'!Print_Area" display="ID#121" xr:uid="{E377376A-35D8-4AD9-894E-14AF66202C06}"/>
    <hyperlink ref="A118" location="'#116'!A1" display="id#116" xr:uid="{F0B22B20-0775-49B5-8E43-7665663AAC80}"/>
    <hyperlink ref="A117" location="'#115'!Print_Area" display="ID#115" xr:uid="{97C64319-E51D-433A-8667-EDBAF43830D9}"/>
    <hyperlink ref="A125" location="'#123'!Print_Area" display="ID#123" xr:uid="{34BF8C35-13E2-49E3-A496-37A74327D945}"/>
    <hyperlink ref="A106" location="'#104'!Print_Area" display="ID#104" xr:uid="{6768BEA0-3D7C-462A-BEBC-C9C3BAD2398D}"/>
    <hyperlink ref="A129" location="'#127'!Print_Area" display="ID#127" xr:uid="{0325FC2F-7995-468D-BDCF-A9E68E3C8F5F}"/>
    <hyperlink ref="A130" location="'#128'!Print_Area" display="ID#128" xr:uid="{3A375756-3791-4B80-81A4-8B574C851D9A}"/>
    <hyperlink ref="A131" location="'#129'!Print_Area" display="ID#129" xr:uid="{BE2CE0E4-C98D-494D-A3F1-682C2843831F}"/>
    <hyperlink ref="A124" location="'#122'!A1" display="ID#122" xr:uid="{AF5A4563-29CC-4311-8C13-5C3710E08175}"/>
    <hyperlink ref="A132" location="'#130'!Print_Area" display="ID#130" xr:uid="{DABD54D6-5339-4EB6-BD86-50F23C8041FE}"/>
    <hyperlink ref="A133" location="'#131'!Print_Area" display="ID#131" xr:uid="{63F35451-C7C9-4B3F-9CE8-64737B17457C}"/>
    <hyperlink ref="A126" location="'#124'!Print_Area" display="ID#124" xr:uid="{BF4E786B-C406-4140-9EFF-28CF31CA733F}"/>
    <hyperlink ref="A137" location="'#135'!Print_Area" display="ID#135" xr:uid="{5D9F4C77-2DC4-477D-8EA4-17CEBF534A41}"/>
    <hyperlink ref="A111" location="'#109'!Print_Area" display="ID#109" xr:uid="{FFF24A39-22E5-4847-AF73-E5AE47EFFD95}"/>
    <hyperlink ref="A138" location="'#136'!Print_Area" display="ID#136" xr:uid="{1EF73119-2EA0-4442-AFCB-072A6FA0CF33}"/>
    <hyperlink ref="A140" location="'#138'!Print_Area" display="ID#138" xr:uid="{CB9D04BC-FDB6-44AB-8496-84F36634BE7C}"/>
    <hyperlink ref="A139" location="'#137'!Print_Area" display="ID#137" xr:uid="{1BF76D18-05C6-4355-ACBD-A23B3BB3FBD1}"/>
    <hyperlink ref="A141" location="'#139'!Print_Area" display="ID#139" xr:uid="{74F2D184-6619-41F2-AA32-5DB65C8A77DF}"/>
    <hyperlink ref="A142" location="'#140'!Print_Area" display="ID#140" xr:uid="{BC9A482F-B4F5-48C0-AF96-F0027D9DAB76}"/>
    <hyperlink ref="A143" location="'#139'!Print_Area" display="ID#139" xr:uid="{DDF03F99-560F-4A20-B90E-B60E869F816E}"/>
    <hyperlink ref="A128" location="'#126'!Print_Area" display="ID#126" xr:uid="{C060FF68-6B77-451B-9AB0-3ECE05BCEF97}"/>
    <hyperlink ref="A49" location="'#46'!Print_Area" display="ID#46" xr:uid="{729679CB-43B1-4473-B1B2-49B7218D5887}"/>
    <hyperlink ref="A144" location="'#142'!Print_Area" display="ID#142" xr:uid="{46A2C86A-254F-4193-A22D-D4184A0E44C0}"/>
    <hyperlink ref="A145" location="'#143'!Print_Area" display="ID#143" xr:uid="{670F9B4C-8F78-41F1-A6BE-9E163C139478}"/>
    <hyperlink ref="A28" location="'#25'!Print_Area" display="ID#25" xr:uid="{65452B3C-12F1-4445-B8F8-A7D26C9C9D4B}"/>
    <hyperlink ref="A134" location="'#132'!Print_Area" display="ID#132" xr:uid="{F6CDF361-C446-4FF9-B237-DCBE0C14CDC1}"/>
    <hyperlink ref="A146" location="'#144'!Print_Area" display="ID#144" xr:uid="{CFC30B43-4F67-4D83-AA76-75E03D647F27}"/>
    <hyperlink ref="A147" location="'#145'!Print_Area" display="ID#145" xr:uid="{406A1D90-F26D-42B2-8BD1-E0AECCFEF5CA}"/>
    <hyperlink ref="A148" location="'#146'!Print_Area" display="ID#146" xr:uid="{52F1C07F-070F-47A0-9284-E12370AD8336}"/>
    <hyperlink ref="A149" location="'#144'!Print_Area" display="ID#144" xr:uid="{FB3D72B9-432D-4698-9EE0-A58D7A12385B}"/>
    <hyperlink ref="A150" location="'#148'!Print_Area" display="ID#148" xr:uid="{C0FF8EBC-70A6-4B07-B087-1BC986F63E77}"/>
    <hyperlink ref="A151" location="'#149'!Print_Area" display="ID#149" xr:uid="{3E2F8809-8D4A-41B6-81DC-C8C9D49734EB}"/>
    <hyperlink ref="A152" location="'#150'!Print_Area" display="ID#150" xr:uid="{C2B5CFBB-8E91-4946-84E0-0145C03DB981}"/>
    <hyperlink ref="A153" location="'#151'!Print_Area" display="ID#151" xr:uid="{DD3C4BA0-1943-4808-9F1D-7507C81089CD}"/>
    <hyperlink ref="A155" location="'#153'!Print_Area" display="ID#153" xr:uid="{DD30097C-9DCA-4DAF-90A9-F74FE7760150}"/>
    <hyperlink ref="A154" location="'#152'!Print_Area" display="ID#152" xr:uid="{ED214A3B-1350-4910-941E-01588FA41684}"/>
    <hyperlink ref="A156" location="'#154'!Print_Area" display="ID#154" xr:uid="{E7CA601C-7C42-4F52-B3BB-27EFFE3775D7}"/>
    <hyperlink ref="A157" location="'#155'!Print_Area" display="ID#155" xr:uid="{7B4A8DF0-4467-44FC-9F31-D6E997A0424D}"/>
    <hyperlink ref="A52" location="'#49'!Print_Area" display="ID#49" xr:uid="{67BE2828-05EC-478A-9EED-F46EFADE101A}"/>
    <hyperlink ref="A59" location="'#56'!Print_Area" display="ID#56" xr:uid="{1B8D0D94-42BE-41DA-BECF-2407AD69826F}"/>
    <hyperlink ref="A161" location="'#159'!Print_Area" display="ID#159" xr:uid="{28E6E0F8-4C19-4C4C-86B3-EB32CC871FA3}"/>
    <hyperlink ref="A162" location="'#160'!Print_Area" display="ID#160" xr:uid="{A49B36B6-BDA9-4769-A0DD-F8615C9DC1C5}"/>
    <hyperlink ref="A160" location="'#158'!Print_Area" display="ID#158" xr:uid="{0F8E334F-C39A-4D50-B87D-B5C180CD9725}"/>
    <hyperlink ref="A159" location="'#157'!Print_Area" display="ID#157" xr:uid="{B5DBEC00-4B30-4627-9281-4B1AE2C1FC28}"/>
    <hyperlink ref="A163" location="'#160'!Print_Area" display="ID#160" xr:uid="{EA0EE99F-9FD9-4CEE-A8D9-BE363957A023}"/>
    <hyperlink ref="A135" location="'#133'!Print_Area" display="ID#133" xr:uid="{20FC2E5C-DDE2-4AC5-84F0-1353CC5B17DF}"/>
    <hyperlink ref="A168" location="'#166'!Print_Area" display="ID#166" xr:uid="{4EE9A063-5F90-436C-BAAC-B4A0AD238C55}"/>
    <hyperlink ref="A167" location="'#165'!Print_Area" display="ID#165" xr:uid="{0135E986-2202-49E7-878E-78CF63AD3A09}"/>
    <hyperlink ref="A166" location="'#164'!Print_Area" display="ID#164" xr:uid="{768D6612-B136-4675-ABFF-F260EF99A276}"/>
    <hyperlink ref="A184" location="'#182'!Print_Area" display="ID#182" xr:uid="{8198C3CA-AE09-4F94-BAC9-C7822AD5BE80}"/>
    <hyperlink ref="A165" location="'#163'!Print_Area" display="ID#163" xr:uid="{24A5ADBA-CC30-42F9-86EA-8377482363AC}"/>
    <hyperlink ref="A173" location="'#171'!Print_Area" display="ID#171" xr:uid="{EABBBE1C-4173-43CC-A4B1-26E639B3C01D}"/>
    <hyperlink ref="A177" location="'#175'!Print_Area" display="ID#175" xr:uid="{4E196583-7921-433B-87A6-2B504C73A922}"/>
    <hyperlink ref="A183" location="'#181'!Print_Area" display="ID#181" xr:uid="{01626621-C27F-43C5-8294-6E21DBFF6797}"/>
    <hyperlink ref="A181" location="'#179'!Print_Area" display="ID#179" xr:uid="{BB2D12E3-2246-4448-929E-AE2E5D61DA67}"/>
    <hyperlink ref="A185" location="'#183'!Print_Area" display="ID#183" xr:uid="{B25F57C1-BF76-4800-86AB-85471D962F90}"/>
    <hyperlink ref="A170" location="'#168'!Print_Area" display="ID#168" xr:uid="{70244E2C-4483-470D-BE1E-065600A982B4}"/>
    <hyperlink ref="A91" location="'#88'!Print_Area" display="ID#88" xr:uid="{5E353A90-909E-4857-BFDA-4C991DAC3850}"/>
    <hyperlink ref="A187" location="'#185'!Print_Area" display="ID#185" xr:uid="{59D5DA59-E931-4144-A738-C8D1D1BF2FF3}"/>
    <hyperlink ref="A180" location="'#178'!Print_Area" display="ID#178" xr:uid="{339F6472-F595-41E9-96A1-533665D6C610}"/>
    <hyperlink ref="A188" location="'#186'!Print_Area" display="ID#186" xr:uid="{EF7F91CA-F5AE-4132-97D0-96404B8BFD1D}"/>
    <hyperlink ref="A189" location="'#187'!A1" display="ID#187" xr:uid="{9AFCA89B-9B24-46DA-973E-5E4F99E75A05}"/>
    <hyperlink ref="A190" location="'#188'!A1" display="ID#188" xr:uid="{E4FF4021-0700-41B3-A7E9-3D7F7B041FB4}"/>
    <hyperlink ref="A195" location="'#193'!A1" display="ID#193" xr:uid="{60ABAA04-9048-4967-9852-0CB5ECCD0BAA}"/>
    <hyperlink ref="A191" location="'#189'!A1" display="ID#189" xr:uid="{605B7477-13FC-4D8D-8EE9-1DB273DB4216}"/>
    <hyperlink ref="A192" location="'#190'!A1" display="ID#190" xr:uid="{DDA7381A-13DF-4527-8DB3-2892910004AF}"/>
    <hyperlink ref="A193" location="'#191'!A1" display="ID#191" xr:uid="{09DC3DFB-29C4-44FE-BA86-789DCE67D6C2}"/>
    <hyperlink ref="A194" location="'#192'!A1" display="ID#192" xr:uid="{9320115F-E7B9-435D-9C01-905DBBD8FFD7}"/>
    <hyperlink ref="A171" location="'#169'!Print_Area" display="ID#169" xr:uid="{36B0A8BE-CE9B-4263-9406-8B7CCF47769C}"/>
    <hyperlink ref="A196" location="'#192'!A1" display="ID#192" xr:uid="{A5B555BD-C996-4580-A37C-39924E38824F}"/>
    <hyperlink ref="A197" location="'#192'!A1" display="ID#192" xr:uid="{A4173CE3-857A-44A7-8D72-D1C0EDF6DB5B}"/>
    <hyperlink ref="A198" location="'#192'!A1" display="ID#192" xr:uid="{4F2A143E-73F3-4862-A6EA-F13F0652E6E6}"/>
    <hyperlink ref="A199" location="'#192'!A1" display="ID#192" xr:uid="{4111CF0A-652C-458B-A46B-9E6B7EE92BBE}"/>
  </hyperlinks>
  <pageMargins left="0.51181102362204722" right="0" top="0.74803149606299213" bottom="0" header="0.31496062992125984" footer="0.31496062992125984"/>
  <pageSetup scale="78" fitToHeight="0" orientation="landscape" horizontalDpi="300" verticalDpi="3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588CC2-DAF5-489B-91C4-DDB1EA7AA76F}">
  <sheetPr codeName="Sheet28">
    <tabColor rgb="FF996600"/>
    <pageSetUpPr fitToPage="1"/>
  </sheetPr>
  <dimension ref="B1:Q52"/>
  <sheetViews>
    <sheetView zoomScale="99" zoomScaleNormal="99" workbookViewId="0">
      <selection activeCell="B1" sqref="B1:L8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7.453125" style="24" customWidth="1"/>
    <col min="7" max="7" width="8.54296875" style="24" customWidth="1"/>
    <col min="8" max="8" width="18.08984375" style="24" customWidth="1"/>
    <col min="9" max="9" width="2.54296875" style="24" customWidth="1"/>
    <col min="10" max="10" width="15.54296875" style="24" customWidth="1"/>
    <col min="11" max="11" width="11.81640625" style="24" customWidth="1"/>
    <col min="12" max="12" width="12.54296875" style="24" customWidth="1"/>
    <col min="13" max="13" width="12.54296875" style="24"/>
    <col min="14" max="16" width="12.6328125" style="24" customWidth="1"/>
    <col min="17" max="17" width="14.6328125" style="24" customWidth="1"/>
    <col min="18" max="22" width="8.6328125" style="24" customWidth="1"/>
    <col min="23" max="16384" width="12.54296875" style="24"/>
  </cols>
  <sheetData>
    <row r="1" spans="2:14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4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4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4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4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4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4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4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4" ht="19" thickBot="1" x14ac:dyDescent="0.5">
      <c r="B9" s="23"/>
    </row>
    <row r="10" spans="2:14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687</v>
      </c>
      <c r="J10" s="29" t="s">
        <v>29</v>
      </c>
      <c r="K10" s="452">
        <v>202210006</v>
      </c>
      <c r="L10" s="453"/>
    </row>
    <row r="11" spans="2:14" ht="20.149999999999999" customHeight="1" x14ac:dyDescent="0.45">
      <c r="B11" s="454"/>
      <c r="C11" s="455"/>
      <c r="D11" s="456"/>
      <c r="E11" s="30"/>
      <c r="F11" s="457" t="str">
        <f>VLOOKUP(H10,'Delivery Location'!A$4:N$416,2,0)</f>
        <v>Tong Shui Desserts                                                 101, Upper Cross Street #02-49.  People's Park Centre, Singapore 058357</v>
      </c>
      <c r="G11" s="458"/>
      <c r="H11" s="459"/>
      <c r="J11" s="31" t="s">
        <v>11</v>
      </c>
      <c r="K11" s="466">
        <v>44835</v>
      </c>
      <c r="L11" s="467"/>
    </row>
    <row r="12" spans="2:14" ht="20.149999999999999" customHeight="1" x14ac:dyDescent="0.45">
      <c r="B12" s="468"/>
      <c r="C12" s="469"/>
      <c r="D12" s="470"/>
      <c r="E12" s="30"/>
      <c r="F12" s="460"/>
      <c r="G12" s="461"/>
      <c r="H12" s="462"/>
      <c r="J12" s="31" t="s">
        <v>171</v>
      </c>
      <c r="K12" s="551" t="s">
        <v>533</v>
      </c>
      <c r="L12" s="472"/>
    </row>
    <row r="13" spans="2:14" ht="20.149999999999999" customHeight="1" x14ac:dyDescent="0.45">
      <c r="B13" s="468"/>
      <c r="C13" s="469"/>
      <c r="D13" s="470"/>
      <c r="E13" s="30"/>
      <c r="F13" s="460"/>
      <c r="G13" s="461"/>
      <c r="H13" s="462"/>
      <c r="J13" s="31" t="s">
        <v>12</v>
      </c>
      <c r="K13" s="471" t="s">
        <v>1439</v>
      </c>
      <c r="L13" s="472"/>
    </row>
    <row r="14" spans="2:14" ht="20.149999999999999" customHeight="1" x14ac:dyDescent="0.45">
      <c r="B14" s="468"/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4" ht="18" customHeight="1" thickBot="1" x14ac:dyDescent="0.5">
      <c r="B15" s="552"/>
      <c r="C15" s="474"/>
      <c r="D15" s="475"/>
      <c r="E15" s="26"/>
      <c r="F15" s="463"/>
      <c r="G15" s="464"/>
      <c r="H15" s="465"/>
      <c r="J15" s="32" t="s">
        <v>13</v>
      </c>
      <c r="K15" s="182" t="s">
        <v>997</v>
      </c>
      <c r="L15" s="181"/>
    </row>
    <row r="16" spans="2:14" ht="19" thickBot="1" x14ac:dyDescent="0.5">
      <c r="J16" s="22"/>
      <c r="N16" s="125"/>
    </row>
    <row r="17" spans="2:17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17" ht="20.149999999999999" customHeight="1" x14ac:dyDescent="0.45">
      <c r="B18" s="70"/>
      <c r="C18" s="22" t="s">
        <v>1572</v>
      </c>
      <c r="D18" s="508" t="str">
        <f>VLOOKUP(C18,'Sales Master'!B$3:D$699,2,)</f>
        <v>Red Bean红豆 (5.5 mm)</v>
      </c>
      <c r="E18" s="508"/>
      <c r="F18" s="508"/>
      <c r="G18" s="90">
        <v>1</v>
      </c>
      <c r="H18" s="389" t="str">
        <f>VLOOKUP(C18,'Sales Master'!$B$3:$F$3179,5,0)</f>
        <v>5 kgs</v>
      </c>
      <c r="I18" s="482" t="str">
        <f>VLOOKUP(C18,'Sales Master'!$B$3:$E$3179,4,0)</f>
        <v>-</v>
      </c>
      <c r="J18" s="482"/>
      <c r="K18" s="387">
        <f>VLOOKUP(C18,'Sales Master'!B$3:R$3515,17,0)</f>
        <v>21</v>
      </c>
      <c r="L18" s="99">
        <f t="shared" ref="L18" si="0">K18*G18</f>
        <v>21</v>
      </c>
      <c r="M18" s="78"/>
      <c r="N18" s="225">
        <f>VLOOKUP(C18,'Sales Master'!$B$3:$DA$3038,104,0)</f>
        <v>17</v>
      </c>
      <c r="O18" s="225">
        <f t="shared" ref="O18" si="1">K18-N18</f>
        <v>4</v>
      </c>
      <c r="P18" s="225">
        <f t="shared" ref="P18" si="2">O18*G18</f>
        <v>4</v>
      </c>
      <c r="Q18" s="76"/>
    </row>
    <row r="19" spans="2:17" ht="20.149999999999999" customHeight="1" x14ac:dyDescent="0.45">
      <c r="B19" s="70"/>
      <c r="C19" s="22" t="s">
        <v>1585</v>
      </c>
      <c r="D19" s="508" t="str">
        <f>VLOOKUP(C19,'Sales Master'!B$3:D$699,2,)</f>
        <v>Green Bean 绿豆</v>
      </c>
      <c r="E19" s="508"/>
      <c r="F19" s="508"/>
      <c r="G19" s="90">
        <v>1</v>
      </c>
      <c r="H19" s="389" t="str">
        <f>VLOOKUP(C19,'Sales Master'!$B$3:$F$3179,5,0)</f>
        <v>5 kgs</v>
      </c>
      <c r="I19" s="482" t="str">
        <f>VLOOKUP(C19,'Sales Master'!$B$3:$E$3179,4,0)</f>
        <v>-</v>
      </c>
      <c r="J19" s="482"/>
      <c r="K19" s="387">
        <f>VLOOKUP(C19,'Sales Master'!B$3:R$3515,17,0)</f>
        <v>13.5</v>
      </c>
      <c r="L19" s="99">
        <f t="shared" ref="L19:L20" si="3">K19*G19</f>
        <v>13.5</v>
      </c>
      <c r="M19" s="78"/>
      <c r="N19" s="225">
        <f>VLOOKUP(C19,'Sales Master'!$B$3:$DA$3038,104,0)</f>
        <v>9.3999999999999986</v>
      </c>
      <c r="O19" s="225">
        <f t="shared" ref="O19:O20" si="4">K19-N19</f>
        <v>4.1000000000000014</v>
      </c>
      <c r="P19" s="225">
        <f t="shared" ref="P19:P20" si="5">O19*G19</f>
        <v>4.1000000000000014</v>
      </c>
      <c r="Q19" s="76"/>
    </row>
    <row r="20" spans="2:17" ht="20.149999999999999" customHeight="1" x14ac:dyDescent="0.45">
      <c r="B20" s="70"/>
      <c r="C20" s="22" t="s">
        <v>1593</v>
      </c>
      <c r="D20" s="508" t="str">
        <f>VLOOKUP(C20,'Sales Master'!B$3:D$699,2,)</f>
        <v>Split Green Mung Bean豆畔</v>
      </c>
      <c r="E20" s="508"/>
      <c r="F20" s="508"/>
      <c r="G20" s="90">
        <v>2</v>
      </c>
      <c r="H20" s="389" t="str">
        <f>VLOOKUP(C20,'Sales Master'!$B$3:$F$3179,5,0)</f>
        <v>5 KG</v>
      </c>
      <c r="I20" s="482" t="str">
        <f>VLOOKUP(C20,'Sales Master'!$B$3:$E$3179,4,0)</f>
        <v>-</v>
      </c>
      <c r="J20" s="482"/>
      <c r="K20" s="387">
        <f>VLOOKUP(C20,'Sales Master'!B$3:R$3515,17,0)</f>
        <v>16</v>
      </c>
      <c r="L20" s="99">
        <f t="shared" si="3"/>
        <v>32</v>
      </c>
      <c r="M20" s="78"/>
      <c r="N20" s="225">
        <f>VLOOKUP(C20,'Sales Master'!$B$3:$DA$3038,104,0)</f>
        <v>12.166666666666666</v>
      </c>
      <c r="O20" s="225">
        <f t="shared" si="4"/>
        <v>3.8333333333333339</v>
      </c>
      <c r="P20" s="225">
        <f t="shared" si="5"/>
        <v>7.6666666666666679</v>
      </c>
      <c r="Q20" s="76"/>
    </row>
    <row r="21" spans="2:17" ht="20.149999999999999" customHeight="1" x14ac:dyDescent="0.45">
      <c r="B21" s="70"/>
      <c r="C21" s="22" t="s">
        <v>1599</v>
      </c>
      <c r="D21" s="508" t="str">
        <f>VLOOKUP(C21,'Sales Master'!B$3:D$699,2,)</f>
        <v>Black Glutinous Rice 黑糯米</v>
      </c>
      <c r="E21" s="508"/>
      <c r="F21" s="508"/>
      <c r="G21" s="90">
        <v>1</v>
      </c>
      <c r="H21" s="389" t="str">
        <f>VLOOKUP(C21,'Sales Master'!$B$3:$F$3179,5,0)</f>
        <v>5 kgs</v>
      </c>
      <c r="I21" s="482" t="str">
        <f>VLOOKUP(C21,'Sales Master'!$B$3:$E$3179,4,0)</f>
        <v>-</v>
      </c>
      <c r="J21" s="482"/>
      <c r="K21" s="387">
        <f>VLOOKUP(C21,'Sales Master'!B$3:R$3515,17,0)</f>
        <v>18</v>
      </c>
      <c r="L21" s="99">
        <f t="shared" ref="L21:L23" si="6">K21*G21</f>
        <v>18</v>
      </c>
      <c r="M21" s="78"/>
      <c r="N21" s="225">
        <f>VLOOKUP(C21,'Sales Master'!$B$3:$DA$3038,104,0)</f>
        <v>12</v>
      </c>
      <c r="O21" s="225">
        <f t="shared" ref="O21:O23" si="7">K21-N21</f>
        <v>6</v>
      </c>
      <c r="P21" s="225">
        <f t="shared" ref="P21:P23" si="8">O21*G21</f>
        <v>6</v>
      </c>
      <c r="Q21" s="76"/>
    </row>
    <row r="22" spans="2:17" ht="20.149999999999999" customHeight="1" x14ac:dyDescent="0.45">
      <c r="B22" s="70"/>
      <c r="C22" s="22" t="s">
        <v>1606</v>
      </c>
      <c r="D22" s="508" t="str">
        <f>VLOOKUP(C22,'Sales Master'!B$3:D$699,2,)</f>
        <v>White Wheat 大麦</v>
      </c>
      <c r="E22" s="508"/>
      <c r="F22" s="508"/>
      <c r="G22" s="90">
        <v>1</v>
      </c>
      <c r="H22" s="389" t="str">
        <f>VLOOKUP(C22,'Sales Master'!$B$3:$F$3179,5,0)</f>
        <v>10PKT/BAG</v>
      </c>
      <c r="I22" s="482" t="str">
        <f>VLOOKUP(C22,'Sales Master'!$B$3:$E$3179,4,0)</f>
        <v>-</v>
      </c>
      <c r="J22" s="482"/>
      <c r="K22" s="387">
        <f>VLOOKUP(C22,'Sales Master'!B$3:R$3515,17,0)</f>
        <v>10.5</v>
      </c>
      <c r="L22" s="99">
        <f t="shared" si="6"/>
        <v>10.5</v>
      </c>
      <c r="M22" s="78"/>
      <c r="N22" s="225">
        <f>VLOOKUP(C22,'Sales Master'!$B$3:$DA$3038,104,0)</f>
        <v>7.5</v>
      </c>
      <c r="O22" s="225">
        <f t="shared" si="7"/>
        <v>3</v>
      </c>
      <c r="P22" s="225">
        <f t="shared" si="8"/>
        <v>3</v>
      </c>
      <c r="Q22" s="76"/>
    </row>
    <row r="23" spans="2:17" ht="20.149999999999999" customHeight="1" x14ac:dyDescent="0.45">
      <c r="B23" s="70"/>
      <c r="C23" s="22" t="s">
        <v>1608</v>
      </c>
      <c r="D23" s="508" t="str">
        <f>VLOOKUP(C23,'Sales Master'!B$3:D$699,2,)</f>
        <v>Pearl Barley 薏米</v>
      </c>
      <c r="E23" s="508"/>
      <c r="F23" s="508"/>
      <c r="G23" s="90">
        <v>1</v>
      </c>
      <c r="H23" s="389" t="str">
        <f>VLOOKUP(C23,'Sales Master'!$B$3:$F$3179,5,0)</f>
        <v>5 kgs</v>
      </c>
      <c r="I23" s="482" t="str">
        <f>VLOOKUP(C23,'Sales Master'!$B$3:$E$3179,4,0)</f>
        <v>-</v>
      </c>
      <c r="J23" s="482"/>
      <c r="K23" s="387">
        <f>VLOOKUP(C23,'Sales Master'!B$3:R$3515,17,0)</f>
        <v>10</v>
      </c>
      <c r="L23" s="99">
        <f t="shared" si="6"/>
        <v>10</v>
      </c>
      <c r="M23" s="78"/>
      <c r="N23" s="225">
        <f>VLOOKUP(C23,'Sales Master'!$B$3:$DA$3038,104,0)</f>
        <v>6.8000000000000007</v>
      </c>
      <c r="O23" s="225">
        <f t="shared" si="7"/>
        <v>3.1999999999999993</v>
      </c>
      <c r="P23" s="225">
        <f t="shared" si="8"/>
        <v>3.1999999999999993</v>
      </c>
      <c r="Q23" s="76"/>
    </row>
    <row r="24" spans="2:17" ht="20.149999999999999" customHeight="1" x14ac:dyDescent="0.45">
      <c r="B24" s="70"/>
      <c r="C24" s="22" t="s">
        <v>1619</v>
      </c>
      <c r="D24" s="508" t="str">
        <f>VLOOKUP(C24,'Sales Master'!B$3:D$699,2,)</f>
        <v>Dried Longan 龙眼干</v>
      </c>
      <c r="E24" s="508"/>
      <c r="F24" s="508"/>
      <c r="G24" s="90">
        <v>1</v>
      </c>
      <c r="H24" s="389" t="str">
        <f>VLOOKUP(C24,'Sales Master'!$B$3:$F$3179,5,0)</f>
        <v>10 KGS</v>
      </c>
      <c r="I24" s="482" t="str">
        <f>VLOOKUP(C24,'Sales Master'!$B$3:$E$3179,4,0)</f>
        <v>中</v>
      </c>
      <c r="J24" s="482"/>
      <c r="K24" s="387">
        <f>VLOOKUP(C24,'Sales Master'!B$3:R$3515,17,0)</f>
        <v>120</v>
      </c>
      <c r="L24" s="99">
        <f t="shared" ref="L24" si="9">K24*G24</f>
        <v>120</v>
      </c>
      <c r="M24" s="78"/>
      <c r="N24" s="225">
        <f>VLOOKUP(C24,'Sales Master'!$B$3:$DA$3038,104,0)</f>
        <v>92</v>
      </c>
      <c r="O24" s="225">
        <f t="shared" ref="O24" si="10">K24-N24</f>
        <v>28</v>
      </c>
      <c r="P24" s="225">
        <f t="shared" ref="P24" si="11">O24*G24</f>
        <v>28</v>
      </c>
      <c r="Q24" s="76"/>
    </row>
    <row r="25" spans="2:17" ht="20.149999999999999" customHeight="1" x14ac:dyDescent="0.45">
      <c r="B25" s="70"/>
      <c r="C25" s="22" t="s">
        <v>1625</v>
      </c>
      <c r="D25" s="508" t="str">
        <f>VLOOKUP(C25,'Sales Master'!B$3:D$699,2,)</f>
        <v>Lotus Seed 莲子(无）</v>
      </c>
      <c r="E25" s="508"/>
      <c r="F25" s="508"/>
      <c r="G25" s="90">
        <v>10</v>
      </c>
      <c r="H25" s="389" t="str">
        <f>VLOOKUP(C25,'Sales Master'!$B$3:$F$3179,5,0)</f>
        <v>1 kg</v>
      </c>
      <c r="I25" s="482" t="str">
        <f>VLOOKUP(C25,'Sales Master'!$B$3:$E$3179,4,0)</f>
        <v>中</v>
      </c>
      <c r="J25" s="482"/>
      <c r="K25" s="387">
        <f>VLOOKUP(C25,'Sales Master'!B$3:R$3515,17,0)</f>
        <v>23</v>
      </c>
      <c r="L25" s="99">
        <f t="shared" ref="L25" si="12">K25*G25</f>
        <v>230</v>
      </c>
      <c r="M25" s="78"/>
      <c r="N25" s="225">
        <f>VLOOKUP(C25,'Sales Master'!$B$3:$DA$3038,104,0)</f>
        <v>18.5</v>
      </c>
      <c r="O25" s="225">
        <f t="shared" ref="O25" si="13">K25-N25</f>
        <v>4.5</v>
      </c>
      <c r="P25" s="225">
        <f t="shared" ref="P25" si="14">O25*G25</f>
        <v>45</v>
      </c>
      <c r="Q25" s="76"/>
    </row>
    <row r="26" spans="2:17" ht="20.149999999999999" customHeight="1" x14ac:dyDescent="0.45">
      <c r="B26" s="70"/>
      <c r="C26" s="22" t="s">
        <v>1639</v>
      </c>
      <c r="D26" s="508" t="str">
        <f>VLOOKUP(C26,'Sales Master'!B$3:D$699,2,)</f>
        <v>Bean Curd Sheet 腐竹</v>
      </c>
      <c r="E26" s="508"/>
      <c r="F26" s="508"/>
      <c r="G26" s="90">
        <v>10</v>
      </c>
      <c r="H26" s="389" t="str">
        <f>VLOOKUP(C26,'Sales Master'!$B$3:$F$3179,5,0)</f>
        <v xml:space="preserve">150g/pkt </v>
      </c>
      <c r="I26" s="482" t="str">
        <f>VLOOKUP(C26,'Sales Master'!$B$3:$E$3179,4,0)</f>
        <v>生记</v>
      </c>
      <c r="J26" s="482"/>
      <c r="K26" s="387">
        <f>VLOOKUP(C26,'Sales Master'!B$3:R$3515,17,0)</f>
        <v>3.1</v>
      </c>
      <c r="L26" s="99">
        <f t="shared" ref="L26" si="15">K26*G26</f>
        <v>31</v>
      </c>
      <c r="M26" s="78"/>
      <c r="N26" s="225">
        <f>VLOOKUP(C26,'Sales Master'!$B$3:$DA$3038,104,0)</f>
        <v>2.5</v>
      </c>
      <c r="O26" s="225">
        <f t="shared" ref="O26" si="16">K26-N26</f>
        <v>0.60000000000000009</v>
      </c>
      <c r="P26" s="225">
        <f t="shared" ref="P26" si="17">O26*G26</f>
        <v>6.0000000000000009</v>
      </c>
      <c r="Q26" s="76"/>
    </row>
    <row r="27" spans="2:17" ht="20.149999999999999" customHeight="1" x14ac:dyDescent="0.45">
      <c r="B27" s="70"/>
      <c r="C27" s="22" t="s">
        <v>1715</v>
      </c>
      <c r="D27" s="508" t="str">
        <f>VLOOKUP(C27,'Sales Master'!B$3:D$699,2,)</f>
        <v>Carnation Milk三花淡奶水</v>
      </c>
      <c r="E27" s="508"/>
      <c r="F27" s="508"/>
      <c r="G27" s="90">
        <v>1</v>
      </c>
      <c r="H27" s="391" t="str">
        <f>VLOOKUP(C27,'Sales Master'!$B$3:$F$3179,5,0)</f>
        <v>405 gm x48 can/Ctn</v>
      </c>
      <c r="I27" s="482" t="str">
        <f>VLOOKUP(C27,'Sales Master'!$B$3:$E$3179,4,0)</f>
        <v>Threeflower</v>
      </c>
      <c r="J27" s="482"/>
      <c r="K27" s="387">
        <f>VLOOKUP(C27,'Sales Master'!B$3:R$3515,17,0)</f>
        <v>54</v>
      </c>
      <c r="L27" s="99">
        <f t="shared" ref="L27:L31" si="18">K27*G27</f>
        <v>54</v>
      </c>
      <c r="M27" s="78"/>
      <c r="N27" s="225">
        <f>VLOOKUP(C27,'Sales Master'!$B$3:$DA$3038,104,0)</f>
        <v>50</v>
      </c>
      <c r="O27" s="225">
        <f t="shared" ref="O27:O31" si="19">K27-N27</f>
        <v>4</v>
      </c>
      <c r="P27" s="225">
        <f t="shared" ref="P27:P31" si="20">O27*G27</f>
        <v>4</v>
      </c>
      <c r="Q27" s="76"/>
    </row>
    <row r="28" spans="2:17" ht="20.149999999999999" customHeight="1" x14ac:dyDescent="0.45">
      <c r="B28" s="70"/>
      <c r="C28" s="22" t="s">
        <v>1726</v>
      </c>
      <c r="D28" s="508" t="str">
        <f>VLOOKUP(C28,'Sales Master'!B$3:D$699,2,)</f>
        <v>GingKo Nut白果罐</v>
      </c>
      <c r="E28" s="508"/>
      <c r="F28" s="508"/>
      <c r="G28" s="90">
        <v>1</v>
      </c>
      <c r="H28" s="389" t="str">
        <f>VLOOKUP(C28,'Sales Master'!$B$3:$F$3179,5,0)</f>
        <v>(397gm x 24)/箱</v>
      </c>
      <c r="I28" s="482" t="str">
        <f>VLOOKUP(C28,'Sales Master'!$B$3:$E$3179,4,0)</f>
        <v>MiLi</v>
      </c>
      <c r="J28" s="482"/>
      <c r="K28" s="387">
        <f>VLOOKUP(C28,'Sales Master'!B$3:R$3515,17,0)</f>
        <v>30</v>
      </c>
      <c r="L28" s="99">
        <f t="shared" si="18"/>
        <v>30</v>
      </c>
      <c r="M28" s="78"/>
      <c r="N28" s="225">
        <f>VLOOKUP(C28,'Sales Master'!$B$3:$DA$3038,104,0)</f>
        <v>21</v>
      </c>
      <c r="O28" s="225">
        <f t="shared" si="19"/>
        <v>9</v>
      </c>
      <c r="P28" s="225">
        <f t="shared" si="20"/>
        <v>9</v>
      </c>
      <c r="Q28" s="76"/>
    </row>
    <row r="29" spans="2:17" ht="20.149999999999999" customHeight="1" x14ac:dyDescent="0.45">
      <c r="B29" s="70"/>
      <c r="C29" s="22" t="s">
        <v>1753</v>
      </c>
      <c r="D29" s="508" t="str">
        <f>VLOOKUP(C29,'Sales Master'!B$3:D$699,2,)</f>
        <v>POLAR MINERAL WATER</v>
      </c>
      <c r="E29" s="508"/>
      <c r="F29" s="508"/>
      <c r="G29" s="90">
        <v>1</v>
      </c>
      <c r="H29" s="389" t="str">
        <f>VLOOKUP(C29,'Sales Master'!$B$3:$F$3179,5,0)</f>
        <v>600ML/24BTL</v>
      </c>
      <c r="I29" s="482" t="str">
        <f>VLOOKUP(C29,'Sales Master'!$B$3:$E$3179,4,0)</f>
        <v>-</v>
      </c>
      <c r="J29" s="482"/>
      <c r="K29" s="387">
        <f>VLOOKUP(C29,'Sales Master'!B$3:R$3515,17,0)</f>
        <v>6.5</v>
      </c>
      <c r="L29" s="99">
        <f t="shared" si="18"/>
        <v>6.5</v>
      </c>
      <c r="M29" s="78"/>
      <c r="N29" s="225">
        <f>VLOOKUP(C29,'Sales Master'!$B$3:$DA$3038,104,0)</f>
        <v>5</v>
      </c>
      <c r="O29" s="225">
        <f t="shared" si="19"/>
        <v>1.5</v>
      </c>
      <c r="P29" s="225">
        <f t="shared" si="20"/>
        <v>1.5</v>
      </c>
      <c r="Q29" s="76"/>
    </row>
    <row r="30" spans="2:17" ht="20.149999999999999" customHeight="1" x14ac:dyDescent="0.45">
      <c r="B30" s="70"/>
      <c r="C30" s="22" t="s">
        <v>1766</v>
      </c>
      <c r="D30" s="508" t="str">
        <f>VLOOKUP(C30,'Sales Master'!B$3:D$699,2,)</f>
        <v>Brown Sugar 黑糖</v>
      </c>
      <c r="E30" s="508"/>
      <c r="F30" s="508"/>
      <c r="G30" s="90">
        <v>1</v>
      </c>
      <c r="H30" s="389" t="str">
        <f>VLOOKUP(C30,'Sales Master'!$B$3:$F$3179,5,0)</f>
        <v>6 kgs</v>
      </c>
      <c r="I30" s="482" t="str">
        <f>VLOOKUP(C30,'Sales Master'!$B$3:$E$3179,4,0)</f>
        <v>Star</v>
      </c>
      <c r="J30" s="482"/>
      <c r="K30" s="387">
        <f>VLOOKUP(C30,'Sales Master'!B$3:R$3515,17,0)</f>
        <v>16.5</v>
      </c>
      <c r="L30" s="99">
        <f t="shared" si="18"/>
        <v>16.5</v>
      </c>
      <c r="M30" s="78"/>
      <c r="N30" s="225">
        <f>VLOOKUP(C30,'Sales Master'!$B$3:$DA$3038,104,0)</f>
        <v>10.5</v>
      </c>
      <c r="O30" s="225">
        <f t="shared" si="19"/>
        <v>6</v>
      </c>
      <c r="P30" s="225">
        <f t="shared" si="20"/>
        <v>6</v>
      </c>
      <c r="Q30" s="76"/>
    </row>
    <row r="31" spans="2:17" ht="20.149999999999999" customHeight="1" x14ac:dyDescent="0.45">
      <c r="B31" s="70"/>
      <c r="C31" s="22" t="s">
        <v>1772</v>
      </c>
      <c r="D31" s="508" t="str">
        <f>VLOOKUP(C31,'Sales Master'!B$3:D$699,2,)</f>
        <v>Fine Sugar 白糖</v>
      </c>
      <c r="E31" s="508"/>
      <c r="F31" s="508"/>
      <c r="G31" s="90">
        <v>1</v>
      </c>
      <c r="H31" s="389" t="str">
        <f>VLOOKUP(C31,'Sales Master'!$B$3:$F$3179,5,0)</f>
        <v>25 KGS</v>
      </c>
      <c r="I31" s="482" t="str">
        <f>VLOOKUP(C31,'Sales Master'!$B$3:$E$3179,4,0)</f>
        <v>SUN</v>
      </c>
      <c r="J31" s="482"/>
      <c r="K31" s="387">
        <f>VLOOKUP(C31,'Sales Master'!B$3:R$3515,17,0)</f>
        <v>29</v>
      </c>
      <c r="L31" s="99">
        <f t="shared" si="18"/>
        <v>29</v>
      </c>
      <c r="M31" s="78"/>
      <c r="N31" s="225">
        <f>VLOOKUP(C31,'Sales Master'!$B$3:$DA$3038,104,0)</f>
        <v>22.8</v>
      </c>
      <c r="O31" s="225">
        <f t="shared" si="19"/>
        <v>6.1999999999999993</v>
      </c>
      <c r="P31" s="225">
        <f t="shared" si="20"/>
        <v>6.1999999999999993</v>
      </c>
      <c r="Q31" s="76"/>
    </row>
    <row r="32" spans="2:17" ht="20.149999999999999" customHeight="1" x14ac:dyDescent="0.45">
      <c r="B32" s="70"/>
      <c r="C32" s="22"/>
      <c r="D32" s="555"/>
      <c r="E32" s="555"/>
      <c r="F32" s="555"/>
      <c r="G32" s="90"/>
      <c r="H32" s="389"/>
      <c r="I32" s="482"/>
      <c r="J32" s="482"/>
      <c r="K32" s="387"/>
      <c r="L32" s="99"/>
      <c r="M32" s="78"/>
      <c r="N32" s="225"/>
      <c r="O32" s="225"/>
      <c r="P32" s="225"/>
      <c r="Q32" s="76"/>
    </row>
    <row r="33" spans="2:17" ht="20.149999999999999" customHeight="1" x14ac:dyDescent="0.45">
      <c r="B33" s="70"/>
      <c r="C33" s="22"/>
      <c r="D33" s="555"/>
      <c r="E33" s="555"/>
      <c r="F33" s="555"/>
      <c r="G33" s="90"/>
      <c r="H33" s="389"/>
      <c r="I33" s="482"/>
      <c r="J33" s="482"/>
      <c r="K33" s="387"/>
      <c r="L33" s="99"/>
      <c r="M33" s="78"/>
      <c r="N33" s="225"/>
      <c r="O33" s="225"/>
      <c r="P33" s="225"/>
      <c r="Q33" s="76"/>
    </row>
    <row r="34" spans="2:17" ht="20.149999999999999" customHeight="1" x14ac:dyDescent="0.45">
      <c r="B34" s="70"/>
      <c r="L34" s="99"/>
      <c r="M34" s="78"/>
      <c r="N34" s="225"/>
      <c r="O34" s="225"/>
      <c r="P34" s="225"/>
      <c r="Q34" s="76"/>
    </row>
    <row r="35" spans="2:17" ht="20.149999999999999" customHeight="1" thickBot="1" x14ac:dyDescent="0.5">
      <c r="B35" s="52"/>
      <c r="C35" s="53"/>
      <c r="D35" s="53"/>
      <c r="E35" s="53"/>
      <c r="F35" s="53"/>
      <c r="G35" s="53"/>
      <c r="H35" s="53"/>
      <c r="I35" s="53"/>
      <c r="J35" s="53"/>
      <c r="K35" s="53"/>
      <c r="L35" s="54"/>
    </row>
    <row r="36" spans="2:17" ht="20.149999999999999" customHeight="1" x14ac:dyDescent="0.45">
      <c r="B36" s="11" t="s">
        <v>18</v>
      </c>
      <c r="C36" s="7"/>
      <c r="D36" s="7"/>
      <c r="E36" s="7"/>
      <c r="F36" s="7"/>
      <c r="G36" s="7"/>
      <c r="H36" s="7"/>
      <c r="I36" s="7"/>
      <c r="J36" s="510" t="s">
        <v>15</v>
      </c>
      <c r="K36" s="511"/>
      <c r="L36" s="43">
        <f>SUM(L17:L35)</f>
        <v>622</v>
      </c>
      <c r="M36" s="76">
        <f>SUM(P18:P34)</f>
        <v>133.66666666666666</v>
      </c>
      <c r="N36" s="201">
        <f>M36/L36</f>
        <v>0.21489817792068594</v>
      </c>
    </row>
    <row r="37" spans="2:17" ht="20.149999999999999" customHeight="1" x14ac:dyDescent="0.45">
      <c r="B37" s="11" t="s">
        <v>19</v>
      </c>
      <c r="C37" s="7"/>
      <c r="D37" s="7"/>
      <c r="E37" s="7"/>
      <c r="F37" s="7"/>
      <c r="G37" s="7"/>
      <c r="H37" s="7"/>
      <c r="I37" s="7"/>
      <c r="J37" s="44" t="s">
        <v>22</v>
      </c>
      <c r="K37" s="45"/>
      <c r="L37" s="46">
        <v>0</v>
      </c>
    </row>
    <row r="38" spans="2:17" ht="20.149999999999999" customHeight="1" x14ac:dyDescent="0.45">
      <c r="B38" s="11" t="s">
        <v>20</v>
      </c>
      <c r="C38" s="7"/>
      <c r="D38" s="7"/>
      <c r="E38" s="7"/>
      <c r="F38" s="7"/>
      <c r="G38" s="7"/>
      <c r="H38" s="7"/>
      <c r="I38" s="7"/>
      <c r="J38" s="486" t="s">
        <v>21</v>
      </c>
      <c r="K38" s="487"/>
      <c r="L38" s="46">
        <f>L36-L37</f>
        <v>622</v>
      </c>
    </row>
    <row r="39" spans="2:17" ht="20.149999999999999" customHeight="1" x14ac:dyDescent="0.45">
      <c r="B39" s="11" t="s">
        <v>24</v>
      </c>
      <c r="C39" s="7"/>
      <c r="D39" s="7"/>
      <c r="E39" s="7"/>
      <c r="F39" s="7"/>
      <c r="G39" s="7"/>
      <c r="H39" s="7"/>
      <c r="I39" s="7"/>
      <c r="J39" s="150" t="s">
        <v>17</v>
      </c>
      <c r="K39" s="151">
        <v>7.0000000000000007E-2</v>
      </c>
      <c r="L39" s="47">
        <f>L38*K39</f>
        <v>43.540000000000006</v>
      </c>
    </row>
    <row r="40" spans="2:17" ht="20.149999999999999" customHeight="1" thickBot="1" x14ac:dyDescent="0.5">
      <c r="B40" s="11" t="s">
        <v>1400</v>
      </c>
      <c r="C40" s="7"/>
      <c r="D40" s="7"/>
      <c r="E40" s="7"/>
      <c r="F40" s="7"/>
      <c r="G40" s="7"/>
      <c r="H40" s="7"/>
      <c r="I40" s="7"/>
      <c r="J40" s="488" t="s">
        <v>23</v>
      </c>
      <c r="K40" s="489"/>
      <c r="L40" s="48">
        <f>L38+L39</f>
        <v>665.54</v>
      </c>
    </row>
    <row r="41" spans="2:17" ht="20.149999999999999" customHeight="1" x14ac:dyDescent="0.45">
      <c r="B41" s="11" t="s">
        <v>26</v>
      </c>
      <c r="C41" s="7"/>
      <c r="D41" s="7"/>
      <c r="E41" s="7"/>
      <c r="F41" s="7"/>
      <c r="G41" s="7"/>
      <c r="H41" s="7"/>
      <c r="I41" s="7"/>
      <c r="L41" s="42"/>
    </row>
    <row r="42" spans="2:17" ht="20.149999999999999" customHeight="1" x14ac:dyDescent="0.45">
      <c r="B42" s="224" t="s">
        <v>1379</v>
      </c>
      <c r="L42" s="42"/>
    </row>
    <row r="43" spans="2:17" ht="20.149999999999999" customHeight="1" x14ac:dyDescent="0.45">
      <c r="B43" s="41"/>
      <c r="L43" s="42"/>
    </row>
    <row r="44" spans="2:17" ht="20.149999999999999" customHeight="1" x14ac:dyDescent="0.45">
      <c r="B44" s="41"/>
      <c r="L44" s="42"/>
    </row>
    <row r="45" spans="2:17" ht="20.149999999999999" customHeight="1" x14ac:dyDescent="0.45">
      <c r="B45" s="41"/>
      <c r="L45" s="42"/>
    </row>
    <row r="46" spans="2:17" ht="20.149999999999999" customHeight="1" x14ac:dyDescent="0.45">
      <c r="B46" s="49"/>
      <c r="C46" s="50"/>
      <c r="D46" s="50"/>
      <c r="J46" s="50"/>
      <c r="K46" s="50"/>
      <c r="L46" s="51"/>
    </row>
    <row r="47" spans="2:17" ht="20.149999999999999" customHeight="1" x14ac:dyDescent="0.45">
      <c r="B47" s="41" t="s">
        <v>27</v>
      </c>
      <c r="J47" s="24" t="s">
        <v>28</v>
      </c>
      <c r="L47" s="42"/>
    </row>
    <row r="48" spans="2:17" ht="19" thickBot="1" x14ac:dyDescent="0.5">
      <c r="B48" s="52"/>
      <c r="C48" s="53"/>
      <c r="D48" s="53"/>
      <c r="E48" s="53"/>
      <c r="F48" s="53"/>
      <c r="G48" s="53"/>
      <c r="H48" s="53"/>
      <c r="I48" s="53"/>
      <c r="J48" s="53"/>
      <c r="K48" s="53"/>
      <c r="L48" s="54"/>
    </row>
    <row r="49" spans="2:12" ht="20.5" x14ac:dyDescent="0.45">
      <c r="F49" s="427"/>
    </row>
    <row r="50" spans="2:12" x14ac:dyDescent="0.45">
      <c r="B50" s="125" t="s">
        <v>2216</v>
      </c>
      <c r="C50" s="24" t="s">
        <v>1483</v>
      </c>
      <c r="D50" s="508" t="str">
        <f>VLOOKUP(C50,'Sales Master'!B$3:D$699,2,)</f>
        <v>Q Ball Q圆</v>
      </c>
      <c r="E50" s="508"/>
      <c r="F50" s="508"/>
      <c r="G50" s="24">
        <v>1</v>
      </c>
      <c r="H50" s="389" t="str">
        <f>VLOOKUP(C50,'Sales Master'!$B$3:$F$3179,5,0)</f>
        <v>1 kg/Bag</v>
      </c>
      <c r="I50" s="512" t="str">
        <f>VLOOKUP(C50,'Sales Master'!$B$3:$E$3179,4,0)</f>
        <v>FJ</v>
      </c>
      <c r="J50" s="512"/>
      <c r="K50" s="387">
        <f>VLOOKUP(C50,'Sales Master'!B$3:R$3515,17,0)</f>
        <v>6</v>
      </c>
    </row>
    <row r="51" spans="2:12" x14ac:dyDescent="0.45">
      <c r="B51" s="125" t="s">
        <v>2215</v>
      </c>
      <c r="C51" s="24" t="s">
        <v>1543</v>
      </c>
      <c r="D51" s="508" t="str">
        <f>VLOOKUP(C51,'Sales Master'!B$3:D$699,2,)</f>
        <v>Tapioca Flour 茨粉</v>
      </c>
      <c r="E51" s="508"/>
      <c r="F51" s="508"/>
      <c r="G51" s="24">
        <v>1</v>
      </c>
      <c r="H51" s="389" t="str">
        <f>VLOOKUP(C51,'Sales Master'!$B$3:$F$3179,5,0)</f>
        <v xml:space="preserve">500gm/pkt </v>
      </c>
      <c r="I51" s="512" t="str">
        <f>VLOOKUP(C51,'Sales Master'!$B$3:$E$3179,4,0)</f>
        <v>F/man 飞人</v>
      </c>
      <c r="J51" s="512"/>
      <c r="K51" s="387">
        <f>VLOOKUP(C51,'Sales Master'!B$3:R$3515,17,0)</f>
        <v>0.9</v>
      </c>
      <c r="L51" s="98"/>
    </row>
    <row r="52" spans="2:12" x14ac:dyDescent="0.45">
      <c r="B52" s="125" t="s">
        <v>2230</v>
      </c>
      <c r="C52" s="24" t="s">
        <v>1480</v>
      </c>
      <c r="D52" s="508" t="str">
        <f>VLOOKUP(C52,'Sales Master'!B$3:D$699,2,)</f>
        <v>3Q Jelly</v>
      </c>
      <c r="E52" s="508"/>
      <c r="F52" s="508"/>
      <c r="G52" s="24">
        <v>1</v>
      </c>
      <c r="H52" s="389" t="str">
        <f>VLOOKUP(C52,'Sales Master'!$B$3:$F$3179,5,0)</f>
        <v>4 KGS/Tub</v>
      </c>
      <c r="I52" s="512" t="str">
        <f>VLOOKUP(C52,'Sales Master'!$B$3:$E$3179,4,0)</f>
        <v>-</v>
      </c>
      <c r="J52" s="512"/>
      <c r="K52" s="387">
        <f>VLOOKUP(C52,'Sales Master'!B$3:R$3515,17,0)</f>
        <v>15</v>
      </c>
    </row>
  </sheetData>
  <mergeCells count="55">
    <mergeCell ref="D32:F32"/>
    <mergeCell ref="D33:F33"/>
    <mergeCell ref="I27:J27"/>
    <mergeCell ref="I28:J28"/>
    <mergeCell ref="I29:J29"/>
    <mergeCell ref="I30:J30"/>
    <mergeCell ref="I32:J32"/>
    <mergeCell ref="I33:J33"/>
    <mergeCell ref="D25:F25"/>
    <mergeCell ref="I25:J25"/>
    <mergeCell ref="D26:F26"/>
    <mergeCell ref="D31:F31"/>
    <mergeCell ref="I26:J26"/>
    <mergeCell ref="I31:J31"/>
    <mergeCell ref="D27:F27"/>
    <mergeCell ref="D28:F28"/>
    <mergeCell ref="D29:F29"/>
    <mergeCell ref="D30:F30"/>
    <mergeCell ref="B1:L8"/>
    <mergeCell ref="D17:F1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I17:J17"/>
    <mergeCell ref="J40:K40"/>
    <mergeCell ref="J36:K36"/>
    <mergeCell ref="J38:K38"/>
    <mergeCell ref="D52:F52"/>
    <mergeCell ref="I52:J52"/>
    <mergeCell ref="D51:F51"/>
    <mergeCell ref="I51:J51"/>
    <mergeCell ref="D50:F50"/>
    <mergeCell ref="I50:J50"/>
    <mergeCell ref="I18:J18"/>
    <mergeCell ref="D19:F19"/>
    <mergeCell ref="I19:J19"/>
    <mergeCell ref="D18:F18"/>
    <mergeCell ref="D24:F24"/>
    <mergeCell ref="I20:J20"/>
    <mergeCell ref="D20:F20"/>
    <mergeCell ref="I24:J24"/>
    <mergeCell ref="D21:F21"/>
    <mergeCell ref="D22:F22"/>
    <mergeCell ref="D23:F23"/>
    <mergeCell ref="I21:J21"/>
    <mergeCell ref="I22:J22"/>
    <mergeCell ref="I23:J23"/>
  </mergeCells>
  <conditionalFormatting sqref="C33">
    <cfRule type="duplicateValues" dxfId="141" priority="1150"/>
  </conditionalFormatting>
  <pageMargins left="0.70866141732283505" right="0.31496062992126" top="0.59055118110236204" bottom="0" header="0.31496062992126" footer="0.31496062992126"/>
  <pageSetup paperSize="9" scale="74" orientation="portrait" horizontalDpi="300" verticalDpi="30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10C00C-57AB-4BF1-85C1-A6B3A47F04D9}">
  <sheetPr codeName="Sheet17">
    <tabColor rgb="FF996600"/>
    <pageSetUpPr fitToPage="1"/>
  </sheetPr>
  <dimension ref="B1:V44"/>
  <sheetViews>
    <sheetView workbookViewId="0">
      <selection activeCell="M2" sqref="M2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9" style="24" customWidth="1"/>
    <col min="7" max="7" width="8.54296875" style="24" customWidth="1"/>
    <col min="8" max="8" width="15.54296875" style="24" customWidth="1"/>
    <col min="9" max="9" width="2" style="24" customWidth="1"/>
    <col min="10" max="10" width="15.54296875" style="24" customWidth="1"/>
    <col min="11" max="11" width="10.54296875" style="24" customWidth="1"/>
    <col min="12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/>
      <c r="J10" s="29" t="s">
        <v>29</v>
      </c>
      <c r="K10" s="452" t="s">
        <v>1918</v>
      </c>
      <c r="L10" s="453"/>
    </row>
    <row r="11" spans="2:12" ht="20.149999999999999" customHeight="1" x14ac:dyDescent="0.45">
      <c r="B11" s="454" t="s">
        <v>2050</v>
      </c>
      <c r="C11" s="455"/>
      <c r="D11" s="456"/>
      <c r="E11" s="30"/>
      <c r="F11" s="457" t="s">
        <v>2244</v>
      </c>
      <c r="G11" s="458"/>
      <c r="H11" s="459"/>
      <c r="J11" s="31" t="s">
        <v>11</v>
      </c>
      <c r="K11" s="466">
        <v>44748</v>
      </c>
      <c r="L11" s="467"/>
    </row>
    <row r="12" spans="2:12" ht="20.149999999999999" customHeight="1" x14ac:dyDescent="0.45">
      <c r="B12" s="468" t="s">
        <v>2243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36</v>
      </c>
      <c r="L12" s="472"/>
    </row>
    <row r="13" spans="2:12" ht="20.149999999999999" customHeight="1" x14ac:dyDescent="0.45">
      <c r="B13" s="468"/>
      <c r="C13" s="469"/>
      <c r="D13" s="470"/>
      <c r="E13" s="30"/>
      <c r="F13" s="460"/>
      <c r="G13" s="461"/>
      <c r="H13" s="462"/>
      <c r="J13" s="31" t="s">
        <v>12</v>
      </c>
      <c r="K13" s="471" t="s">
        <v>36</v>
      </c>
      <c r="L13" s="472"/>
    </row>
    <row r="14" spans="2:12" ht="20.149999999999999" customHeight="1" x14ac:dyDescent="0.45">
      <c r="B14" s="468"/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463"/>
      <c r="C15" s="464"/>
      <c r="D15" s="465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22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3"/>
      <c r="O17" s="33"/>
    </row>
    <row r="18" spans="2:22" ht="20.149999999999999" customHeight="1" x14ac:dyDescent="0.45">
      <c r="B18" s="70"/>
      <c r="C18" s="22" t="s">
        <v>1446</v>
      </c>
      <c r="D18" s="508" t="s">
        <v>271</v>
      </c>
      <c r="E18" s="508"/>
      <c r="F18" s="508"/>
      <c r="G18" s="90">
        <v>1</v>
      </c>
      <c r="H18" s="97" t="s">
        <v>36</v>
      </c>
      <c r="I18" s="506" t="s">
        <v>36</v>
      </c>
      <c r="J18" s="506"/>
      <c r="K18" s="98" t="s">
        <v>1918</v>
      </c>
      <c r="L18" s="133" t="s">
        <v>36</v>
      </c>
      <c r="N18" s="125" t="s">
        <v>447</v>
      </c>
      <c r="O18" s="125" t="s">
        <v>459</v>
      </c>
      <c r="P18" s="125"/>
      <c r="Q18" s="125"/>
      <c r="R18" s="125">
        <v>1</v>
      </c>
      <c r="S18" s="125" t="s">
        <v>260</v>
      </c>
      <c r="T18" s="125" t="s">
        <v>709</v>
      </c>
      <c r="U18" s="125"/>
      <c r="V18" s="125">
        <v>32</v>
      </c>
    </row>
    <row r="19" spans="2:22" ht="20.149999999999999" customHeight="1" x14ac:dyDescent="0.45">
      <c r="B19" s="70"/>
      <c r="C19" s="22"/>
      <c r="D19" s="508"/>
      <c r="E19" s="508"/>
      <c r="F19" s="508"/>
      <c r="G19" s="90"/>
      <c r="H19" s="97"/>
      <c r="I19" s="506"/>
      <c r="J19" s="506"/>
      <c r="K19" s="98"/>
      <c r="L19" s="133"/>
      <c r="N19" s="125"/>
      <c r="O19" s="125"/>
      <c r="P19" s="125"/>
      <c r="Q19" s="125"/>
      <c r="R19" s="125"/>
      <c r="S19" s="125"/>
      <c r="T19" s="125"/>
      <c r="U19" s="125"/>
      <c r="V19" s="125"/>
    </row>
    <row r="20" spans="2:22" ht="20.149999999999999" customHeight="1" x14ac:dyDescent="0.45">
      <c r="B20" s="34"/>
      <c r="C20" s="22"/>
      <c r="D20" s="508"/>
      <c r="E20" s="508"/>
      <c r="F20" s="508"/>
      <c r="G20" s="90"/>
      <c r="H20" s="68"/>
      <c r="I20" s="481"/>
      <c r="J20" s="481"/>
      <c r="K20" s="35"/>
      <c r="L20" s="36"/>
    </row>
    <row r="21" spans="2:22" ht="20.149999999999999" customHeight="1" x14ac:dyDescent="0.45">
      <c r="B21" s="34"/>
      <c r="C21" s="22"/>
      <c r="D21" s="508"/>
      <c r="E21" s="508"/>
      <c r="F21" s="508"/>
      <c r="G21" s="90"/>
      <c r="H21" s="68"/>
      <c r="I21" s="481"/>
      <c r="J21" s="481"/>
      <c r="K21" s="35"/>
      <c r="L21" s="36"/>
    </row>
    <row r="22" spans="2:22" ht="20.149999999999999" customHeight="1" x14ac:dyDescent="0.45">
      <c r="B22" s="34"/>
      <c r="C22" s="22"/>
      <c r="D22" s="508"/>
      <c r="E22" s="508"/>
      <c r="F22" s="508"/>
      <c r="G22" s="90"/>
      <c r="H22" s="68"/>
      <c r="I22" s="481"/>
      <c r="J22" s="481"/>
      <c r="K22" s="35"/>
      <c r="L22" s="36"/>
    </row>
    <row r="23" spans="2:22" ht="20.149999999999999" customHeight="1" x14ac:dyDescent="0.45">
      <c r="B23" s="34"/>
      <c r="C23" s="22"/>
      <c r="D23" s="508"/>
      <c r="E23" s="508"/>
      <c r="F23" s="508"/>
      <c r="G23" s="90"/>
      <c r="H23" s="68"/>
      <c r="I23" s="481"/>
      <c r="J23" s="481"/>
      <c r="K23" s="35"/>
      <c r="L23" s="36"/>
    </row>
    <row r="24" spans="2:22" ht="20.149999999999999" customHeight="1" x14ac:dyDescent="0.45">
      <c r="B24" s="34"/>
      <c r="C24" s="22"/>
      <c r="D24" s="508"/>
      <c r="E24" s="508"/>
      <c r="F24" s="508"/>
      <c r="G24" s="90"/>
      <c r="H24" s="68"/>
      <c r="I24" s="481"/>
      <c r="J24" s="481"/>
      <c r="K24" s="35"/>
      <c r="L24" s="36"/>
    </row>
    <row r="25" spans="2:22" ht="20.149999999999999" customHeight="1" x14ac:dyDescent="0.45">
      <c r="B25" s="34"/>
      <c r="C25" s="22"/>
      <c r="D25" s="508"/>
      <c r="E25" s="508"/>
      <c r="F25" s="508"/>
      <c r="G25" s="90"/>
      <c r="H25" s="68"/>
      <c r="I25" s="481"/>
      <c r="J25" s="481"/>
      <c r="K25" s="35"/>
      <c r="L25" s="36"/>
    </row>
    <row r="26" spans="2:22" ht="20.149999999999999" customHeight="1" x14ac:dyDescent="0.45">
      <c r="B26" s="34"/>
      <c r="C26" s="22"/>
      <c r="D26" s="508"/>
      <c r="E26" s="508"/>
      <c r="F26" s="508"/>
      <c r="G26" s="90"/>
      <c r="H26" s="68"/>
      <c r="I26" s="481"/>
      <c r="J26" s="481"/>
      <c r="K26" s="35"/>
      <c r="L26" s="36"/>
    </row>
    <row r="27" spans="2:22" ht="20.149999999999999" customHeight="1" x14ac:dyDescent="0.45">
      <c r="B27" s="34"/>
      <c r="C27" s="22"/>
      <c r="D27" s="508"/>
      <c r="E27" s="508"/>
      <c r="F27" s="508"/>
      <c r="G27" s="90"/>
      <c r="H27" s="68"/>
      <c r="I27" s="481"/>
      <c r="J27" s="481"/>
      <c r="K27" s="35"/>
      <c r="L27" s="36"/>
    </row>
    <row r="28" spans="2:22" ht="20.149999999999999" customHeight="1" x14ac:dyDescent="0.45">
      <c r="B28" s="34"/>
      <c r="C28" s="22"/>
      <c r="D28" s="508"/>
      <c r="E28" s="508"/>
      <c r="F28" s="508"/>
      <c r="G28" s="90"/>
      <c r="H28" s="68"/>
      <c r="I28" s="481"/>
      <c r="J28" s="481"/>
      <c r="K28" s="35"/>
      <c r="L28" s="36"/>
    </row>
    <row r="29" spans="2:22" ht="20.149999999999999" customHeight="1" x14ac:dyDescent="0.45">
      <c r="B29" s="34"/>
      <c r="C29" s="22"/>
      <c r="G29" s="90"/>
      <c r="H29" s="68"/>
      <c r="I29" s="68"/>
      <c r="J29" s="68"/>
      <c r="K29" s="35"/>
      <c r="L29" s="36"/>
    </row>
    <row r="30" spans="2:22" ht="20.149999999999999" customHeight="1" x14ac:dyDescent="0.45">
      <c r="B30" s="155"/>
      <c r="C30" s="156"/>
      <c r="D30" s="556"/>
      <c r="E30" s="556"/>
      <c r="F30" s="556"/>
      <c r="G30" s="156"/>
      <c r="H30" s="156"/>
      <c r="I30" s="189"/>
      <c r="J30" s="189"/>
      <c r="K30" s="163"/>
      <c r="L30" s="190"/>
    </row>
    <row r="31" spans="2:22" ht="20.149999999999999" customHeight="1" thickBot="1" x14ac:dyDescent="0.5">
      <c r="B31" s="41"/>
      <c r="L31" s="42"/>
    </row>
    <row r="32" spans="2:22" ht="20.149999999999999" customHeight="1" x14ac:dyDescent="0.45">
      <c r="B32" s="11" t="s">
        <v>18</v>
      </c>
      <c r="C32" s="7"/>
      <c r="D32" s="7"/>
      <c r="E32" s="7"/>
      <c r="F32" s="7"/>
      <c r="G32" s="7"/>
      <c r="H32" s="7"/>
      <c r="I32" s="7"/>
      <c r="J32" s="510" t="s">
        <v>15</v>
      </c>
      <c r="K32" s="511"/>
      <c r="L32" s="43">
        <f>SUM(L18:L31)</f>
        <v>0</v>
      </c>
      <c r="N32" s="76" t="s">
        <v>720</v>
      </c>
    </row>
    <row r="33" spans="2:12" ht="20.149999999999999" customHeight="1" x14ac:dyDescent="0.45">
      <c r="B33" s="11" t="s">
        <v>19</v>
      </c>
      <c r="C33" s="7"/>
      <c r="D33" s="7"/>
      <c r="E33" s="7"/>
      <c r="F33" s="7"/>
      <c r="G33" s="7"/>
      <c r="H33" s="7"/>
      <c r="I33" s="7"/>
      <c r="J33" s="44" t="s">
        <v>22</v>
      </c>
      <c r="K33" s="45"/>
      <c r="L33" s="46">
        <f>L32*K33</f>
        <v>0</v>
      </c>
    </row>
    <row r="34" spans="2:12" ht="20.149999999999999" customHeight="1" x14ac:dyDescent="0.45">
      <c r="B34" s="11" t="s">
        <v>20</v>
      </c>
      <c r="C34" s="7"/>
      <c r="D34" s="7"/>
      <c r="E34" s="7"/>
      <c r="F34" s="7"/>
      <c r="G34" s="7"/>
      <c r="H34" s="7"/>
      <c r="I34" s="7"/>
      <c r="J34" s="486" t="s">
        <v>21</v>
      </c>
      <c r="K34" s="487"/>
      <c r="L34" s="46">
        <f>L32-L33</f>
        <v>0</v>
      </c>
    </row>
    <row r="35" spans="2:12" ht="20.149999999999999" customHeight="1" x14ac:dyDescent="0.45">
      <c r="B35" s="11" t="s">
        <v>24</v>
      </c>
      <c r="C35" s="7"/>
      <c r="D35" s="7"/>
      <c r="E35" s="7"/>
      <c r="F35" s="7"/>
      <c r="G35" s="7"/>
      <c r="H35" s="7"/>
      <c r="I35" s="7"/>
      <c r="J35" s="150" t="s">
        <v>17</v>
      </c>
      <c r="K35" s="151">
        <v>7.0000000000000007E-2</v>
      </c>
      <c r="L35" s="47">
        <f>L34*K35</f>
        <v>0</v>
      </c>
    </row>
    <row r="36" spans="2:12" ht="20.149999999999999" customHeight="1" thickBot="1" x14ac:dyDescent="0.5">
      <c r="B36" s="11" t="s">
        <v>1400</v>
      </c>
      <c r="C36" s="7"/>
      <c r="D36" s="7"/>
      <c r="E36" s="7"/>
      <c r="F36" s="7"/>
      <c r="G36" s="7"/>
      <c r="H36" s="7"/>
      <c r="I36" s="7"/>
      <c r="J36" s="488" t="s">
        <v>23</v>
      </c>
      <c r="K36" s="489"/>
      <c r="L36" s="48">
        <f>L34+L35</f>
        <v>0</v>
      </c>
    </row>
    <row r="37" spans="2:12" ht="20.149999999999999" customHeight="1" x14ac:dyDescent="0.45">
      <c r="B37" s="11" t="s">
        <v>26</v>
      </c>
      <c r="C37" s="7"/>
      <c r="D37" s="7"/>
      <c r="E37" s="7"/>
      <c r="F37" s="7"/>
      <c r="G37" s="7"/>
      <c r="H37" s="7"/>
      <c r="I37" s="7"/>
      <c r="L37" s="42"/>
    </row>
    <row r="38" spans="2:12" ht="20.149999999999999" customHeight="1" x14ac:dyDescent="0.45">
      <c r="B38" s="224" t="s">
        <v>1379</v>
      </c>
      <c r="L38" s="42"/>
    </row>
    <row r="39" spans="2:12" ht="20.149999999999999" customHeight="1" x14ac:dyDescent="0.45">
      <c r="B39" s="41"/>
      <c r="L39" s="42"/>
    </row>
    <row r="40" spans="2:12" ht="20.149999999999999" customHeight="1" x14ac:dyDescent="0.45">
      <c r="B40" s="41"/>
      <c r="L40" s="42"/>
    </row>
    <row r="41" spans="2:12" ht="20.149999999999999" customHeight="1" x14ac:dyDescent="0.45">
      <c r="B41" s="41"/>
      <c r="L41" s="42"/>
    </row>
    <row r="42" spans="2:12" ht="20.149999999999999" customHeight="1" x14ac:dyDescent="0.45">
      <c r="B42" s="49"/>
      <c r="C42" s="50"/>
      <c r="D42" s="50"/>
      <c r="J42" s="50"/>
      <c r="K42" s="50"/>
      <c r="L42" s="51"/>
    </row>
    <row r="43" spans="2:12" ht="20.149999999999999" customHeight="1" x14ac:dyDescent="0.45">
      <c r="B43" s="41" t="s">
        <v>27</v>
      </c>
      <c r="J43" s="24" t="s">
        <v>28</v>
      </c>
      <c r="L43" s="42"/>
    </row>
    <row r="44" spans="2:12" ht="19" thickBot="1" x14ac:dyDescent="0.5">
      <c r="B44" s="52"/>
      <c r="C44" s="53"/>
      <c r="D44" s="53"/>
      <c r="E44" s="53"/>
      <c r="F44" s="53"/>
      <c r="G44" s="53"/>
      <c r="H44" s="53"/>
      <c r="I44" s="53"/>
      <c r="J44" s="53"/>
      <c r="K44" s="53"/>
      <c r="L44" s="54"/>
    </row>
  </sheetData>
  <mergeCells count="41">
    <mergeCell ref="D24:F24"/>
    <mergeCell ref="I24:J24"/>
    <mergeCell ref="J36:K36"/>
    <mergeCell ref="D25:F25"/>
    <mergeCell ref="I25:J25"/>
    <mergeCell ref="D26:F26"/>
    <mergeCell ref="I26:J26"/>
    <mergeCell ref="D27:F27"/>
    <mergeCell ref="I27:J27"/>
    <mergeCell ref="D28:F28"/>
    <mergeCell ref="I28:J28"/>
    <mergeCell ref="D30:F30"/>
    <mergeCell ref="J32:K32"/>
    <mergeCell ref="J34:K34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">
    <cfRule type="duplicateValues" dxfId="140" priority="3"/>
  </conditionalFormatting>
  <conditionalFormatting sqref="C20">
    <cfRule type="duplicateValues" dxfId="139" priority="4"/>
  </conditionalFormatting>
  <conditionalFormatting sqref="C21">
    <cfRule type="duplicateValues" dxfId="138" priority="5"/>
  </conditionalFormatting>
  <conditionalFormatting sqref="C22">
    <cfRule type="duplicateValues" dxfId="137" priority="2"/>
  </conditionalFormatting>
  <conditionalFormatting sqref="C19">
    <cfRule type="duplicateValues" dxfId="136" priority="6"/>
  </conditionalFormatting>
  <conditionalFormatting sqref="C25">
    <cfRule type="duplicateValues" dxfId="135" priority="7"/>
  </conditionalFormatting>
  <conditionalFormatting sqref="C23">
    <cfRule type="duplicateValues" dxfId="134" priority="1"/>
  </conditionalFormatting>
  <pageMargins left="0.70866141732283505" right="0.31496062992126" top="0.59055118110236204" bottom="0" header="0.31496062992126" footer="0.31496062992126"/>
  <pageSetup paperSize="9" scale="76" orientation="portrait" horizontalDpi="300" verticalDpi="30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96A2AD-CCD3-43A1-B7DA-63EA528B395A}">
  <sheetPr codeName="Sheet157">
    <tabColor rgb="FF7030A0"/>
    <pageSetUpPr fitToPage="1"/>
  </sheetPr>
  <dimension ref="B1:W45"/>
  <sheetViews>
    <sheetView topLeftCell="B1" zoomScaleNormal="100" workbookViewId="0">
      <selection activeCell="K10" sqref="K10:L10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6.453125" style="24" customWidth="1"/>
    <col min="7" max="7" width="8.54296875" style="24" customWidth="1"/>
    <col min="8" max="8" width="21.7265625" style="24" customWidth="1"/>
    <col min="9" max="9" width="1.7265625" style="24" customWidth="1"/>
    <col min="10" max="10" width="12.08984375" style="102" customWidth="1"/>
    <col min="11" max="12" width="12.54296875" style="24" customWidth="1"/>
    <col min="13" max="13" width="12.54296875" style="24"/>
    <col min="14" max="14" width="13.1796875" style="24" bestFit="1" customWidth="1"/>
    <col min="15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2194</v>
      </c>
      <c r="J10" s="103" t="s">
        <v>29</v>
      </c>
      <c r="K10" s="452">
        <v>202209469</v>
      </c>
      <c r="L10" s="453"/>
    </row>
    <row r="11" spans="2:12" ht="20.149999999999999" customHeight="1" x14ac:dyDescent="0.45">
      <c r="B11" s="454" t="s">
        <v>2195</v>
      </c>
      <c r="C11" s="455"/>
      <c r="D11" s="456"/>
      <c r="E11" s="30"/>
      <c r="F11" s="457" t="str">
        <f>VLOOKUP(H10,'Delivery Location'!A$4:N$416,2,0)</f>
        <v xml:space="preserve">Da Pai Dang Dessert                                               37A Teban Gardens Food Centre                               #01-16  Singapore 110017             </v>
      </c>
      <c r="G11" s="458"/>
      <c r="H11" s="459"/>
      <c r="J11" s="104" t="s">
        <v>11</v>
      </c>
      <c r="K11" s="466">
        <v>44834</v>
      </c>
      <c r="L11" s="467"/>
    </row>
    <row r="12" spans="2:12" ht="20.149999999999999" customHeight="1" x14ac:dyDescent="0.45">
      <c r="B12" s="468"/>
      <c r="C12" s="469"/>
      <c r="D12" s="470"/>
      <c r="E12" s="30"/>
      <c r="F12" s="460"/>
      <c r="G12" s="461"/>
      <c r="H12" s="462"/>
      <c r="J12" s="104" t="s">
        <v>171</v>
      </c>
      <c r="K12" s="471" t="s">
        <v>533</v>
      </c>
      <c r="L12" s="472"/>
    </row>
    <row r="13" spans="2:12" ht="20.149999999999999" customHeight="1" x14ac:dyDescent="0.45">
      <c r="B13" s="468"/>
      <c r="C13" s="469"/>
      <c r="D13" s="470"/>
      <c r="E13" s="30"/>
      <c r="F13" s="460"/>
      <c r="G13" s="461"/>
      <c r="H13" s="462"/>
      <c r="J13" s="104" t="s">
        <v>12</v>
      </c>
      <c r="K13" s="471" t="s">
        <v>750</v>
      </c>
      <c r="L13" s="472"/>
    </row>
    <row r="14" spans="2:12" ht="20.149999999999999" customHeight="1" x14ac:dyDescent="0.45">
      <c r="B14" s="468"/>
      <c r="C14" s="469"/>
      <c r="D14" s="470"/>
      <c r="E14" s="30"/>
      <c r="F14" s="460"/>
      <c r="G14" s="461"/>
      <c r="H14" s="462"/>
      <c r="J14" s="104" t="s">
        <v>30</v>
      </c>
      <c r="K14" s="471" t="s">
        <v>16</v>
      </c>
      <c r="L14" s="472"/>
    </row>
    <row r="15" spans="2:12" ht="18" customHeight="1" thickBot="1" x14ac:dyDescent="0.5">
      <c r="B15" s="552"/>
      <c r="C15" s="474"/>
      <c r="D15" s="475"/>
      <c r="E15" s="26"/>
      <c r="F15" s="463"/>
      <c r="G15" s="464"/>
      <c r="H15" s="465"/>
      <c r="J15" s="105" t="s">
        <v>13</v>
      </c>
      <c r="K15" s="476"/>
      <c r="L15" s="477"/>
    </row>
    <row r="16" spans="2:12" ht="19" thickBot="1" x14ac:dyDescent="0.5">
      <c r="J16" s="68"/>
    </row>
    <row r="17" spans="2:23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23" ht="20.149999999999999" customHeight="1" x14ac:dyDescent="0.45">
      <c r="B18" s="34"/>
      <c r="C18" s="22" t="s">
        <v>1458</v>
      </c>
      <c r="D18" s="508" t="str">
        <f>VLOOKUP(C18,'Sales Master'!B$3:D$499,2,)</f>
        <v>Chendol浆咯</v>
      </c>
      <c r="E18" s="508"/>
      <c r="F18" s="508"/>
      <c r="G18" s="22">
        <v>2</v>
      </c>
      <c r="H18" s="386" t="str">
        <f>VLOOKUP(C18,'Sales Master'!$B$3:$F$3179,5,0)</f>
        <v>NW(2.2:0.8) 3 KG/BAG</v>
      </c>
      <c r="I18" s="513" t="str">
        <f>VLOOKUP(C18,'Sales Master'!$B$3:$E$3179,4,0)</f>
        <v>DO!</v>
      </c>
      <c r="J18" s="513"/>
      <c r="K18" s="35">
        <f>VLOOKUP(C18,'Sales Master'!B$3:U$499,20,0)</f>
        <v>8</v>
      </c>
      <c r="L18" s="77">
        <f t="shared" ref="L18:L20" si="0">K18*G18</f>
        <v>16</v>
      </c>
      <c r="M18" s="78"/>
      <c r="N18" s="225">
        <f>VLOOKUP(C18,'Sales Master'!$B$3:$DA$3038,104,0)</f>
        <v>1.85</v>
      </c>
      <c r="O18" s="225">
        <f t="shared" ref="O18:O20" si="1">K18-N18</f>
        <v>6.15</v>
      </c>
      <c r="P18" s="225">
        <f t="shared" ref="P18:P20" si="2">O18*G18</f>
        <v>12.3</v>
      </c>
      <c r="Q18" s="76"/>
      <c r="R18" s="24">
        <v>1</v>
      </c>
      <c r="S18" s="24" t="s">
        <v>36</v>
      </c>
      <c r="T18" s="24" t="s">
        <v>54</v>
      </c>
      <c r="V18" s="24">
        <v>10</v>
      </c>
      <c r="W18" s="24">
        <v>10</v>
      </c>
    </row>
    <row r="19" spans="2:23" ht="20.149999999999999" customHeight="1" x14ac:dyDescent="0.45">
      <c r="B19" s="34"/>
      <c r="C19" s="22" t="s">
        <v>1712</v>
      </c>
      <c r="D19" s="508" t="str">
        <f>VLOOKUP(C19,'Sales Master'!B$3:D$499,2,)</f>
        <v>Canned Red Bean 罐头 红豆</v>
      </c>
      <c r="E19" s="508"/>
      <c r="F19" s="508"/>
      <c r="G19" s="22">
        <v>4</v>
      </c>
      <c r="H19" s="386" t="str">
        <f>VLOOKUP(C19,'Sales Master'!$B$3:$F$3179,5,0)</f>
        <v xml:space="preserve">3.3KG/Can </v>
      </c>
      <c r="I19" s="513" t="str">
        <f>VLOOKUP(C19,'Sales Master'!$B$3:$E$3179,4,0)</f>
        <v>Joy</v>
      </c>
      <c r="J19" s="513"/>
      <c r="K19" s="35">
        <f>VLOOKUP(C19,'Sales Master'!B$3:U$499,20,0)</f>
        <v>11</v>
      </c>
      <c r="L19" s="77">
        <f t="shared" si="0"/>
        <v>44</v>
      </c>
      <c r="M19" s="78"/>
      <c r="N19" s="225">
        <f>VLOOKUP(C19,'Sales Master'!$B$3:$DA$3038,104,0)</f>
        <v>7.5</v>
      </c>
      <c r="O19" s="225">
        <f t="shared" si="1"/>
        <v>3.5</v>
      </c>
      <c r="P19" s="225">
        <f t="shared" si="2"/>
        <v>14</v>
      </c>
      <c r="Q19" s="76"/>
      <c r="R19" s="24">
        <v>1</v>
      </c>
      <c r="S19" s="24" t="s">
        <v>36</v>
      </c>
      <c r="T19" s="24" t="s">
        <v>54</v>
      </c>
      <c r="V19" s="24">
        <v>10</v>
      </c>
      <c r="W19" s="24">
        <v>10</v>
      </c>
    </row>
    <row r="20" spans="2:23" ht="20.149999999999999" customHeight="1" x14ac:dyDescent="0.45">
      <c r="B20" s="34"/>
      <c r="C20" s="22" t="s">
        <v>2035</v>
      </c>
      <c r="D20" s="508" t="str">
        <f>VLOOKUP(C20,'Sales Master'!B$3:D$499,2,)</f>
        <v>Fruit Cocktail杂果</v>
      </c>
      <c r="E20" s="508"/>
      <c r="F20" s="508"/>
      <c r="G20" s="22">
        <v>1</v>
      </c>
      <c r="H20" s="386" t="str">
        <f>VLOOKUP(C20,'Sales Master'!$B$3:$F$3179,5,0)</f>
        <v>(820gm x 12)/箱</v>
      </c>
      <c r="I20" s="513" t="str">
        <f>VLOOKUP(C20,'Sales Master'!$B$3:$E$3179,4,0)</f>
        <v>Mili</v>
      </c>
      <c r="J20" s="513"/>
      <c r="K20" s="35">
        <f>VLOOKUP(C20,'Sales Master'!B$3:U$499,20,0)</f>
        <v>26</v>
      </c>
      <c r="L20" s="77">
        <f t="shared" si="0"/>
        <v>26</v>
      </c>
      <c r="M20" s="78"/>
      <c r="N20" s="225">
        <f>VLOOKUP(C20,'Sales Master'!$B$3:$DA$3038,104,0)</f>
        <v>20</v>
      </c>
      <c r="O20" s="225">
        <f t="shared" si="1"/>
        <v>6</v>
      </c>
      <c r="P20" s="225">
        <f t="shared" si="2"/>
        <v>6</v>
      </c>
      <c r="Q20" s="76"/>
      <c r="R20" s="24">
        <v>2</v>
      </c>
      <c r="S20" s="24" t="s">
        <v>46</v>
      </c>
      <c r="T20" s="24" t="s">
        <v>100</v>
      </c>
      <c r="V20" s="24">
        <v>7.5</v>
      </c>
      <c r="W20" s="24">
        <v>15</v>
      </c>
    </row>
    <row r="21" spans="2:23" ht="20.149999999999999" customHeight="1" x14ac:dyDescent="0.45">
      <c r="B21" s="34"/>
      <c r="C21" s="22" t="s">
        <v>1737</v>
      </c>
      <c r="D21" s="508" t="str">
        <f>VLOOKUP(C21,'Sales Master'!B$3:D$499,2,)</f>
        <v>Coconut Milk 椰浆</v>
      </c>
      <c r="E21" s="508"/>
      <c r="F21" s="508"/>
      <c r="G21" s="22">
        <v>1</v>
      </c>
      <c r="H21" s="386" t="str">
        <f>VLOOKUP(C21,'Sales Master'!$B$3:$F$3179,5,0)</f>
        <v>(200gm x 30bag)/箱</v>
      </c>
      <c r="I21" s="513" t="str">
        <f>VLOOKUP(C21,'Sales Master'!$B$3:$E$3179,4,0)</f>
        <v>Kara UHT</v>
      </c>
      <c r="J21" s="513"/>
      <c r="K21" s="35">
        <f>VLOOKUP(C21,'Sales Master'!B$3:U$499,20,0)</f>
        <v>26</v>
      </c>
      <c r="L21" s="77">
        <f t="shared" ref="L21" si="3">K21*G21</f>
        <v>26</v>
      </c>
      <c r="M21" s="78"/>
      <c r="N21" s="225">
        <f>VLOOKUP(C21,'Sales Master'!$B$3:$DA$3038,104,0)</f>
        <v>20</v>
      </c>
      <c r="O21" s="225">
        <f t="shared" ref="O21" si="4">K21-N21</f>
        <v>6</v>
      </c>
      <c r="P21" s="225">
        <f t="shared" ref="P21" si="5">O21*G21</f>
        <v>6</v>
      </c>
      <c r="Q21" s="76"/>
      <c r="R21" s="24">
        <v>2</v>
      </c>
      <c r="S21" s="24" t="s">
        <v>46</v>
      </c>
      <c r="T21" s="24" t="s">
        <v>34</v>
      </c>
      <c r="V21" s="24">
        <v>16</v>
      </c>
      <c r="W21" s="24">
        <v>32</v>
      </c>
    </row>
    <row r="22" spans="2:23" ht="20.149999999999999" customHeight="1" x14ac:dyDescent="0.45">
      <c r="B22" s="34"/>
      <c r="C22" s="22" t="s">
        <v>1776</v>
      </c>
      <c r="D22" s="508" t="str">
        <f>VLOOKUP(C22,'Sales Master'!B$3:D$499,2,)</f>
        <v>Coconut Sugar椰糖</v>
      </c>
      <c r="E22" s="508"/>
      <c r="F22" s="508"/>
      <c r="G22" s="22">
        <v>1</v>
      </c>
      <c r="H22" s="386" t="str">
        <f>VLOOKUP(C22,'Sales Master'!$B$3:$F$3179,5,0)</f>
        <v>10kgs/ctn</v>
      </c>
      <c r="I22" s="513" t="str">
        <f>VLOOKUP(C22,'Sales Master'!$B$3:$E$3179,4,0)</f>
        <v>2P</v>
      </c>
      <c r="J22" s="513"/>
      <c r="K22" s="35">
        <f>VLOOKUP(C22,'Sales Master'!B$3:U$499,20,0)</f>
        <v>36</v>
      </c>
      <c r="L22" s="77">
        <f t="shared" ref="L22" si="6">K22*G22</f>
        <v>36</v>
      </c>
      <c r="M22" s="78"/>
      <c r="N22" s="225">
        <f>VLOOKUP(C22,'Sales Master'!$B$3:$DA$3038,104,0)</f>
        <v>31</v>
      </c>
      <c r="O22" s="225">
        <f t="shared" ref="O22" si="7">K22-N22</f>
        <v>5</v>
      </c>
      <c r="P22" s="225">
        <f t="shared" ref="P22" si="8">O22*G22</f>
        <v>5</v>
      </c>
      <c r="Q22" s="76"/>
      <c r="R22" s="24">
        <v>2</v>
      </c>
      <c r="S22" s="24" t="s">
        <v>46</v>
      </c>
      <c r="T22" s="24" t="s">
        <v>596</v>
      </c>
      <c r="V22" s="24">
        <v>38</v>
      </c>
      <c r="W22" s="24">
        <v>38</v>
      </c>
    </row>
    <row r="23" spans="2:23" ht="20.149999999999999" customHeight="1" x14ac:dyDescent="0.45">
      <c r="B23" s="34"/>
      <c r="C23" s="22"/>
      <c r="D23" s="508"/>
      <c r="E23" s="508"/>
      <c r="F23" s="508"/>
      <c r="G23" s="22"/>
      <c r="H23" s="386"/>
      <c r="I23" s="513"/>
      <c r="J23" s="513"/>
      <c r="K23" s="35"/>
      <c r="L23" s="77"/>
      <c r="M23" s="78"/>
      <c r="N23" s="225"/>
      <c r="O23" s="225"/>
      <c r="P23" s="225"/>
      <c r="Q23" s="76"/>
      <c r="R23" s="24">
        <v>2</v>
      </c>
      <c r="S23" s="24" t="s">
        <v>46</v>
      </c>
      <c r="T23" s="24" t="s">
        <v>34</v>
      </c>
      <c r="V23" s="24">
        <v>1.5</v>
      </c>
      <c r="W23" s="24">
        <v>10.5</v>
      </c>
    </row>
    <row r="24" spans="2:23" ht="20.149999999999999" customHeight="1" x14ac:dyDescent="0.45">
      <c r="B24" s="34"/>
      <c r="C24" s="230"/>
      <c r="G24" s="22"/>
      <c r="H24" s="386"/>
      <c r="I24" s="513"/>
      <c r="J24" s="513"/>
      <c r="K24" s="35"/>
      <c r="L24" s="77"/>
      <c r="M24" s="78"/>
      <c r="N24" s="225"/>
      <c r="O24" s="225"/>
      <c r="P24" s="225"/>
      <c r="Q24" s="76"/>
      <c r="S24" s="24" t="s">
        <v>36</v>
      </c>
      <c r="T24" s="24" t="s">
        <v>75</v>
      </c>
      <c r="V24" s="24">
        <v>1.5</v>
      </c>
      <c r="W24" s="24">
        <v>30</v>
      </c>
    </row>
    <row r="25" spans="2:23" ht="20.149999999999999" customHeight="1" x14ac:dyDescent="0.45">
      <c r="B25" s="34"/>
      <c r="C25" s="411" t="s">
        <v>2297</v>
      </c>
      <c r="D25" s="230"/>
      <c r="E25" s="230"/>
      <c r="F25" s="230"/>
      <c r="G25" s="90"/>
      <c r="H25" s="389"/>
      <c r="I25" s="438"/>
      <c r="J25" s="438"/>
      <c r="K25" s="394"/>
      <c r="L25" s="77"/>
      <c r="M25" s="78"/>
      <c r="R25" s="24">
        <v>1</v>
      </c>
      <c r="S25" s="24" t="s">
        <v>546</v>
      </c>
      <c r="T25" s="24" t="s">
        <v>470</v>
      </c>
      <c r="V25" s="24">
        <v>30</v>
      </c>
      <c r="W25" s="24">
        <v>30</v>
      </c>
    </row>
    <row r="26" spans="2:23" ht="20.149999999999999" customHeight="1" x14ac:dyDescent="0.45">
      <c r="B26" s="34"/>
      <c r="C26" s="22" t="s">
        <v>1563</v>
      </c>
      <c r="D26" s="480" t="str">
        <f>VLOOKUP(C26,'[1]Sales Master'!B$3:D$603,2,0)</f>
        <v>Atap Seeds in Syrup亚嗒子</v>
      </c>
      <c r="E26" s="480"/>
      <c r="F26" s="480"/>
      <c r="G26" s="90">
        <v>1</v>
      </c>
      <c r="H26" s="389" t="str">
        <f>VLOOKUP(C26,'[1]Sales Master'!B$3:F$896,5,0)</f>
        <v>NW (2.1:0.9) 3 kgs</v>
      </c>
      <c r="I26" s="482" t="str">
        <f>VLOOKUP(C26,'[1]Sales Master'!B$3:E$896,4,0)</f>
        <v>2P</v>
      </c>
      <c r="J26" s="482"/>
      <c r="K26" s="394">
        <v>11.5</v>
      </c>
      <c r="L26" s="77"/>
      <c r="M26" s="78"/>
      <c r="R26" s="24">
        <v>3</v>
      </c>
      <c r="S26" s="24" t="s">
        <v>61</v>
      </c>
      <c r="T26" s="24" t="s">
        <v>34</v>
      </c>
      <c r="V26" s="24">
        <v>5</v>
      </c>
      <c r="W26" s="24">
        <v>15</v>
      </c>
    </row>
    <row r="27" spans="2:23" ht="20.149999999999999" customHeight="1" x14ac:dyDescent="0.45">
      <c r="B27" s="34"/>
      <c r="C27" s="22"/>
      <c r="D27" s="508"/>
      <c r="E27" s="508"/>
      <c r="F27" s="508"/>
      <c r="G27" s="22"/>
      <c r="H27" s="68"/>
      <c r="I27" s="481"/>
      <c r="J27" s="481"/>
      <c r="K27" s="35"/>
      <c r="L27" s="77"/>
      <c r="M27" s="78"/>
      <c r="R27" s="24">
        <v>2</v>
      </c>
      <c r="S27" s="24" t="s">
        <v>47</v>
      </c>
      <c r="T27" s="24" t="s">
        <v>454</v>
      </c>
      <c r="V27" s="24">
        <v>25</v>
      </c>
      <c r="W27" s="24">
        <v>50</v>
      </c>
    </row>
    <row r="28" spans="2:23" ht="20.149999999999999" customHeight="1" x14ac:dyDescent="0.45">
      <c r="B28" s="34"/>
      <c r="C28" s="22"/>
      <c r="D28" s="508"/>
      <c r="E28" s="508"/>
      <c r="F28" s="508"/>
      <c r="G28" s="22"/>
      <c r="H28" s="68"/>
      <c r="I28" s="481"/>
      <c r="J28" s="481"/>
      <c r="K28" s="35"/>
      <c r="L28" s="77"/>
      <c r="M28" s="78"/>
      <c r="R28" s="24">
        <v>4</v>
      </c>
      <c r="S28" s="24" t="s">
        <v>59</v>
      </c>
      <c r="T28" s="24" t="s">
        <v>485</v>
      </c>
      <c r="V28" s="24">
        <v>41</v>
      </c>
      <c r="W28" s="24">
        <v>164</v>
      </c>
    </row>
    <row r="29" spans="2:23" ht="20.149999999999999" customHeight="1" x14ac:dyDescent="0.45">
      <c r="B29" s="34"/>
      <c r="C29" s="22"/>
      <c r="D29" s="508"/>
      <c r="E29" s="508"/>
      <c r="F29" s="508"/>
      <c r="G29" s="22"/>
      <c r="H29" s="68"/>
      <c r="I29" s="481"/>
      <c r="J29" s="481"/>
      <c r="K29" s="35"/>
      <c r="L29" s="77"/>
      <c r="M29" s="78"/>
      <c r="R29" s="24">
        <v>1</v>
      </c>
      <c r="S29" s="24" t="s">
        <v>592</v>
      </c>
      <c r="T29" s="24" t="s">
        <v>452</v>
      </c>
      <c r="V29" s="24">
        <v>26</v>
      </c>
      <c r="W29" s="24">
        <v>26</v>
      </c>
    </row>
    <row r="30" spans="2:23" ht="20.149999999999999" customHeight="1" x14ac:dyDescent="0.45">
      <c r="B30" s="34"/>
      <c r="C30" s="22"/>
      <c r="D30" s="508"/>
      <c r="E30" s="508"/>
      <c r="F30" s="508"/>
      <c r="G30" s="22"/>
      <c r="H30" s="68"/>
      <c r="I30" s="481"/>
      <c r="J30" s="481"/>
      <c r="K30" s="35"/>
      <c r="L30" s="36"/>
      <c r="R30" s="24">
        <v>6</v>
      </c>
      <c r="S30" s="24" t="s">
        <v>527</v>
      </c>
      <c r="T30" s="24" t="s">
        <v>452</v>
      </c>
      <c r="V30" s="24">
        <v>21</v>
      </c>
      <c r="W30" s="24">
        <v>126</v>
      </c>
    </row>
    <row r="31" spans="2:23" ht="20.149999999999999" customHeight="1" thickBot="1" x14ac:dyDescent="0.5">
      <c r="B31" s="37"/>
      <c r="C31" s="38"/>
      <c r="D31" s="509"/>
      <c r="E31" s="509"/>
      <c r="F31" s="509"/>
      <c r="G31" s="38"/>
      <c r="H31" s="69"/>
      <c r="I31" s="557"/>
      <c r="J31" s="557"/>
      <c r="K31" s="39"/>
      <c r="L31" s="40"/>
      <c r="R31" s="24">
        <v>1</v>
      </c>
      <c r="S31" s="24" t="s">
        <v>48</v>
      </c>
      <c r="T31" s="24" t="s">
        <v>456</v>
      </c>
      <c r="V31" s="24">
        <v>18</v>
      </c>
      <c r="W31" s="24">
        <v>18</v>
      </c>
    </row>
    <row r="32" spans="2:23" ht="20.149999999999999" customHeight="1" thickBot="1" x14ac:dyDescent="0.5">
      <c r="B32" s="41"/>
      <c r="L32" s="42"/>
    </row>
    <row r="33" spans="2:14" ht="20.149999999999999" customHeight="1" x14ac:dyDescent="0.45">
      <c r="B33" s="11" t="s">
        <v>18</v>
      </c>
      <c r="C33" s="7"/>
      <c r="D33" s="7"/>
      <c r="E33" s="7"/>
      <c r="F33" s="7"/>
      <c r="G33" s="7"/>
      <c r="H33" s="7"/>
      <c r="I33" s="7"/>
      <c r="J33" s="510" t="s">
        <v>15</v>
      </c>
      <c r="K33" s="511"/>
      <c r="L33" s="43">
        <f>SUM(L17:L30)</f>
        <v>148</v>
      </c>
      <c r="M33" s="76">
        <f>SUM(P18:P31)</f>
        <v>43.3</v>
      </c>
      <c r="N33" s="201">
        <f>M33/L33</f>
        <v>0.29256756756756752</v>
      </c>
    </row>
    <row r="34" spans="2:14" ht="20.149999999999999" customHeight="1" x14ac:dyDescent="0.45">
      <c r="B34" s="11" t="s">
        <v>19</v>
      </c>
      <c r="C34" s="7"/>
      <c r="D34" s="7"/>
      <c r="E34" s="7"/>
      <c r="F34" s="7"/>
      <c r="G34" s="7"/>
      <c r="H34" s="7"/>
      <c r="I34" s="7"/>
      <c r="J34" s="44" t="s">
        <v>22</v>
      </c>
      <c r="K34" s="45"/>
      <c r="L34" s="46"/>
    </row>
    <row r="35" spans="2:14" ht="20.149999999999999" customHeight="1" x14ac:dyDescent="0.45">
      <c r="B35" s="11" t="s">
        <v>20</v>
      </c>
      <c r="C35" s="7"/>
      <c r="D35" s="7"/>
      <c r="E35" s="7"/>
      <c r="F35" s="7"/>
      <c r="G35" s="7"/>
      <c r="H35" s="7"/>
      <c r="I35" s="7"/>
      <c r="J35" s="486" t="s">
        <v>21</v>
      </c>
      <c r="K35" s="487"/>
      <c r="L35" s="46">
        <f>L33-L34</f>
        <v>148</v>
      </c>
    </row>
    <row r="36" spans="2:14" ht="20.149999999999999" customHeight="1" x14ac:dyDescent="0.45">
      <c r="B36" s="11" t="s">
        <v>24</v>
      </c>
      <c r="C36" s="7"/>
      <c r="D36" s="7"/>
      <c r="E36" s="7"/>
      <c r="F36" s="7"/>
      <c r="G36" s="7"/>
      <c r="H36" s="7"/>
      <c r="I36" s="7"/>
      <c r="J36" s="150" t="s">
        <v>17</v>
      </c>
      <c r="K36" s="151">
        <v>7.0000000000000007E-2</v>
      </c>
      <c r="L36" s="47">
        <f>L35*0.07</f>
        <v>10.360000000000001</v>
      </c>
    </row>
    <row r="37" spans="2:14" ht="20.149999999999999" customHeight="1" thickBot="1" x14ac:dyDescent="0.5">
      <c r="B37" s="11" t="s">
        <v>25</v>
      </c>
      <c r="C37" s="7"/>
      <c r="D37" s="7"/>
      <c r="E37" s="7"/>
      <c r="F37" s="7"/>
      <c r="G37" s="7"/>
      <c r="H37" s="7"/>
      <c r="I37" s="7"/>
      <c r="J37" s="488" t="s">
        <v>23</v>
      </c>
      <c r="K37" s="489"/>
      <c r="L37" s="48">
        <f>L35+L36</f>
        <v>158.36000000000001</v>
      </c>
    </row>
    <row r="38" spans="2:14" ht="20.149999999999999" customHeight="1" x14ac:dyDescent="0.45">
      <c r="B38" s="11" t="s">
        <v>26</v>
      </c>
      <c r="C38" s="7"/>
      <c r="D38" s="7"/>
      <c r="E38" s="7"/>
      <c r="F38" s="7"/>
      <c r="G38" s="7"/>
      <c r="H38" s="7"/>
      <c r="I38" s="7"/>
      <c r="L38" s="42"/>
    </row>
    <row r="39" spans="2:14" ht="20.149999999999999" customHeight="1" x14ac:dyDescent="0.45">
      <c r="B39" s="41"/>
      <c r="L39" s="42"/>
    </row>
    <row r="40" spans="2:14" ht="20.149999999999999" customHeight="1" x14ac:dyDescent="0.45">
      <c r="B40" s="41"/>
      <c r="L40" s="42"/>
    </row>
    <row r="41" spans="2:14" ht="20.149999999999999" customHeight="1" x14ac:dyDescent="0.45">
      <c r="B41" s="41"/>
      <c r="L41" s="42"/>
    </row>
    <row r="42" spans="2:14" ht="20.149999999999999" customHeight="1" x14ac:dyDescent="0.45">
      <c r="B42" s="41"/>
      <c r="L42" s="42"/>
    </row>
    <row r="43" spans="2:14" ht="20.149999999999999" customHeight="1" x14ac:dyDescent="0.45">
      <c r="B43" s="49"/>
      <c r="C43" s="50"/>
      <c r="D43" s="50"/>
      <c r="J43" s="106"/>
      <c r="K43" s="50"/>
      <c r="L43" s="51"/>
    </row>
    <row r="44" spans="2:14" ht="20.149999999999999" customHeight="1" x14ac:dyDescent="0.45">
      <c r="B44" s="41" t="s">
        <v>27</v>
      </c>
      <c r="J44" s="102" t="s">
        <v>28</v>
      </c>
      <c r="L44" s="42"/>
    </row>
    <row r="45" spans="2:14" ht="19" thickBot="1" x14ac:dyDescent="0.5">
      <c r="B45" s="52"/>
      <c r="C45" s="53"/>
      <c r="D45" s="53"/>
      <c r="E45" s="53"/>
      <c r="F45" s="53"/>
      <c r="G45" s="53"/>
      <c r="H45" s="53"/>
      <c r="I45" s="53"/>
      <c r="J45" s="107"/>
      <c r="K45" s="53"/>
      <c r="L45" s="54"/>
    </row>
  </sheetData>
  <mergeCells count="43">
    <mergeCell ref="B1:L8"/>
    <mergeCell ref="J33:K33"/>
    <mergeCell ref="J35:K35"/>
    <mergeCell ref="J37:K37"/>
    <mergeCell ref="B15:D15"/>
    <mergeCell ref="D29:F29"/>
    <mergeCell ref="I29:J29"/>
    <mergeCell ref="D30:F30"/>
    <mergeCell ref="I30:J30"/>
    <mergeCell ref="D31:F31"/>
    <mergeCell ref="I31:J31"/>
    <mergeCell ref="D28:F28"/>
    <mergeCell ref="I24:J24"/>
    <mergeCell ref="I28:J28"/>
    <mergeCell ref="D26:F26"/>
    <mergeCell ref="I26:J26"/>
    <mergeCell ref="D27:F27"/>
    <mergeCell ref="I27:J27"/>
    <mergeCell ref="D21:F21"/>
    <mergeCell ref="I21:J21"/>
    <mergeCell ref="D22:F22"/>
    <mergeCell ref="I22:J22"/>
    <mergeCell ref="D23:F23"/>
    <mergeCell ref="I23:J23"/>
    <mergeCell ref="D20:F20"/>
    <mergeCell ref="I20:J20"/>
    <mergeCell ref="D19:F19"/>
    <mergeCell ref="I19:J19"/>
    <mergeCell ref="D17:F17"/>
    <mergeCell ref="I17:J17"/>
    <mergeCell ref="D18:F18"/>
    <mergeCell ref="I18:J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</mergeCells>
  <conditionalFormatting sqref="C19">
    <cfRule type="duplicateValues" dxfId="133" priority="4"/>
  </conditionalFormatting>
  <conditionalFormatting sqref="C20:C21">
    <cfRule type="duplicateValues" dxfId="132" priority="1088"/>
  </conditionalFormatting>
  <conditionalFormatting sqref="C25:C26">
    <cfRule type="duplicateValues" dxfId="131" priority="1"/>
  </conditionalFormatting>
  <conditionalFormatting sqref="C22:C24 C18 C27:C31">
    <cfRule type="duplicateValues" dxfId="130" priority="1154"/>
  </conditionalFormatting>
  <pageMargins left="0.70866141732283472" right="0.31496062992125984" top="0.59055118110236227" bottom="0" header="0.31496062992125984" footer="0.31496062992125984"/>
  <pageSetup paperSize="9" scale="75" orientation="portrait" horizontalDpi="300" verticalDpi="3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F198AC-5D51-46A8-AB54-017A65F05681}">
  <sheetPr codeName="Sheet190">
    <tabColor rgb="FFFFC000"/>
    <pageSetUpPr fitToPage="1"/>
  </sheetPr>
  <dimension ref="B1:Q39"/>
  <sheetViews>
    <sheetView topLeftCell="D1" workbookViewId="0">
      <selection activeCell="J22" sqref="J22"/>
    </sheetView>
  </sheetViews>
  <sheetFormatPr defaultColWidth="12.54296875" defaultRowHeight="18.5" x14ac:dyDescent="0.45"/>
  <cols>
    <col min="1" max="1" width="12.54296875" style="24"/>
    <col min="2" max="2" width="15.54296875" style="24" customWidth="1"/>
    <col min="3" max="4" width="12.54296875" style="24" customWidth="1"/>
    <col min="5" max="5" width="1.54296875" style="24" customWidth="1"/>
    <col min="6" max="6" width="16.54296875" style="24" customWidth="1"/>
    <col min="7" max="7" width="8.54296875" style="24" customWidth="1"/>
    <col min="8" max="8" width="12.54296875" style="24" customWidth="1"/>
    <col min="9" max="9" width="2.54296875" style="24" customWidth="1"/>
    <col min="10" max="10" width="15.54296875" style="24" customWidth="1"/>
    <col min="11" max="11" width="12.54296875" style="24" customWidth="1"/>
    <col min="12" max="12" width="14.9062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191"/>
      <c r="C9" s="191"/>
      <c r="D9" s="191"/>
      <c r="E9" s="191"/>
      <c r="F9" s="191"/>
      <c r="G9" s="191"/>
      <c r="H9" s="191"/>
      <c r="I9" s="191"/>
      <c r="J9" s="191"/>
      <c r="K9" s="191"/>
      <c r="L9" s="191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2189</v>
      </c>
      <c r="J10" s="29" t="s">
        <v>29</v>
      </c>
      <c r="K10" s="452">
        <v>202204206</v>
      </c>
      <c r="L10" s="453"/>
    </row>
    <row r="11" spans="2:12" ht="20.149999999999999" customHeight="1" x14ac:dyDescent="0.45">
      <c r="B11" s="454" t="s">
        <v>743</v>
      </c>
      <c r="C11" s="455"/>
      <c r="D11" s="456"/>
      <c r="E11" s="30"/>
      <c r="F11" s="457" t="str">
        <f>VLOOKUP(H10,'Delivery Location'!A$4:N$416,2,0)</f>
        <v xml:space="preserve">Yew Ming Trading Pte Ltd                                               Blk Pasir Panjang Wholesale Centre               #01-108/109            Singapore 110017             </v>
      </c>
      <c r="G11" s="458"/>
      <c r="H11" s="459"/>
      <c r="J11" s="31" t="s">
        <v>11</v>
      </c>
      <c r="K11" s="551">
        <v>44899</v>
      </c>
      <c r="L11" s="472"/>
    </row>
    <row r="12" spans="2:12" ht="20.149999999999999" customHeight="1" x14ac:dyDescent="0.45">
      <c r="B12" s="468"/>
      <c r="C12" s="469"/>
      <c r="D12" s="470"/>
      <c r="E12" s="30"/>
      <c r="F12" s="460"/>
      <c r="G12" s="461"/>
      <c r="H12" s="462"/>
      <c r="J12" s="31" t="s">
        <v>171</v>
      </c>
      <c r="K12" s="471" t="s">
        <v>533</v>
      </c>
      <c r="L12" s="472"/>
    </row>
    <row r="13" spans="2:12" ht="20.149999999999999" customHeight="1" x14ac:dyDescent="0.45">
      <c r="B13" s="468"/>
      <c r="C13" s="469"/>
      <c r="D13" s="470"/>
      <c r="E13" s="30"/>
      <c r="F13" s="460"/>
      <c r="G13" s="461"/>
      <c r="H13" s="462"/>
      <c r="J13" s="31" t="s">
        <v>12</v>
      </c>
      <c r="K13" s="471" t="s">
        <v>688</v>
      </c>
      <c r="L13" s="472"/>
    </row>
    <row r="14" spans="2:12" ht="20.149999999999999" customHeight="1" x14ac:dyDescent="0.45">
      <c r="B14" s="468"/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552"/>
      <c r="C15" s="474"/>
      <c r="D15" s="475"/>
      <c r="E15" s="26"/>
      <c r="F15" s="463"/>
      <c r="G15" s="464"/>
      <c r="H15" s="465"/>
      <c r="J15" s="32" t="s">
        <v>1405</v>
      </c>
      <c r="K15" s="476" t="s">
        <v>36</v>
      </c>
      <c r="L15" s="477"/>
    </row>
    <row r="16" spans="2:12" ht="19" thickBot="1" x14ac:dyDescent="0.5">
      <c r="J16" s="22"/>
    </row>
    <row r="17" spans="2:17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8" t="s">
        <v>622</v>
      </c>
      <c r="I17" s="478" t="s">
        <v>621</v>
      </c>
      <c r="J17" s="479"/>
      <c r="K17" s="9" t="s">
        <v>6</v>
      </c>
      <c r="L17" s="10" t="s">
        <v>7</v>
      </c>
      <c r="N17" s="383" t="s">
        <v>2138</v>
      </c>
      <c r="O17" s="383" t="s">
        <v>2141</v>
      </c>
      <c r="P17" s="383" t="s">
        <v>2142</v>
      </c>
    </row>
    <row r="18" spans="2:17" ht="20.149999999999999" customHeight="1" x14ac:dyDescent="0.45">
      <c r="B18" s="34"/>
      <c r="C18" s="22" t="s">
        <v>1630</v>
      </c>
      <c r="D18" s="508" t="str">
        <f>VLOOKUP(C18,'Sales Master'!B$3:D$499,2,)</f>
        <v>GingKo Nut白果粒</v>
      </c>
      <c r="E18" s="508"/>
      <c r="F18" s="508"/>
      <c r="G18" s="22">
        <f>5*30</f>
        <v>150</v>
      </c>
      <c r="H18" s="438" t="str">
        <f>VLOOKUP(C18,'Sales Master'!$B$3:$E$590,4,0)</f>
        <v>-</v>
      </c>
      <c r="I18" s="512" t="s">
        <v>2191</v>
      </c>
      <c r="J18" s="512"/>
      <c r="K18" s="94">
        <v>3</v>
      </c>
      <c r="L18" s="77">
        <f>K18*G18</f>
        <v>450</v>
      </c>
      <c r="N18" s="225">
        <f>2.9</f>
        <v>2.9</v>
      </c>
      <c r="O18" s="225">
        <f>K18-N18</f>
        <v>0.10000000000000009</v>
      </c>
      <c r="P18" s="225">
        <f>O18*G18</f>
        <v>15.000000000000014</v>
      </c>
      <c r="Q18" s="76"/>
    </row>
    <row r="19" spans="2:17" ht="20.149999999999999" customHeight="1" x14ac:dyDescent="0.45">
      <c r="B19" s="34"/>
      <c r="C19" s="22"/>
      <c r="D19" s="508"/>
      <c r="E19" s="508"/>
      <c r="F19" s="508"/>
      <c r="G19" s="22"/>
      <c r="H19" s="68"/>
      <c r="I19" s="481"/>
      <c r="J19" s="481"/>
      <c r="K19" s="94"/>
      <c r="L19" s="77"/>
      <c r="N19" s="225"/>
      <c r="O19" s="225"/>
      <c r="P19" s="225"/>
      <c r="Q19" s="76"/>
    </row>
    <row r="20" spans="2:17" ht="20.149999999999999" customHeight="1" x14ac:dyDescent="0.45">
      <c r="B20" s="34"/>
      <c r="C20" s="22"/>
      <c r="D20" s="508"/>
      <c r="E20" s="508"/>
      <c r="F20" s="508"/>
      <c r="G20" s="22"/>
      <c r="H20" s="68"/>
      <c r="I20" s="481"/>
      <c r="J20" s="481"/>
      <c r="K20" s="94"/>
      <c r="L20" s="77"/>
    </row>
    <row r="21" spans="2:17" ht="20.149999999999999" customHeight="1" x14ac:dyDescent="0.45">
      <c r="B21" s="34"/>
      <c r="C21" s="22"/>
      <c r="D21" s="508"/>
      <c r="E21" s="508"/>
      <c r="F21" s="508"/>
      <c r="G21" s="22"/>
      <c r="H21" s="68"/>
      <c r="I21" s="481"/>
      <c r="J21" s="481"/>
      <c r="K21" s="94"/>
      <c r="L21" s="77"/>
    </row>
    <row r="22" spans="2:17" ht="20.149999999999999" customHeight="1" x14ac:dyDescent="0.45">
      <c r="B22" s="34"/>
      <c r="C22" s="22"/>
      <c r="G22" s="22"/>
      <c r="H22" s="68"/>
      <c r="I22" s="68"/>
      <c r="J22" s="68"/>
      <c r="K22" s="94"/>
      <c r="L22" s="77"/>
    </row>
    <row r="23" spans="2:17" ht="20.149999999999999" customHeight="1" x14ac:dyDescent="0.45">
      <c r="B23" s="34"/>
      <c r="C23" s="22"/>
      <c r="G23" s="22"/>
      <c r="H23" s="68"/>
      <c r="I23" s="68"/>
      <c r="J23" s="68"/>
      <c r="K23" s="94"/>
      <c r="L23" s="77"/>
    </row>
    <row r="24" spans="2:17" ht="20.149999999999999" customHeight="1" x14ac:dyDescent="0.45">
      <c r="B24" s="34"/>
      <c r="C24" s="22"/>
      <c r="D24" s="508"/>
      <c r="E24" s="508"/>
      <c r="F24" s="508"/>
      <c r="G24" s="22"/>
      <c r="H24" s="68"/>
      <c r="I24" s="481"/>
      <c r="J24" s="481"/>
      <c r="K24" s="94"/>
      <c r="L24" s="77"/>
    </row>
    <row r="25" spans="2:17" ht="20.149999999999999" customHeight="1" thickBot="1" x14ac:dyDescent="0.5">
      <c r="B25" s="37"/>
      <c r="C25" s="38"/>
      <c r="D25" s="509"/>
      <c r="E25" s="509"/>
      <c r="F25" s="509"/>
      <c r="G25" s="38"/>
      <c r="H25" s="69"/>
      <c r="I25" s="451"/>
      <c r="J25" s="451"/>
      <c r="K25" s="39"/>
      <c r="L25" s="40"/>
    </row>
    <row r="26" spans="2:17" ht="20.149999999999999" customHeight="1" thickBot="1" x14ac:dyDescent="0.5">
      <c r="B26" s="41"/>
      <c r="L26" s="42"/>
    </row>
    <row r="27" spans="2:17" ht="20.149999999999999" customHeight="1" x14ac:dyDescent="0.45">
      <c r="B27" s="11" t="s">
        <v>18</v>
      </c>
      <c r="C27" s="7"/>
      <c r="D27" s="7"/>
      <c r="E27" s="7"/>
      <c r="F27" s="7"/>
      <c r="G27" s="7"/>
      <c r="H27" s="7"/>
      <c r="I27" s="7"/>
      <c r="J27" s="510" t="s">
        <v>15</v>
      </c>
      <c r="K27" s="511"/>
      <c r="L27" s="43">
        <f>SUM(L17:L26)</f>
        <v>450</v>
      </c>
      <c r="M27" s="76">
        <f>SUM(P18:P24)</f>
        <v>15.000000000000014</v>
      </c>
      <c r="N27" s="201">
        <f>M27/L27</f>
        <v>3.3333333333333368E-2</v>
      </c>
    </row>
    <row r="28" spans="2:17" ht="20.149999999999999" customHeight="1" x14ac:dyDescent="0.45">
      <c r="B28" s="11" t="s">
        <v>19</v>
      </c>
      <c r="C28" s="7"/>
      <c r="D28" s="7"/>
      <c r="E28" s="7"/>
      <c r="F28" s="7"/>
      <c r="G28" s="7"/>
      <c r="H28" s="7"/>
      <c r="I28" s="7"/>
      <c r="J28" s="44" t="s">
        <v>22</v>
      </c>
      <c r="K28" s="45"/>
      <c r="L28" s="46">
        <f>L27*K28</f>
        <v>0</v>
      </c>
    </row>
    <row r="29" spans="2:17" ht="20.149999999999999" customHeight="1" x14ac:dyDescent="0.45">
      <c r="B29" s="11" t="s">
        <v>20</v>
      </c>
      <c r="C29" s="7"/>
      <c r="D29" s="7"/>
      <c r="E29" s="7"/>
      <c r="F29" s="7"/>
      <c r="G29" s="7"/>
      <c r="H29" s="7"/>
      <c r="I29" s="7"/>
      <c r="J29" s="486" t="s">
        <v>21</v>
      </c>
      <c r="K29" s="487"/>
      <c r="L29" s="46">
        <f>L27-L28</f>
        <v>450</v>
      </c>
    </row>
    <row r="30" spans="2:17" ht="20.149999999999999" customHeight="1" x14ac:dyDescent="0.45">
      <c r="B30" s="11" t="s">
        <v>24</v>
      </c>
      <c r="C30" s="7"/>
      <c r="D30" s="7"/>
      <c r="E30" s="7"/>
      <c r="F30" s="7"/>
      <c r="G30" s="7"/>
      <c r="H30" s="7"/>
      <c r="I30" s="7"/>
      <c r="J30" s="150" t="s">
        <v>17</v>
      </c>
      <c r="K30" s="151">
        <v>7.0000000000000007E-2</v>
      </c>
      <c r="L30" s="47">
        <f>L29*K30</f>
        <v>31.500000000000004</v>
      </c>
    </row>
    <row r="31" spans="2:17" ht="20.149999999999999" customHeight="1" thickBot="1" x14ac:dyDescent="0.5">
      <c r="B31" s="11" t="s">
        <v>1400</v>
      </c>
      <c r="C31" s="7"/>
      <c r="D31" s="7"/>
      <c r="E31" s="7"/>
      <c r="F31" s="7"/>
      <c r="G31" s="7"/>
      <c r="H31" s="7"/>
      <c r="I31" s="7"/>
      <c r="J31" s="488" t="s">
        <v>23</v>
      </c>
      <c r="K31" s="489"/>
      <c r="L31" s="48">
        <f>L29+L30</f>
        <v>481.5</v>
      </c>
    </row>
    <row r="32" spans="2:17" ht="20.149999999999999" customHeight="1" x14ac:dyDescent="0.45">
      <c r="B32" s="11" t="s">
        <v>26</v>
      </c>
      <c r="C32" s="7"/>
      <c r="D32" s="7"/>
      <c r="E32" s="7"/>
      <c r="F32" s="7"/>
      <c r="G32" s="7"/>
      <c r="H32" s="7"/>
      <c r="I32" s="7"/>
      <c r="L32" s="42" t="s">
        <v>720</v>
      </c>
    </row>
    <row r="33" spans="2:12" ht="20.149999999999999" customHeight="1" x14ac:dyDescent="0.45">
      <c r="B33" s="224" t="s">
        <v>1379</v>
      </c>
      <c r="L33" s="42"/>
    </row>
    <row r="34" spans="2:12" ht="20.149999999999999" customHeight="1" x14ac:dyDescent="0.45">
      <c r="B34" s="41"/>
      <c r="L34" s="42"/>
    </row>
    <row r="35" spans="2:12" ht="20.149999999999999" customHeight="1" x14ac:dyDescent="0.45">
      <c r="B35" s="41"/>
      <c r="J35" s="50"/>
      <c r="K35" s="50"/>
      <c r="L35" s="51"/>
    </row>
    <row r="36" spans="2:12" ht="20.149999999999999" customHeight="1" x14ac:dyDescent="0.45">
      <c r="B36" s="41"/>
      <c r="J36" s="24" t="s">
        <v>28</v>
      </c>
      <c r="L36" s="42"/>
    </row>
    <row r="37" spans="2:12" ht="20.149999999999999" customHeight="1" x14ac:dyDescent="0.45">
      <c r="B37" s="49"/>
      <c r="C37" s="50"/>
      <c r="D37" s="50"/>
      <c r="J37" s="24" t="s">
        <v>1419</v>
      </c>
      <c r="L37" s="42"/>
    </row>
    <row r="38" spans="2:12" ht="20.149999999999999" customHeight="1" x14ac:dyDescent="0.45">
      <c r="B38" s="41" t="s">
        <v>27</v>
      </c>
      <c r="J38" s="24" t="s">
        <v>1420</v>
      </c>
      <c r="L38" s="42"/>
    </row>
    <row r="39" spans="2:12" ht="19" thickBot="1" x14ac:dyDescent="0.5">
      <c r="B39" s="52"/>
      <c r="C39" s="53"/>
      <c r="D39" s="53"/>
      <c r="E39" s="53"/>
      <c r="F39" s="53"/>
      <c r="G39" s="53"/>
      <c r="H39" s="53"/>
      <c r="I39" s="53"/>
      <c r="J39" s="53"/>
      <c r="K39" s="53"/>
      <c r="L39" s="54"/>
    </row>
  </sheetData>
  <mergeCells count="30">
    <mergeCell ref="D21:F21"/>
    <mergeCell ref="I21:J21"/>
    <mergeCell ref="J31:K31"/>
    <mergeCell ref="D24:F24"/>
    <mergeCell ref="I24:J24"/>
    <mergeCell ref="D25:F25"/>
    <mergeCell ref="I25:J25"/>
    <mergeCell ref="J27:K27"/>
    <mergeCell ref="J29:K29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505" right="0.31496062992126" top="0.59055118110236204" bottom="0" header="0.31496062992126" footer="0.31496062992126"/>
  <pageSetup paperSize="9" scale="75" orientation="portrait" horizontalDpi="300" verticalDpi="30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B8653B-B747-4563-97D9-B90CD410D655}">
  <sheetPr codeName="Sheet191">
    <tabColor rgb="FFFFC000"/>
    <pageSetUpPr fitToPage="1"/>
  </sheetPr>
  <dimension ref="B1:Q39"/>
  <sheetViews>
    <sheetView workbookViewId="0">
      <selection activeCell="K23" sqref="K23"/>
    </sheetView>
  </sheetViews>
  <sheetFormatPr defaultColWidth="12.54296875" defaultRowHeight="18.5" x14ac:dyDescent="0.45"/>
  <cols>
    <col min="1" max="1" width="12.54296875" style="24"/>
    <col min="2" max="2" width="15.54296875" style="24" customWidth="1"/>
    <col min="3" max="4" width="12.54296875" style="24" customWidth="1"/>
    <col min="5" max="5" width="1.54296875" style="24" customWidth="1"/>
    <col min="6" max="6" width="16.54296875" style="24" customWidth="1"/>
    <col min="7" max="7" width="8.54296875" style="24" customWidth="1"/>
    <col min="8" max="8" width="12.54296875" style="24" customWidth="1"/>
    <col min="9" max="9" width="2.54296875" style="24" customWidth="1"/>
    <col min="10" max="10" width="15.54296875" style="24" customWidth="1"/>
    <col min="11" max="11" width="12.54296875" style="24" customWidth="1"/>
    <col min="12" max="12" width="14.9062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191"/>
      <c r="C9" s="191"/>
      <c r="D9" s="191"/>
      <c r="E9" s="191"/>
      <c r="F9" s="191"/>
      <c r="G9" s="191"/>
      <c r="H9" s="191"/>
      <c r="I9" s="191"/>
      <c r="J9" s="191"/>
      <c r="K9" s="191"/>
      <c r="L9" s="191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2178</v>
      </c>
      <c r="J10" s="29" t="s">
        <v>29</v>
      </c>
      <c r="K10" s="452">
        <v>202206042</v>
      </c>
      <c r="L10" s="453"/>
    </row>
    <row r="11" spans="2:12" ht="20.149999999999999" customHeight="1" x14ac:dyDescent="0.45">
      <c r="B11" s="454" t="s">
        <v>743</v>
      </c>
      <c r="C11" s="455"/>
      <c r="D11" s="456"/>
      <c r="E11" s="30"/>
      <c r="F11" s="457" t="str">
        <f>VLOOKUP(H10,'Delivery Location'!A$4:N$416,2,0)</f>
        <v xml:space="preserve">TEL: 90087698                                                 6 Changi Business Park Avenue 1,                  #01-23 ESR BizPark @Changi                Singapore 486017                </v>
      </c>
      <c r="G11" s="458"/>
      <c r="H11" s="459"/>
      <c r="J11" s="31" t="s">
        <v>11</v>
      </c>
      <c r="K11" s="466">
        <v>44714</v>
      </c>
      <c r="L11" s="467"/>
    </row>
    <row r="12" spans="2:12" ht="20.149999999999999" customHeight="1" x14ac:dyDescent="0.45">
      <c r="B12" s="468"/>
      <c r="C12" s="469"/>
      <c r="D12" s="470"/>
      <c r="E12" s="30"/>
      <c r="F12" s="460"/>
      <c r="G12" s="461"/>
      <c r="H12" s="462"/>
      <c r="J12" s="31" t="s">
        <v>171</v>
      </c>
      <c r="K12" s="471" t="s">
        <v>533</v>
      </c>
      <c r="L12" s="472"/>
    </row>
    <row r="13" spans="2:12" ht="20.149999999999999" customHeight="1" x14ac:dyDescent="0.45">
      <c r="B13" s="468"/>
      <c r="C13" s="469"/>
      <c r="D13" s="470"/>
      <c r="E13" s="30"/>
      <c r="F13" s="460"/>
      <c r="G13" s="461"/>
      <c r="H13" s="462"/>
      <c r="J13" s="31" t="s">
        <v>12</v>
      </c>
      <c r="K13" s="471" t="s">
        <v>688</v>
      </c>
      <c r="L13" s="472"/>
    </row>
    <row r="14" spans="2:12" ht="20.149999999999999" customHeight="1" x14ac:dyDescent="0.45">
      <c r="B14" s="468"/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552"/>
      <c r="C15" s="474"/>
      <c r="D15" s="475"/>
      <c r="E15" s="26"/>
      <c r="F15" s="463"/>
      <c r="G15" s="464"/>
      <c r="H15" s="465"/>
      <c r="J15" s="32" t="s">
        <v>1405</v>
      </c>
      <c r="K15" s="476" t="s">
        <v>36</v>
      </c>
      <c r="L15" s="477"/>
    </row>
    <row r="16" spans="2:12" ht="19" thickBot="1" x14ac:dyDescent="0.5">
      <c r="J16" s="22"/>
    </row>
    <row r="17" spans="2:17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8" t="s">
        <v>622</v>
      </c>
      <c r="I17" s="478" t="s">
        <v>621</v>
      </c>
      <c r="J17" s="479"/>
      <c r="K17" s="9" t="s">
        <v>6</v>
      </c>
      <c r="L17" s="10" t="s">
        <v>7</v>
      </c>
      <c r="N17" s="383" t="s">
        <v>2138</v>
      </c>
      <c r="O17" s="383" t="s">
        <v>2141</v>
      </c>
      <c r="P17" s="383" t="s">
        <v>2142</v>
      </c>
    </row>
    <row r="18" spans="2:17" ht="20.149999999999999" customHeight="1" x14ac:dyDescent="0.45">
      <c r="B18" s="34"/>
      <c r="C18" s="22" t="s">
        <v>1892</v>
      </c>
      <c r="D18" s="508" t="str">
        <f>VLOOKUP(C18,'Sales Master'!B$3:D$499,2,)</f>
        <v>Original Konjac Ball</v>
      </c>
      <c r="E18" s="508"/>
      <c r="F18" s="508"/>
      <c r="G18" s="22">
        <v>24</v>
      </c>
      <c r="H18" s="438" t="str">
        <f>VLOOKUP(C18,'Sales Master'!$B$3:$E$590,4,0)</f>
        <v>-</v>
      </c>
      <c r="I18" s="512" t="str">
        <f>VLOOKUP(C18,'Sales Master'!$B$3:F$590,5,0)</f>
        <v>1 kg</v>
      </c>
      <c r="J18" s="512"/>
      <c r="K18" s="94">
        <f>VLOOKUP(C18,'Sales Master'!$B$3:$T$3039,19,0)</f>
        <v>7</v>
      </c>
      <c r="L18" s="77">
        <f>K18*G18</f>
        <v>168</v>
      </c>
      <c r="N18" s="225">
        <f>VLOOKUP(C18,'Sales Master'!$B$3:$DA$3038,104,0)</f>
        <v>5</v>
      </c>
      <c r="O18" s="225">
        <f>K18-N18</f>
        <v>2</v>
      </c>
      <c r="P18" s="225">
        <f>O18*G18</f>
        <v>48</v>
      </c>
      <c r="Q18" s="76"/>
    </row>
    <row r="19" spans="2:17" ht="20.149999999999999" customHeight="1" x14ac:dyDescent="0.45">
      <c r="B19" s="34"/>
      <c r="C19" s="22"/>
      <c r="D19" s="508"/>
      <c r="E19" s="508"/>
      <c r="F19" s="508"/>
      <c r="G19" s="22"/>
      <c r="H19" s="68"/>
      <c r="I19" s="481"/>
      <c r="J19" s="481"/>
      <c r="K19" s="94"/>
      <c r="L19" s="77"/>
      <c r="N19" s="225"/>
      <c r="O19" s="225"/>
      <c r="P19" s="225"/>
      <c r="Q19" s="76"/>
    </row>
    <row r="20" spans="2:17" ht="20.149999999999999" customHeight="1" x14ac:dyDescent="0.45">
      <c r="B20" s="34"/>
      <c r="C20" s="22"/>
      <c r="D20" s="508"/>
      <c r="E20" s="508"/>
      <c r="F20" s="508"/>
      <c r="G20" s="22"/>
      <c r="H20" s="68"/>
      <c r="I20" s="481"/>
      <c r="J20" s="481"/>
      <c r="K20" s="94"/>
      <c r="L20" s="77"/>
    </row>
    <row r="21" spans="2:17" ht="20.149999999999999" customHeight="1" x14ac:dyDescent="0.45">
      <c r="B21" s="34"/>
      <c r="C21" s="22"/>
      <c r="D21" s="508"/>
      <c r="E21" s="508"/>
      <c r="F21" s="508"/>
      <c r="G21" s="22"/>
      <c r="H21" s="68"/>
      <c r="I21" s="481"/>
      <c r="J21" s="481"/>
      <c r="K21" s="94"/>
      <c r="L21" s="77"/>
    </row>
    <row r="22" spans="2:17" ht="20.149999999999999" customHeight="1" x14ac:dyDescent="0.45">
      <c r="B22" s="34"/>
      <c r="C22" s="22"/>
      <c r="G22" s="22"/>
      <c r="H22" s="68"/>
      <c r="I22" s="68"/>
      <c r="J22" s="68"/>
      <c r="K22" s="94"/>
      <c r="L22" s="77"/>
    </row>
    <row r="23" spans="2:17" ht="20.149999999999999" customHeight="1" x14ac:dyDescent="0.45">
      <c r="B23" s="34"/>
      <c r="C23" s="22"/>
      <c r="G23" s="22"/>
      <c r="H23" s="68"/>
      <c r="I23" s="68"/>
      <c r="J23" s="68"/>
      <c r="K23" s="94"/>
      <c r="L23" s="77"/>
    </row>
    <row r="24" spans="2:17" ht="20.149999999999999" customHeight="1" x14ac:dyDescent="0.45">
      <c r="B24" s="34"/>
      <c r="C24" s="22"/>
      <c r="D24" s="508"/>
      <c r="E24" s="508"/>
      <c r="F24" s="508"/>
      <c r="G24" s="22"/>
      <c r="H24" s="68"/>
      <c r="I24" s="481"/>
      <c r="J24" s="481"/>
      <c r="K24" s="94"/>
      <c r="L24" s="77"/>
    </row>
    <row r="25" spans="2:17" ht="20.149999999999999" customHeight="1" thickBot="1" x14ac:dyDescent="0.5">
      <c r="B25" s="37"/>
      <c r="C25" s="38"/>
      <c r="D25" s="509"/>
      <c r="E25" s="509"/>
      <c r="F25" s="509"/>
      <c r="G25" s="38"/>
      <c r="H25" s="69"/>
      <c r="I25" s="451"/>
      <c r="J25" s="451"/>
      <c r="K25" s="39"/>
      <c r="L25" s="40"/>
    </row>
    <row r="26" spans="2:17" ht="20.149999999999999" customHeight="1" thickBot="1" x14ac:dyDescent="0.5">
      <c r="B26" s="41"/>
      <c r="L26" s="42"/>
    </row>
    <row r="27" spans="2:17" ht="20.149999999999999" customHeight="1" x14ac:dyDescent="0.45">
      <c r="B27" s="11" t="s">
        <v>18</v>
      </c>
      <c r="C27" s="7"/>
      <c r="D27" s="7"/>
      <c r="E27" s="7"/>
      <c r="F27" s="7"/>
      <c r="G27" s="7"/>
      <c r="H27" s="7"/>
      <c r="I27" s="7"/>
      <c r="J27" s="510" t="s">
        <v>15</v>
      </c>
      <c r="K27" s="511"/>
      <c r="L27" s="43">
        <f>SUM(L17:L26)</f>
        <v>168</v>
      </c>
      <c r="M27" s="76">
        <f>SUM(P18:P24)</f>
        <v>48</v>
      </c>
      <c r="N27" s="201">
        <f>M27/L27</f>
        <v>0.2857142857142857</v>
      </c>
    </row>
    <row r="28" spans="2:17" ht="20.149999999999999" customHeight="1" x14ac:dyDescent="0.45">
      <c r="B28" s="11" t="s">
        <v>19</v>
      </c>
      <c r="C28" s="7"/>
      <c r="D28" s="7"/>
      <c r="E28" s="7"/>
      <c r="F28" s="7"/>
      <c r="G28" s="7"/>
      <c r="H28" s="7"/>
      <c r="I28" s="7"/>
      <c r="J28" s="44" t="s">
        <v>22</v>
      </c>
      <c r="K28" s="45"/>
      <c r="L28" s="46">
        <f>L27*K28</f>
        <v>0</v>
      </c>
    </row>
    <row r="29" spans="2:17" ht="20.149999999999999" customHeight="1" x14ac:dyDescent="0.45">
      <c r="B29" s="11" t="s">
        <v>20</v>
      </c>
      <c r="C29" s="7"/>
      <c r="D29" s="7"/>
      <c r="E29" s="7"/>
      <c r="F29" s="7"/>
      <c r="G29" s="7"/>
      <c r="H29" s="7"/>
      <c r="I29" s="7"/>
      <c r="J29" s="486" t="s">
        <v>21</v>
      </c>
      <c r="K29" s="487"/>
      <c r="L29" s="46">
        <f>L27-L28</f>
        <v>168</v>
      </c>
    </row>
    <row r="30" spans="2:17" ht="20.149999999999999" customHeight="1" x14ac:dyDescent="0.45">
      <c r="B30" s="11" t="s">
        <v>24</v>
      </c>
      <c r="C30" s="7"/>
      <c r="D30" s="7"/>
      <c r="E30" s="7"/>
      <c r="F30" s="7"/>
      <c r="G30" s="7"/>
      <c r="H30" s="7"/>
      <c r="I30" s="7"/>
      <c r="J30" s="150" t="s">
        <v>17</v>
      </c>
      <c r="K30" s="151">
        <v>7.0000000000000007E-2</v>
      </c>
      <c r="L30" s="47">
        <f>L29*K30</f>
        <v>11.760000000000002</v>
      </c>
    </row>
    <row r="31" spans="2:17" ht="20.149999999999999" customHeight="1" thickBot="1" x14ac:dyDescent="0.5">
      <c r="B31" s="11" t="s">
        <v>1400</v>
      </c>
      <c r="C31" s="7"/>
      <c r="D31" s="7"/>
      <c r="E31" s="7"/>
      <c r="F31" s="7"/>
      <c r="G31" s="7"/>
      <c r="H31" s="7"/>
      <c r="I31" s="7"/>
      <c r="J31" s="488" t="s">
        <v>23</v>
      </c>
      <c r="K31" s="489"/>
      <c r="L31" s="48">
        <f>L29+L30</f>
        <v>179.76</v>
      </c>
    </row>
    <row r="32" spans="2:17" ht="20.149999999999999" customHeight="1" x14ac:dyDescent="0.45">
      <c r="B32" s="11" t="s">
        <v>26</v>
      </c>
      <c r="C32" s="7"/>
      <c r="D32" s="7"/>
      <c r="E32" s="7"/>
      <c r="F32" s="7"/>
      <c r="G32" s="7"/>
      <c r="H32" s="7"/>
      <c r="I32" s="7"/>
      <c r="L32" s="42" t="s">
        <v>720</v>
      </c>
    </row>
    <row r="33" spans="2:12" ht="20.149999999999999" customHeight="1" x14ac:dyDescent="0.45">
      <c r="B33" s="224" t="s">
        <v>1379</v>
      </c>
      <c r="L33" s="42"/>
    </row>
    <row r="34" spans="2:12" ht="20.149999999999999" customHeight="1" x14ac:dyDescent="0.45">
      <c r="B34" s="41"/>
      <c r="L34" s="42"/>
    </row>
    <row r="35" spans="2:12" ht="20.149999999999999" customHeight="1" x14ac:dyDescent="0.45">
      <c r="B35" s="41"/>
      <c r="J35" s="50"/>
      <c r="K35" s="50"/>
      <c r="L35" s="51"/>
    </row>
    <row r="36" spans="2:12" ht="20.149999999999999" customHeight="1" x14ac:dyDescent="0.45">
      <c r="B36" s="41"/>
      <c r="J36" s="24" t="s">
        <v>28</v>
      </c>
      <c r="L36" s="42"/>
    </row>
    <row r="37" spans="2:12" ht="20.149999999999999" customHeight="1" x14ac:dyDescent="0.45">
      <c r="B37" s="49"/>
      <c r="C37" s="50"/>
      <c r="D37" s="50"/>
      <c r="J37" s="24" t="s">
        <v>1419</v>
      </c>
      <c r="L37" s="42"/>
    </row>
    <row r="38" spans="2:12" ht="20.149999999999999" customHeight="1" x14ac:dyDescent="0.45">
      <c r="B38" s="41" t="s">
        <v>27</v>
      </c>
      <c r="J38" s="24" t="s">
        <v>1420</v>
      </c>
      <c r="L38" s="42"/>
    </row>
    <row r="39" spans="2:12" ht="19" thickBot="1" x14ac:dyDescent="0.5">
      <c r="B39" s="52"/>
      <c r="C39" s="53"/>
      <c r="D39" s="53"/>
      <c r="E39" s="53"/>
      <c r="F39" s="53"/>
      <c r="G39" s="53"/>
      <c r="H39" s="53"/>
      <c r="I39" s="53"/>
      <c r="J39" s="53"/>
      <c r="K39" s="53"/>
      <c r="L39" s="54"/>
    </row>
  </sheetData>
  <mergeCells count="30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J31:K31"/>
    <mergeCell ref="D24:F24"/>
    <mergeCell ref="I24:J24"/>
    <mergeCell ref="D25:F25"/>
    <mergeCell ref="I25:J25"/>
    <mergeCell ref="J27:K27"/>
    <mergeCell ref="J29:K29"/>
  </mergeCells>
  <pageMargins left="0.70866141732283505" right="0.31496062992126" top="0.59055118110236204" bottom="0" header="0.31496062992126" footer="0.31496062992126"/>
  <pageSetup paperSize="9" scale="75" orientation="portrait" horizontalDpi="300" verticalDpi="30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DE8DBD-84BA-4B8D-A6BF-5E4D5986340F}">
  <sheetPr codeName="Sheet192">
    <tabColor rgb="FF996600"/>
    <pageSetUpPr fitToPage="1"/>
  </sheetPr>
  <dimension ref="B1:V44"/>
  <sheetViews>
    <sheetView topLeftCell="A8" workbookViewId="0">
      <selection activeCell="I18" sqref="I18:J18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9" style="24" customWidth="1"/>
    <col min="7" max="7" width="8.54296875" style="24" customWidth="1"/>
    <col min="8" max="8" width="15.54296875" style="24" customWidth="1"/>
    <col min="9" max="9" width="2" style="24" customWidth="1"/>
    <col min="10" max="10" width="15.54296875" style="24" customWidth="1"/>
    <col min="11" max="11" width="10.54296875" style="24" customWidth="1"/>
    <col min="12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2059</v>
      </c>
      <c r="J10" s="29" t="s">
        <v>29</v>
      </c>
      <c r="K10" s="452">
        <v>202204411</v>
      </c>
      <c r="L10" s="453"/>
    </row>
    <row r="11" spans="2:12" ht="20.149999999999999" customHeight="1" x14ac:dyDescent="0.45">
      <c r="B11" s="454" t="s">
        <v>2050</v>
      </c>
      <c r="C11" s="455"/>
      <c r="D11" s="456"/>
      <c r="E11" s="30"/>
      <c r="F11" s="457" t="str">
        <f>VLOOKUP(H10,'Delivery Location'!A$4:N$416,2,0)</f>
        <v xml:space="preserve">FOOD REPUBLIC PTE LTD                                  Causeway Point @Juice Bar, Woodlands Square #04-01 Causeway Point Singapore 738099                                                        </v>
      </c>
      <c r="G11" s="458"/>
      <c r="H11" s="459"/>
      <c r="J11" s="31" t="s">
        <v>11</v>
      </c>
      <c r="K11" s="551" t="s">
        <v>2202</v>
      </c>
      <c r="L11" s="472"/>
    </row>
    <row r="12" spans="2:12" ht="20.149999999999999" customHeight="1" x14ac:dyDescent="0.45">
      <c r="B12" s="468" t="s">
        <v>2051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533</v>
      </c>
      <c r="L12" s="472"/>
    </row>
    <row r="13" spans="2:12" ht="20.149999999999999" customHeight="1" x14ac:dyDescent="0.45">
      <c r="B13" s="468" t="s">
        <v>2052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14</v>
      </c>
      <c r="L13" s="472"/>
    </row>
    <row r="14" spans="2:12" ht="20.149999999999999" customHeight="1" x14ac:dyDescent="0.45">
      <c r="B14" s="468" t="s">
        <v>2053</v>
      </c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463" t="s">
        <v>2026</v>
      </c>
      <c r="C15" s="464"/>
      <c r="D15" s="465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22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22" ht="20.149999999999999" customHeight="1" x14ac:dyDescent="0.45">
      <c r="B18" s="70"/>
      <c r="C18" s="22" t="s">
        <v>2176</v>
      </c>
      <c r="D18" s="508" t="str">
        <f>VLOOKUP(C18,'Sales Master'!B$3:D$499,2,)</f>
        <v>ROCK SUGAR SYRUP</v>
      </c>
      <c r="E18" s="508"/>
      <c r="F18" s="508"/>
      <c r="G18" s="90">
        <v>10</v>
      </c>
      <c r="H18" s="386" t="str">
        <f>VLOOKUP(C18,'Sales Master'!$B$3:$F$3179,5,0)</f>
        <v>4 KG</v>
      </c>
      <c r="I18" s="513" t="str">
        <f>VLOOKUP(C18,'Sales Master'!$B$3:$E$3179,4,0)</f>
        <v>DO!</v>
      </c>
      <c r="J18" s="513"/>
      <c r="K18" s="98">
        <f>VLOOKUP(C18,'Sales Master'!B$3:I$581,8,0)</f>
        <v>7.5</v>
      </c>
      <c r="L18" s="133">
        <f>K18*G18</f>
        <v>75</v>
      </c>
      <c r="N18" s="225">
        <f>VLOOKUP(C18,'Sales Master'!$B$3:$DA$3038,104,0)</f>
        <v>4.9000000000000004</v>
      </c>
      <c r="O18" s="225">
        <f>K18-N18</f>
        <v>2.5999999999999996</v>
      </c>
      <c r="P18" s="225">
        <f>O18*G18</f>
        <v>25.999999999999996</v>
      </c>
      <c r="Q18" s="354"/>
      <c r="R18" s="125"/>
      <c r="S18" s="125" t="s">
        <v>260</v>
      </c>
      <c r="T18" s="125" t="s">
        <v>709</v>
      </c>
      <c r="U18" s="125"/>
      <c r="V18" s="125">
        <v>32</v>
      </c>
    </row>
    <row r="19" spans="2:22" ht="20.149999999999999" customHeight="1" x14ac:dyDescent="0.45">
      <c r="B19" s="70"/>
      <c r="C19" s="22"/>
      <c r="D19" s="508"/>
      <c r="E19" s="508"/>
      <c r="F19" s="508"/>
      <c r="G19" s="90"/>
      <c r="H19" s="97"/>
      <c r="I19" s="506"/>
      <c r="J19" s="506"/>
      <c r="K19" s="98"/>
      <c r="L19" s="133"/>
      <c r="N19" s="225"/>
      <c r="O19" s="225"/>
      <c r="P19" s="225"/>
      <c r="Q19" s="354"/>
      <c r="R19" s="125"/>
      <c r="S19" s="125"/>
      <c r="T19" s="125"/>
      <c r="U19" s="125"/>
      <c r="V19" s="125"/>
    </row>
    <row r="20" spans="2:22" ht="20.149999999999999" customHeight="1" x14ac:dyDescent="0.45">
      <c r="B20" s="34"/>
      <c r="C20" s="22"/>
      <c r="D20" s="508"/>
      <c r="E20" s="508"/>
      <c r="F20" s="508"/>
      <c r="G20" s="90"/>
      <c r="H20" s="68"/>
      <c r="I20" s="481"/>
      <c r="J20" s="481"/>
      <c r="K20" s="35"/>
      <c r="L20" s="36"/>
    </row>
    <row r="21" spans="2:22" ht="20.149999999999999" customHeight="1" x14ac:dyDescent="0.45">
      <c r="B21" s="34"/>
      <c r="C21" s="22"/>
      <c r="D21" s="508"/>
      <c r="E21" s="508"/>
      <c r="F21" s="508"/>
      <c r="G21" s="90"/>
      <c r="H21" s="68"/>
      <c r="I21" s="481"/>
      <c r="J21" s="481"/>
      <c r="K21" s="35"/>
      <c r="L21" s="36"/>
    </row>
    <row r="22" spans="2:22" ht="20.149999999999999" customHeight="1" x14ac:dyDescent="0.45">
      <c r="B22" s="34"/>
      <c r="C22" s="22"/>
      <c r="D22" s="508"/>
      <c r="E22" s="508"/>
      <c r="F22" s="508"/>
      <c r="G22" s="90"/>
      <c r="H22" s="68"/>
      <c r="I22" s="481"/>
      <c r="J22" s="481"/>
      <c r="K22" s="35"/>
      <c r="L22" s="36"/>
    </row>
    <row r="23" spans="2:22" ht="20.149999999999999" customHeight="1" x14ac:dyDescent="0.45">
      <c r="B23" s="34"/>
      <c r="C23" s="22"/>
      <c r="D23" s="508"/>
      <c r="E23" s="508"/>
      <c r="F23" s="508"/>
      <c r="G23" s="90"/>
      <c r="H23" s="68"/>
      <c r="I23" s="481"/>
      <c r="J23" s="481"/>
      <c r="K23" s="35"/>
      <c r="L23" s="36"/>
    </row>
    <row r="24" spans="2:22" ht="20.149999999999999" customHeight="1" x14ac:dyDescent="0.45">
      <c r="B24" s="34"/>
      <c r="C24" s="22"/>
      <c r="D24" s="508"/>
      <c r="E24" s="508"/>
      <c r="F24" s="508"/>
      <c r="G24" s="90"/>
      <c r="H24" s="68"/>
      <c r="I24" s="481"/>
      <c r="J24" s="481"/>
      <c r="K24" s="35"/>
      <c r="L24" s="36"/>
    </row>
    <row r="25" spans="2:22" ht="20.149999999999999" customHeight="1" x14ac:dyDescent="0.45">
      <c r="B25" s="34"/>
      <c r="C25" s="22"/>
      <c r="D25" s="508"/>
      <c r="E25" s="508"/>
      <c r="F25" s="508"/>
      <c r="G25" s="90"/>
      <c r="H25" s="68"/>
      <c r="I25" s="481"/>
      <c r="J25" s="481"/>
      <c r="K25" s="35"/>
      <c r="L25" s="36"/>
    </row>
    <row r="26" spans="2:22" ht="20.149999999999999" customHeight="1" x14ac:dyDescent="0.45">
      <c r="B26" s="34"/>
      <c r="C26" s="22"/>
      <c r="D26" s="508"/>
      <c r="E26" s="508"/>
      <c r="F26" s="508"/>
      <c r="G26" s="90"/>
      <c r="H26" s="68"/>
      <c r="I26" s="481"/>
      <c r="J26" s="481"/>
      <c r="K26" s="35"/>
      <c r="L26" s="36"/>
    </row>
    <row r="27" spans="2:22" ht="20.149999999999999" customHeight="1" x14ac:dyDescent="0.45">
      <c r="B27" s="34"/>
      <c r="C27" s="22"/>
      <c r="D27" s="508"/>
      <c r="E27" s="508"/>
      <c r="F27" s="508"/>
      <c r="G27" s="90"/>
      <c r="H27" s="68"/>
      <c r="I27" s="481"/>
      <c r="J27" s="481"/>
      <c r="K27" s="35"/>
      <c r="L27" s="36"/>
    </row>
    <row r="28" spans="2:22" ht="20.149999999999999" customHeight="1" x14ac:dyDescent="0.45">
      <c r="B28" s="34"/>
      <c r="C28" s="22"/>
      <c r="D28" s="508"/>
      <c r="E28" s="508"/>
      <c r="F28" s="508"/>
      <c r="G28" s="90"/>
      <c r="H28" s="68"/>
      <c r="I28" s="481"/>
      <c r="J28" s="481"/>
      <c r="K28" s="35"/>
      <c r="L28" s="36"/>
    </row>
    <row r="29" spans="2:22" ht="20.149999999999999" customHeight="1" x14ac:dyDescent="0.45">
      <c r="B29" s="34"/>
      <c r="C29" s="22"/>
      <c r="G29" s="90"/>
      <c r="H29" s="68"/>
      <c r="I29" s="68"/>
      <c r="J29" s="68"/>
      <c r="K29" s="35"/>
      <c r="L29" s="36"/>
    </row>
    <row r="30" spans="2:22" ht="20.149999999999999" customHeight="1" x14ac:dyDescent="0.45">
      <c r="B30" s="155"/>
      <c r="C30" s="156"/>
      <c r="D30" s="556"/>
      <c r="E30" s="556"/>
      <c r="F30" s="556"/>
      <c r="G30" s="156"/>
      <c r="H30" s="156"/>
      <c r="I30" s="189"/>
      <c r="J30" s="189"/>
      <c r="K30" s="163"/>
      <c r="L30" s="190"/>
    </row>
    <row r="31" spans="2:22" ht="20.149999999999999" customHeight="1" thickBot="1" x14ac:dyDescent="0.5">
      <c r="B31" s="41"/>
      <c r="L31" s="42"/>
    </row>
    <row r="32" spans="2:22" ht="20.149999999999999" customHeight="1" x14ac:dyDescent="0.45">
      <c r="B32" s="11" t="s">
        <v>18</v>
      </c>
      <c r="C32" s="7"/>
      <c r="D32" s="7"/>
      <c r="E32" s="7"/>
      <c r="F32" s="7"/>
      <c r="G32" s="7"/>
      <c r="H32" s="7"/>
      <c r="I32" s="7"/>
      <c r="J32" s="510" t="s">
        <v>15</v>
      </c>
      <c r="K32" s="511"/>
      <c r="L32" s="43">
        <f>SUM(L18:L31)</f>
        <v>75</v>
      </c>
      <c r="M32" s="76">
        <f>SUM(P18:P29)</f>
        <v>25.999999999999996</v>
      </c>
      <c r="N32" s="201">
        <f>M32/L32</f>
        <v>0.34666666666666662</v>
      </c>
    </row>
    <row r="33" spans="2:12" ht="20.149999999999999" customHeight="1" x14ac:dyDescent="0.45">
      <c r="B33" s="11" t="s">
        <v>19</v>
      </c>
      <c r="C33" s="7"/>
      <c r="D33" s="7"/>
      <c r="E33" s="7"/>
      <c r="F33" s="7"/>
      <c r="G33" s="7"/>
      <c r="H33" s="7"/>
      <c r="I33" s="7"/>
      <c r="J33" s="44" t="s">
        <v>22</v>
      </c>
      <c r="K33" s="45"/>
      <c r="L33" s="46">
        <f>L32*K33</f>
        <v>0</v>
      </c>
    </row>
    <row r="34" spans="2:12" ht="20.149999999999999" customHeight="1" x14ac:dyDescent="0.45">
      <c r="B34" s="11" t="s">
        <v>20</v>
      </c>
      <c r="C34" s="7"/>
      <c r="D34" s="7"/>
      <c r="E34" s="7"/>
      <c r="F34" s="7"/>
      <c r="G34" s="7"/>
      <c r="H34" s="7"/>
      <c r="I34" s="7"/>
      <c r="J34" s="486" t="s">
        <v>21</v>
      </c>
      <c r="K34" s="487"/>
      <c r="L34" s="46">
        <f>L32-L33</f>
        <v>75</v>
      </c>
    </row>
    <row r="35" spans="2:12" ht="20.149999999999999" customHeight="1" x14ac:dyDescent="0.45">
      <c r="B35" s="11" t="s">
        <v>24</v>
      </c>
      <c r="C35" s="7"/>
      <c r="D35" s="7"/>
      <c r="E35" s="7"/>
      <c r="F35" s="7"/>
      <c r="G35" s="7"/>
      <c r="H35" s="7"/>
      <c r="I35" s="7"/>
      <c r="J35" s="150" t="s">
        <v>17</v>
      </c>
      <c r="K35" s="151">
        <v>7.0000000000000007E-2</v>
      </c>
      <c r="L35" s="47">
        <f>L34*K35</f>
        <v>5.2500000000000009</v>
      </c>
    </row>
    <row r="36" spans="2:12" ht="20.149999999999999" customHeight="1" thickBot="1" x14ac:dyDescent="0.5">
      <c r="B36" s="11" t="s">
        <v>1400</v>
      </c>
      <c r="C36" s="7"/>
      <c r="D36" s="7"/>
      <c r="E36" s="7"/>
      <c r="F36" s="7"/>
      <c r="G36" s="7"/>
      <c r="H36" s="7"/>
      <c r="I36" s="7"/>
      <c r="J36" s="488" t="s">
        <v>23</v>
      </c>
      <c r="K36" s="489"/>
      <c r="L36" s="48">
        <f>L34+L35</f>
        <v>80.25</v>
      </c>
    </row>
    <row r="37" spans="2:12" ht="20.149999999999999" customHeight="1" x14ac:dyDescent="0.45">
      <c r="B37" s="11" t="s">
        <v>26</v>
      </c>
      <c r="C37" s="7"/>
      <c r="D37" s="7"/>
      <c r="E37" s="7"/>
      <c r="F37" s="7"/>
      <c r="G37" s="7"/>
      <c r="H37" s="7"/>
      <c r="I37" s="7"/>
      <c r="L37" s="42"/>
    </row>
    <row r="38" spans="2:12" ht="20.149999999999999" customHeight="1" x14ac:dyDescent="0.45">
      <c r="B38" s="224" t="s">
        <v>1379</v>
      </c>
      <c r="L38" s="42"/>
    </row>
    <row r="39" spans="2:12" ht="20.149999999999999" customHeight="1" x14ac:dyDescent="0.45">
      <c r="B39" s="41"/>
      <c r="L39" s="42"/>
    </row>
    <row r="40" spans="2:12" ht="20.149999999999999" customHeight="1" x14ac:dyDescent="0.45">
      <c r="B40" s="41"/>
      <c r="L40" s="42"/>
    </row>
    <row r="41" spans="2:12" ht="20.149999999999999" customHeight="1" x14ac:dyDescent="0.45">
      <c r="B41" s="41"/>
      <c r="L41" s="42"/>
    </row>
    <row r="42" spans="2:12" ht="20.149999999999999" customHeight="1" x14ac:dyDescent="0.45">
      <c r="B42" s="49"/>
      <c r="C42" s="50"/>
      <c r="D42" s="50"/>
      <c r="J42" s="50"/>
      <c r="K42" s="50"/>
      <c r="L42" s="51"/>
    </row>
    <row r="43" spans="2:12" ht="20.149999999999999" customHeight="1" x14ac:dyDescent="0.45">
      <c r="B43" s="41" t="s">
        <v>27</v>
      </c>
      <c r="J43" s="24" t="s">
        <v>28</v>
      </c>
      <c r="L43" s="42"/>
    </row>
    <row r="44" spans="2:12" ht="19" thickBot="1" x14ac:dyDescent="0.5">
      <c r="B44" s="52"/>
      <c r="C44" s="53"/>
      <c r="D44" s="53"/>
      <c r="E44" s="53"/>
      <c r="F44" s="53"/>
      <c r="G44" s="53"/>
      <c r="H44" s="53"/>
      <c r="I44" s="53"/>
      <c r="J44" s="53"/>
      <c r="K44" s="53"/>
      <c r="L44" s="54"/>
    </row>
  </sheetData>
  <mergeCells count="41">
    <mergeCell ref="D24:F24"/>
    <mergeCell ref="I24:J24"/>
    <mergeCell ref="J36:K36"/>
    <mergeCell ref="D25:F25"/>
    <mergeCell ref="I25:J25"/>
    <mergeCell ref="D26:F26"/>
    <mergeCell ref="I26:J26"/>
    <mergeCell ref="D27:F27"/>
    <mergeCell ref="I27:J27"/>
    <mergeCell ref="D28:F28"/>
    <mergeCell ref="I28:J28"/>
    <mergeCell ref="D30:F30"/>
    <mergeCell ref="J32:K32"/>
    <mergeCell ref="J34:K34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20">
    <cfRule type="duplicateValues" dxfId="129" priority="5"/>
  </conditionalFormatting>
  <conditionalFormatting sqref="C21">
    <cfRule type="duplicateValues" dxfId="128" priority="6"/>
  </conditionalFormatting>
  <conditionalFormatting sqref="C22">
    <cfRule type="duplicateValues" dxfId="127" priority="4"/>
  </conditionalFormatting>
  <conditionalFormatting sqref="C25">
    <cfRule type="duplicateValues" dxfId="126" priority="7"/>
  </conditionalFormatting>
  <conditionalFormatting sqref="C23">
    <cfRule type="duplicateValues" dxfId="125" priority="3"/>
  </conditionalFormatting>
  <conditionalFormatting sqref="C18">
    <cfRule type="duplicateValues" dxfId="124" priority="1"/>
  </conditionalFormatting>
  <conditionalFormatting sqref="C19">
    <cfRule type="duplicateValues" dxfId="123" priority="2"/>
  </conditionalFormatting>
  <pageMargins left="0.70866141732283505" right="0.31496062992126" top="0.59055118110236204" bottom="0" header="0.31496062992126" footer="0.31496062992126"/>
  <pageSetup paperSize="9" scale="76" orientation="portrait" horizontalDpi="300" verticalDpi="30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96B09A-6CD2-4CCF-89A1-76CD08C5B23D}">
  <sheetPr codeName="Sheet18">
    <tabColor rgb="FF996600"/>
    <pageSetUpPr fitToPage="1"/>
  </sheetPr>
  <dimension ref="B1:V44"/>
  <sheetViews>
    <sheetView topLeftCell="C7" workbookViewId="0">
      <selection activeCell="I18" sqref="I18:J18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9" style="24" customWidth="1"/>
    <col min="7" max="7" width="8.54296875" style="24" customWidth="1"/>
    <col min="8" max="8" width="15.54296875" style="24" customWidth="1"/>
    <col min="9" max="9" width="2" style="24" customWidth="1"/>
    <col min="10" max="10" width="15.54296875" style="24" customWidth="1"/>
    <col min="11" max="11" width="10.54296875" style="24" customWidth="1"/>
    <col min="12" max="12" width="12.54296875" style="24" customWidth="1"/>
    <col min="13" max="17" width="12.54296875" style="380"/>
    <col min="18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2057</v>
      </c>
      <c r="J10" s="29" t="s">
        <v>29</v>
      </c>
      <c r="K10" s="452">
        <v>202203463</v>
      </c>
      <c r="L10" s="453"/>
    </row>
    <row r="11" spans="2:12" ht="20.149999999999999" customHeight="1" x14ac:dyDescent="0.45">
      <c r="B11" s="454" t="s">
        <v>2050</v>
      </c>
      <c r="C11" s="455"/>
      <c r="D11" s="456"/>
      <c r="E11" s="30"/>
      <c r="F11" s="457" t="str">
        <f>VLOOKUP(H10,'Delivery Location'!A$4:N$416,2,0)</f>
        <v xml:space="preserve">FOOD REPUBLIC PTE LTD                        Wisma Atria Orchard@Juice Bar  .          435 Orchard Road #04-02    Wisma Atria Singapore 238877                           </v>
      </c>
      <c r="G11" s="458"/>
      <c r="H11" s="459"/>
      <c r="J11" s="31" t="s">
        <v>11</v>
      </c>
      <c r="K11" s="551" t="s">
        <v>2208</v>
      </c>
      <c r="L11" s="472"/>
    </row>
    <row r="12" spans="2:12" ht="20.149999999999999" customHeight="1" x14ac:dyDescent="0.45">
      <c r="B12" s="468" t="s">
        <v>2051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533</v>
      </c>
      <c r="L12" s="472"/>
    </row>
    <row r="13" spans="2:12" ht="20.149999999999999" customHeight="1" x14ac:dyDescent="0.45">
      <c r="B13" s="468" t="s">
        <v>2052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14</v>
      </c>
      <c r="L13" s="472"/>
    </row>
    <row r="14" spans="2:12" ht="20.149999999999999" customHeight="1" x14ac:dyDescent="0.45">
      <c r="B14" s="468" t="s">
        <v>2053</v>
      </c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463" t="s">
        <v>2026</v>
      </c>
      <c r="C15" s="464"/>
      <c r="D15" s="465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22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81"/>
      <c r="N17" s="383" t="s">
        <v>2138</v>
      </c>
      <c r="O17" s="383" t="s">
        <v>2141</v>
      </c>
      <c r="P17" s="383" t="s">
        <v>2142</v>
      </c>
    </row>
    <row r="18" spans="2:22" ht="20.149999999999999" customHeight="1" x14ac:dyDescent="0.45">
      <c r="B18" s="70"/>
      <c r="C18" s="22" t="s">
        <v>2176</v>
      </c>
      <c r="D18" s="508" t="str">
        <f>VLOOKUP(C18,'Sales Master'!B$3:D$499,2,)</f>
        <v>ROCK SUGAR SYRUP</v>
      </c>
      <c r="E18" s="508"/>
      <c r="F18" s="508"/>
      <c r="G18" s="90">
        <v>10</v>
      </c>
      <c r="H18" s="386" t="str">
        <f>VLOOKUP(C18,'Sales Master'!$B$3:$F$3179,5,0)</f>
        <v>4 KG</v>
      </c>
      <c r="I18" s="513" t="str">
        <f>VLOOKUP(C18,'Sales Master'!$B$3:$E$3179,4,0)</f>
        <v>DO!</v>
      </c>
      <c r="J18" s="513"/>
      <c r="K18" s="98">
        <f>VLOOKUP(C18,'Sales Master'!B$3:I$581,8,0)</f>
        <v>7.5</v>
      </c>
      <c r="L18" s="133">
        <f>K18*G18</f>
        <v>75</v>
      </c>
      <c r="N18" s="225">
        <f>VLOOKUP(C18,'Sales Master'!$B$3:$DA$3038,104,0)</f>
        <v>4.9000000000000004</v>
      </c>
      <c r="O18" s="225">
        <f>K18-N18</f>
        <v>2.5999999999999996</v>
      </c>
      <c r="P18" s="225">
        <f>O18*G18</f>
        <v>25.999999999999996</v>
      </c>
      <c r="Q18" s="382"/>
      <c r="R18" s="125">
        <v>1</v>
      </c>
      <c r="S18" s="125" t="s">
        <v>260</v>
      </c>
      <c r="T18" s="125" t="s">
        <v>709</v>
      </c>
      <c r="U18" s="125"/>
      <c r="V18" s="125">
        <v>32</v>
      </c>
    </row>
    <row r="19" spans="2:22" ht="20.149999999999999" customHeight="1" x14ac:dyDescent="0.45">
      <c r="B19" s="70"/>
      <c r="C19" s="22"/>
      <c r="D19" s="508"/>
      <c r="E19" s="508"/>
      <c r="F19" s="508"/>
      <c r="G19" s="90"/>
      <c r="H19" s="97"/>
      <c r="I19" s="506"/>
      <c r="J19" s="506"/>
      <c r="K19" s="98"/>
      <c r="L19" s="133"/>
      <c r="N19" s="225"/>
      <c r="O19" s="225"/>
      <c r="P19" s="225"/>
      <c r="Q19" s="382"/>
      <c r="R19" s="125"/>
      <c r="S19" s="125"/>
      <c r="T19" s="125"/>
      <c r="U19" s="125"/>
      <c r="V19" s="125"/>
    </row>
    <row r="20" spans="2:22" ht="20.149999999999999" customHeight="1" x14ac:dyDescent="0.45">
      <c r="B20" s="34"/>
      <c r="C20" s="22"/>
      <c r="D20" s="508"/>
      <c r="E20" s="508"/>
      <c r="F20" s="508"/>
      <c r="G20" s="90"/>
      <c r="H20" s="97"/>
      <c r="I20" s="506"/>
      <c r="J20" s="506"/>
      <c r="K20" s="98"/>
      <c r="L20" s="133"/>
    </row>
    <row r="21" spans="2:22" ht="20.149999999999999" customHeight="1" x14ac:dyDescent="0.45">
      <c r="B21" s="34"/>
      <c r="C21" s="22"/>
      <c r="D21" s="508"/>
      <c r="E21" s="508"/>
      <c r="F21" s="508"/>
      <c r="G21" s="90"/>
      <c r="H21" s="68"/>
      <c r="I21" s="481"/>
      <c r="J21" s="481"/>
      <c r="K21" s="35"/>
      <c r="L21" s="36"/>
    </row>
    <row r="22" spans="2:22" ht="20.149999999999999" customHeight="1" x14ac:dyDescent="0.45">
      <c r="B22" s="34"/>
      <c r="C22" s="22"/>
      <c r="D22" s="508"/>
      <c r="E22" s="508"/>
      <c r="F22" s="508"/>
      <c r="G22" s="90"/>
      <c r="H22" s="68"/>
      <c r="I22" s="481"/>
      <c r="J22" s="481"/>
      <c r="K22" s="35"/>
      <c r="L22" s="36"/>
    </row>
    <row r="23" spans="2:22" ht="20.149999999999999" customHeight="1" x14ac:dyDescent="0.45">
      <c r="B23" s="34"/>
      <c r="C23" s="22"/>
      <c r="D23" s="508"/>
      <c r="E23" s="508"/>
      <c r="F23" s="508"/>
      <c r="G23" s="90"/>
      <c r="H23" s="68"/>
      <c r="I23" s="481"/>
      <c r="J23" s="481"/>
      <c r="K23" s="35"/>
      <c r="L23" s="36"/>
    </row>
    <row r="24" spans="2:22" ht="20.149999999999999" customHeight="1" x14ac:dyDescent="0.45">
      <c r="B24" s="34"/>
      <c r="C24" s="22"/>
      <c r="D24" s="508"/>
      <c r="E24" s="508"/>
      <c r="F24" s="508"/>
      <c r="G24" s="90"/>
      <c r="H24" s="68"/>
      <c r="I24" s="481"/>
      <c r="J24" s="481"/>
      <c r="K24" s="35"/>
      <c r="L24" s="36"/>
    </row>
    <row r="25" spans="2:22" ht="20.149999999999999" customHeight="1" x14ac:dyDescent="0.45">
      <c r="B25" s="34"/>
      <c r="C25" s="22"/>
      <c r="D25" s="508"/>
      <c r="E25" s="508"/>
      <c r="F25" s="508"/>
      <c r="G25" s="90"/>
      <c r="H25" s="68"/>
      <c r="I25" s="481"/>
      <c r="J25" s="481"/>
      <c r="K25" s="35"/>
      <c r="L25" s="36"/>
    </row>
    <row r="26" spans="2:22" ht="20.149999999999999" customHeight="1" x14ac:dyDescent="0.45">
      <c r="B26" s="34"/>
      <c r="C26" s="22"/>
      <c r="D26" s="508"/>
      <c r="E26" s="508"/>
      <c r="F26" s="508"/>
      <c r="G26" s="90"/>
      <c r="H26" s="68"/>
      <c r="I26" s="481"/>
      <c r="J26" s="481"/>
      <c r="K26" s="35"/>
      <c r="L26" s="36"/>
    </row>
    <row r="27" spans="2:22" ht="20.149999999999999" customHeight="1" x14ac:dyDescent="0.45">
      <c r="B27" s="34"/>
      <c r="C27" s="22"/>
      <c r="D27" s="508"/>
      <c r="E27" s="508"/>
      <c r="F27" s="508"/>
      <c r="G27" s="90"/>
      <c r="H27" s="68"/>
      <c r="I27" s="481"/>
      <c r="J27" s="481"/>
      <c r="K27" s="35"/>
      <c r="L27" s="36"/>
    </row>
    <row r="28" spans="2:22" ht="20.149999999999999" customHeight="1" x14ac:dyDescent="0.45">
      <c r="B28" s="34"/>
      <c r="C28" s="22"/>
      <c r="D28" s="508"/>
      <c r="E28" s="508"/>
      <c r="F28" s="508"/>
      <c r="G28" s="90"/>
      <c r="H28" s="68"/>
      <c r="I28" s="481"/>
      <c r="J28" s="481"/>
      <c r="K28" s="35"/>
      <c r="L28" s="36"/>
    </row>
    <row r="29" spans="2:22" ht="20.149999999999999" customHeight="1" x14ac:dyDescent="0.45">
      <c r="B29" s="34"/>
      <c r="C29" s="22"/>
      <c r="G29" s="90"/>
      <c r="H29" s="68"/>
      <c r="I29" s="68"/>
      <c r="J29" s="68"/>
      <c r="K29" s="35"/>
      <c r="L29" s="36"/>
    </row>
    <row r="30" spans="2:22" ht="20.149999999999999" customHeight="1" x14ac:dyDescent="0.45">
      <c r="B30" s="155"/>
      <c r="C30" s="156"/>
      <c r="D30" s="556"/>
      <c r="E30" s="556"/>
      <c r="F30" s="556"/>
      <c r="G30" s="156"/>
      <c r="H30" s="156"/>
      <c r="I30" s="189"/>
      <c r="J30" s="189"/>
      <c r="K30" s="163"/>
      <c r="L30" s="190"/>
    </row>
    <row r="31" spans="2:22" ht="20.149999999999999" customHeight="1" thickBot="1" x14ac:dyDescent="0.5">
      <c r="B31" s="41"/>
      <c r="L31" s="42"/>
    </row>
    <row r="32" spans="2:22" ht="20.149999999999999" customHeight="1" x14ac:dyDescent="0.45">
      <c r="B32" s="11" t="s">
        <v>18</v>
      </c>
      <c r="C32" s="7"/>
      <c r="D32" s="7"/>
      <c r="E32" s="7"/>
      <c r="F32" s="7"/>
      <c r="G32" s="7"/>
      <c r="H32" s="7"/>
      <c r="I32" s="7"/>
      <c r="J32" s="510" t="s">
        <v>15</v>
      </c>
      <c r="K32" s="511"/>
      <c r="L32" s="43">
        <f>SUM(L18:L31)</f>
        <v>75</v>
      </c>
      <c r="M32" s="380">
        <f>SUM(P18:P30)</f>
        <v>25.999999999999996</v>
      </c>
      <c r="N32" s="201">
        <f>M32/L32</f>
        <v>0.34666666666666662</v>
      </c>
    </row>
    <row r="33" spans="2:12" ht="20.149999999999999" customHeight="1" x14ac:dyDescent="0.45">
      <c r="B33" s="11" t="s">
        <v>19</v>
      </c>
      <c r="C33" s="7"/>
      <c r="D33" s="7"/>
      <c r="E33" s="7"/>
      <c r="F33" s="7"/>
      <c r="G33" s="7"/>
      <c r="H33" s="7"/>
      <c r="I33" s="7"/>
      <c r="J33" s="44" t="s">
        <v>22</v>
      </c>
      <c r="K33" s="45"/>
      <c r="L33" s="46">
        <f>L32*K33</f>
        <v>0</v>
      </c>
    </row>
    <row r="34" spans="2:12" ht="20.149999999999999" customHeight="1" x14ac:dyDescent="0.45">
      <c r="B34" s="11" t="s">
        <v>20</v>
      </c>
      <c r="C34" s="7"/>
      <c r="D34" s="7"/>
      <c r="E34" s="7"/>
      <c r="F34" s="7"/>
      <c r="G34" s="7"/>
      <c r="H34" s="7"/>
      <c r="I34" s="7"/>
      <c r="J34" s="486" t="s">
        <v>21</v>
      </c>
      <c r="K34" s="487"/>
      <c r="L34" s="46">
        <f>L32-L33</f>
        <v>75</v>
      </c>
    </row>
    <row r="35" spans="2:12" ht="20.149999999999999" customHeight="1" x14ac:dyDescent="0.45">
      <c r="B35" s="11" t="s">
        <v>24</v>
      </c>
      <c r="C35" s="7"/>
      <c r="D35" s="7"/>
      <c r="E35" s="7"/>
      <c r="F35" s="7"/>
      <c r="G35" s="7"/>
      <c r="H35" s="7"/>
      <c r="I35" s="7"/>
      <c r="J35" s="150" t="s">
        <v>17</v>
      </c>
      <c r="K35" s="151">
        <v>7.0000000000000007E-2</v>
      </c>
      <c r="L35" s="47">
        <f>L34*K35</f>
        <v>5.2500000000000009</v>
      </c>
    </row>
    <row r="36" spans="2:12" ht="20.149999999999999" customHeight="1" thickBot="1" x14ac:dyDescent="0.5">
      <c r="B36" s="11" t="s">
        <v>1400</v>
      </c>
      <c r="C36" s="7"/>
      <c r="D36" s="7"/>
      <c r="E36" s="7"/>
      <c r="F36" s="7"/>
      <c r="G36" s="7"/>
      <c r="H36" s="7"/>
      <c r="I36" s="7"/>
      <c r="J36" s="488" t="s">
        <v>23</v>
      </c>
      <c r="K36" s="489"/>
      <c r="L36" s="48">
        <f>L34+L35</f>
        <v>80.25</v>
      </c>
    </row>
    <row r="37" spans="2:12" ht="20.149999999999999" customHeight="1" x14ac:dyDescent="0.45">
      <c r="B37" s="11" t="s">
        <v>26</v>
      </c>
      <c r="C37" s="7"/>
      <c r="D37" s="7"/>
      <c r="E37" s="7"/>
      <c r="F37" s="7"/>
      <c r="G37" s="7"/>
      <c r="H37" s="7"/>
      <c r="I37" s="7"/>
      <c r="L37" s="42"/>
    </row>
    <row r="38" spans="2:12" ht="20.149999999999999" customHeight="1" x14ac:dyDescent="0.45">
      <c r="B38" s="224" t="s">
        <v>1379</v>
      </c>
      <c r="L38" s="42"/>
    </row>
    <row r="39" spans="2:12" ht="20.149999999999999" customHeight="1" x14ac:dyDescent="0.45">
      <c r="B39" s="41"/>
      <c r="L39" s="42"/>
    </row>
    <row r="40" spans="2:12" ht="20.149999999999999" customHeight="1" x14ac:dyDescent="0.45">
      <c r="B40" s="41"/>
      <c r="L40" s="42"/>
    </row>
    <row r="41" spans="2:12" ht="20.149999999999999" customHeight="1" x14ac:dyDescent="0.45">
      <c r="B41" s="41"/>
      <c r="L41" s="42"/>
    </row>
    <row r="42" spans="2:12" ht="20.149999999999999" customHeight="1" x14ac:dyDescent="0.45">
      <c r="B42" s="49"/>
      <c r="C42" s="50"/>
      <c r="D42" s="50"/>
      <c r="J42" s="50"/>
      <c r="K42" s="50"/>
      <c r="L42" s="51"/>
    </row>
    <row r="43" spans="2:12" ht="20.149999999999999" customHeight="1" x14ac:dyDescent="0.45">
      <c r="B43" s="41" t="s">
        <v>27</v>
      </c>
      <c r="J43" s="24" t="s">
        <v>28</v>
      </c>
      <c r="L43" s="42"/>
    </row>
    <row r="44" spans="2:12" ht="19" thickBot="1" x14ac:dyDescent="0.5">
      <c r="B44" s="52"/>
      <c r="C44" s="53"/>
      <c r="D44" s="53"/>
      <c r="E44" s="53"/>
      <c r="F44" s="53"/>
      <c r="G44" s="53"/>
      <c r="H44" s="53"/>
      <c r="I44" s="53"/>
      <c r="J44" s="53"/>
      <c r="K44" s="53"/>
      <c r="L44" s="54"/>
    </row>
  </sheetData>
  <mergeCells count="41">
    <mergeCell ref="D24:F24"/>
    <mergeCell ref="I24:J24"/>
    <mergeCell ref="J36:K36"/>
    <mergeCell ref="D25:F25"/>
    <mergeCell ref="I25:J25"/>
    <mergeCell ref="D26:F26"/>
    <mergeCell ref="I26:J26"/>
    <mergeCell ref="D27:F27"/>
    <mergeCell ref="I27:J27"/>
    <mergeCell ref="D28:F28"/>
    <mergeCell ref="I28:J28"/>
    <mergeCell ref="D30:F30"/>
    <mergeCell ref="J32:K32"/>
    <mergeCell ref="J34:K34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">
    <cfRule type="duplicateValues" dxfId="122" priority="3"/>
  </conditionalFormatting>
  <conditionalFormatting sqref="C20">
    <cfRule type="duplicateValues" dxfId="121" priority="4"/>
  </conditionalFormatting>
  <conditionalFormatting sqref="C21">
    <cfRule type="duplicateValues" dxfId="120" priority="5"/>
  </conditionalFormatting>
  <conditionalFormatting sqref="C22">
    <cfRule type="duplicateValues" dxfId="119" priority="2"/>
  </conditionalFormatting>
  <conditionalFormatting sqref="C19">
    <cfRule type="duplicateValues" dxfId="118" priority="6"/>
  </conditionalFormatting>
  <conditionalFormatting sqref="C25">
    <cfRule type="duplicateValues" dxfId="117" priority="7"/>
  </conditionalFormatting>
  <conditionalFormatting sqref="C23">
    <cfRule type="duplicateValues" dxfId="116" priority="1"/>
  </conditionalFormatting>
  <pageMargins left="0.70866141732283505" right="0.31496062992126" top="0.59055118110236204" bottom="0" header="0.31496062992126" footer="0.31496062992126"/>
  <pageSetup paperSize="9" scale="76" orientation="portrait" horizontalDpi="300" verticalDpi="30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6BADF-D803-443C-B793-1689B86F61BA}">
  <sheetPr codeName="Sheet29">
    <tabColor rgb="FF996600"/>
    <pageSetUpPr fitToPage="1"/>
  </sheetPr>
  <dimension ref="B1:V44"/>
  <sheetViews>
    <sheetView topLeftCell="A10" workbookViewId="0">
      <selection activeCell="I18" sqref="I18:J18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9" style="24" customWidth="1"/>
    <col min="7" max="7" width="8.54296875" style="24" customWidth="1"/>
    <col min="8" max="8" width="15.54296875" style="24" customWidth="1"/>
    <col min="9" max="9" width="2" style="24" customWidth="1"/>
    <col min="10" max="10" width="15.54296875" style="24" customWidth="1"/>
    <col min="11" max="11" width="10.54296875" style="24" customWidth="1"/>
    <col min="12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2063</v>
      </c>
      <c r="J10" s="29" t="s">
        <v>29</v>
      </c>
      <c r="K10" s="452">
        <v>202204448</v>
      </c>
      <c r="L10" s="453"/>
    </row>
    <row r="11" spans="2:12" ht="20.149999999999999" customHeight="1" x14ac:dyDescent="0.45">
      <c r="B11" s="454" t="s">
        <v>2050</v>
      </c>
      <c r="C11" s="455"/>
      <c r="D11" s="456"/>
      <c r="E11" s="30"/>
      <c r="F11" s="457" t="str">
        <f>VLOOKUP(H10,'Delivery Location'!A$4:N$416,2,0)</f>
        <v xml:space="preserve">FOOD REPUBLIC PTE LTD                                  City Square@Drink Stall No: 14A                180 Kitchener Road #04-31                     City Square Mall, Singapore 208539                                               </v>
      </c>
      <c r="G11" s="458"/>
      <c r="H11" s="459"/>
      <c r="J11" s="31" t="s">
        <v>11</v>
      </c>
      <c r="K11" s="551" t="s">
        <v>2204</v>
      </c>
      <c r="L11" s="472"/>
    </row>
    <row r="12" spans="2:12" ht="20.149999999999999" customHeight="1" x14ac:dyDescent="0.45">
      <c r="B12" s="468" t="s">
        <v>2051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533</v>
      </c>
      <c r="L12" s="472"/>
    </row>
    <row r="13" spans="2:12" ht="20.149999999999999" customHeight="1" x14ac:dyDescent="0.45">
      <c r="B13" s="468" t="s">
        <v>2052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14</v>
      </c>
      <c r="L13" s="472"/>
    </row>
    <row r="14" spans="2:12" ht="20.149999999999999" customHeight="1" x14ac:dyDescent="0.45">
      <c r="B14" s="468" t="s">
        <v>2053</v>
      </c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463" t="s">
        <v>2026</v>
      </c>
      <c r="C15" s="464"/>
      <c r="D15" s="465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22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22" ht="20.149999999999999" customHeight="1" x14ac:dyDescent="0.45">
      <c r="B18" s="70"/>
      <c r="C18" s="22" t="s">
        <v>2176</v>
      </c>
      <c r="D18" s="508" t="str">
        <f>VLOOKUP(C18,'Sales Master'!B$3:D$499,2,)</f>
        <v>ROCK SUGAR SYRUP</v>
      </c>
      <c r="E18" s="508"/>
      <c r="F18" s="508"/>
      <c r="G18" s="90">
        <v>10</v>
      </c>
      <c r="H18" s="386" t="str">
        <f>VLOOKUP(C18,'Sales Master'!$B$3:$F$3179,5,0)</f>
        <v>4 KG</v>
      </c>
      <c r="I18" s="513" t="str">
        <f>VLOOKUP(C18,'Sales Master'!$B$3:$E$3179,4,0)</f>
        <v>DO!</v>
      </c>
      <c r="J18" s="513"/>
      <c r="K18" s="98">
        <f>VLOOKUP(C18,'Sales Master'!B$3:I$581,8,0)</f>
        <v>7.5</v>
      </c>
      <c r="L18" s="133">
        <f>K18*G18</f>
        <v>75</v>
      </c>
      <c r="N18" s="225">
        <f>VLOOKUP(C18,'Sales Master'!$B$3:$DA$3038,104,0)</f>
        <v>4.9000000000000004</v>
      </c>
      <c r="O18" s="225">
        <f>K18-N18</f>
        <v>2.5999999999999996</v>
      </c>
      <c r="P18" s="225">
        <f>O18*G18</f>
        <v>25.999999999999996</v>
      </c>
      <c r="Q18" s="354"/>
      <c r="R18" s="125"/>
      <c r="S18" s="125" t="s">
        <v>260</v>
      </c>
      <c r="T18" s="125" t="s">
        <v>709</v>
      </c>
      <c r="U18" s="125"/>
      <c r="V18" s="125">
        <v>32</v>
      </c>
    </row>
    <row r="19" spans="2:22" ht="20.149999999999999" customHeight="1" x14ac:dyDescent="0.45">
      <c r="B19" s="70"/>
      <c r="C19" s="22"/>
      <c r="D19" s="508"/>
      <c r="E19" s="508"/>
      <c r="F19" s="508"/>
      <c r="G19" s="90"/>
      <c r="H19" s="97"/>
      <c r="I19" s="506"/>
      <c r="J19" s="506"/>
      <c r="K19" s="98"/>
      <c r="L19" s="133"/>
      <c r="N19" s="225"/>
      <c r="O19" s="225"/>
      <c r="P19" s="225"/>
      <c r="Q19" s="354"/>
      <c r="R19" s="125"/>
      <c r="S19" s="125"/>
      <c r="T19" s="125"/>
      <c r="U19" s="125"/>
      <c r="V19" s="125"/>
    </row>
    <row r="20" spans="2:22" ht="20.149999999999999" customHeight="1" x14ac:dyDescent="0.45">
      <c r="B20" s="34"/>
      <c r="C20" s="22"/>
      <c r="D20" s="508"/>
      <c r="E20" s="508"/>
      <c r="F20" s="508"/>
      <c r="G20" s="90"/>
      <c r="H20" s="68"/>
      <c r="I20" s="481"/>
      <c r="J20" s="481"/>
      <c r="K20" s="35"/>
      <c r="L20" s="36"/>
    </row>
    <row r="21" spans="2:22" ht="20.149999999999999" customHeight="1" x14ac:dyDescent="0.45">
      <c r="B21" s="34"/>
      <c r="C21" s="22"/>
      <c r="D21" s="508"/>
      <c r="E21" s="508"/>
      <c r="F21" s="508"/>
      <c r="G21" s="90"/>
      <c r="H21" s="68"/>
      <c r="I21" s="481"/>
      <c r="J21" s="481"/>
      <c r="K21" s="35"/>
      <c r="L21" s="36"/>
    </row>
    <row r="22" spans="2:22" ht="20.149999999999999" customHeight="1" x14ac:dyDescent="0.45">
      <c r="B22" s="34"/>
      <c r="C22" s="22"/>
      <c r="D22" s="508"/>
      <c r="E22" s="508"/>
      <c r="F22" s="508"/>
      <c r="G22" s="90"/>
      <c r="H22" s="68"/>
      <c r="I22" s="481"/>
      <c r="J22" s="481"/>
      <c r="K22" s="35"/>
      <c r="L22" s="36"/>
    </row>
    <row r="23" spans="2:22" ht="20.149999999999999" customHeight="1" x14ac:dyDescent="0.45">
      <c r="B23" s="34"/>
      <c r="C23" s="22"/>
      <c r="D23" s="508"/>
      <c r="E23" s="508"/>
      <c r="F23" s="508"/>
      <c r="G23" s="90"/>
      <c r="H23" s="68"/>
      <c r="I23" s="481"/>
      <c r="J23" s="481"/>
      <c r="K23" s="35"/>
      <c r="L23" s="36"/>
    </row>
    <row r="24" spans="2:22" ht="20.149999999999999" customHeight="1" x14ac:dyDescent="0.45">
      <c r="B24" s="34"/>
      <c r="C24" s="22"/>
      <c r="D24" s="508"/>
      <c r="E24" s="508"/>
      <c r="F24" s="508"/>
      <c r="G24" s="90"/>
      <c r="H24" s="68"/>
      <c r="I24" s="481"/>
      <c r="J24" s="481"/>
      <c r="K24" s="35"/>
      <c r="L24" s="36"/>
    </row>
    <row r="25" spans="2:22" ht="20.149999999999999" customHeight="1" x14ac:dyDescent="0.45">
      <c r="B25" s="34"/>
      <c r="C25" s="22"/>
      <c r="D25" s="508"/>
      <c r="E25" s="508"/>
      <c r="F25" s="508"/>
      <c r="G25" s="90"/>
      <c r="H25" s="68"/>
      <c r="I25" s="481"/>
      <c r="J25" s="481"/>
      <c r="K25" s="35"/>
      <c r="L25" s="36"/>
    </row>
    <row r="26" spans="2:22" ht="20.149999999999999" customHeight="1" x14ac:dyDescent="0.45">
      <c r="B26" s="34"/>
      <c r="C26" s="22"/>
      <c r="D26" s="508"/>
      <c r="E26" s="508"/>
      <c r="F26" s="508"/>
      <c r="G26" s="90"/>
      <c r="H26" s="68"/>
      <c r="I26" s="481"/>
      <c r="J26" s="481"/>
      <c r="K26" s="35"/>
      <c r="L26" s="36"/>
    </row>
    <row r="27" spans="2:22" ht="20.149999999999999" customHeight="1" x14ac:dyDescent="0.45">
      <c r="B27" s="34"/>
      <c r="C27" s="22"/>
      <c r="D27" s="508"/>
      <c r="E27" s="508"/>
      <c r="F27" s="508"/>
      <c r="G27" s="90"/>
      <c r="H27" s="68"/>
      <c r="I27" s="481"/>
      <c r="J27" s="481"/>
      <c r="K27" s="35"/>
      <c r="L27" s="36"/>
    </row>
    <row r="28" spans="2:22" ht="20.149999999999999" customHeight="1" x14ac:dyDescent="0.45">
      <c r="B28" s="34"/>
      <c r="C28" s="22"/>
      <c r="D28" s="508"/>
      <c r="E28" s="508"/>
      <c r="F28" s="508"/>
      <c r="G28" s="90"/>
      <c r="H28" s="68"/>
      <c r="I28" s="481"/>
      <c r="J28" s="481"/>
      <c r="K28" s="35"/>
      <c r="L28" s="36"/>
    </row>
    <row r="29" spans="2:22" ht="20.149999999999999" customHeight="1" x14ac:dyDescent="0.45">
      <c r="B29" s="34"/>
      <c r="C29" s="22"/>
      <c r="G29" s="90"/>
      <c r="H29" s="68"/>
      <c r="I29" s="68"/>
      <c r="J29" s="68"/>
      <c r="K29" s="35"/>
      <c r="L29" s="36"/>
    </row>
    <row r="30" spans="2:22" ht="20.149999999999999" customHeight="1" x14ac:dyDescent="0.45">
      <c r="B30" s="155"/>
      <c r="C30" s="156"/>
      <c r="D30" s="556"/>
      <c r="E30" s="556"/>
      <c r="F30" s="556"/>
      <c r="G30" s="156"/>
      <c r="H30" s="156"/>
      <c r="I30" s="189"/>
      <c r="J30" s="189"/>
      <c r="K30" s="163"/>
      <c r="L30" s="190"/>
    </row>
    <row r="31" spans="2:22" ht="20.149999999999999" customHeight="1" thickBot="1" x14ac:dyDescent="0.5">
      <c r="B31" s="41"/>
      <c r="L31" s="42"/>
    </row>
    <row r="32" spans="2:22" ht="20.149999999999999" customHeight="1" x14ac:dyDescent="0.45">
      <c r="B32" s="11" t="s">
        <v>18</v>
      </c>
      <c r="C32" s="7"/>
      <c r="D32" s="7"/>
      <c r="E32" s="7"/>
      <c r="F32" s="7"/>
      <c r="G32" s="7"/>
      <c r="H32" s="7"/>
      <c r="I32" s="7"/>
      <c r="J32" s="510" t="s">
        <v>15</v>
      </c>
      <c r="K32" s="511"/>
      <c r="L32" s="43">
        <f>SUM(L18:L31)</f>
        <v>75</v>
      </c>
      <c r="M32" s="76">
        <f>SUM(P18:P29)</f>
        <v>25.999999999999996</v>
      </c>
      <c r="N32" s="201">
        <f>M32/L32</f>
        <v>0.34666666666666662</v>
      </c>
    </row>
    <row r="33" spans="2:12" ht="20.149999999999999" customHeight="1" x14ac:dyDescent="0.45">
      <c r="B33" s="11" t="s">
        <v>19</v>
      </c>
      <c r="C33" s="7"/>
      <c r="D33" s="7"/>
      <c r="E33" s="7"/>
      <c r="F33" s="7"/>
      <c r="G33" s="7"/>
      <c r="H33" s="7"/>
      <c r="I33" s="7"/>
      <c r="J33" s="44" t="s">
        <v>22</v>
      </c>
      <c r="K33" s="45"/>
      <c r="L33" s="46">
        <f>L32*K33</f>
        <v>0</v>
      </c>
    </row>
    <row r="34" spans="2:12" ht="20.149999999999999" customHeight="1" x14ac:dyDescent="0.45">
      <c r="B34" s="11" t="s">
        <v>20</v>
      </c>
      <c r="C34" s="7"/>
      <c r="D34" s="7"/>
      <c r="E34" s="7"/>
      <c r="F34" s="7"/>
      <c r="G34" s="7"/>
      <c r="H34" s="7"/>
      <c r="I34" s="7"/>
      <c r="J34" s="486" t="s">
        <v>21</v>
      </c>
      <c r="K34" s="487"/>
      <c r="L34" s="46">
        <f>L32-L33</f>
        <v>75</v>
      </c>
    </row>
    <row r="35" spans="2:12" ht="20.149999999999999" customHeight="1" x14ac:dyDescent="0.45">
      <c r="B35" s="11" t="s">
        <v>24</v>
      </c>
      <c r="C35" s="7"/>
      <c r="D35" s="7"/>
      <c r="E35" s="7"/>
      <c r="F35" s="7"/>
      <c r="G35" s="7"/>
      <c r="H35" s="7"/>
      <c r="I35" s="7"/>
      <c r="J35" s="150" t="s">
        <v>17</v>
      </c>
      <c r="K35" s="151">
        <v>7.0000000000000007E-2</v>
      </c>
      <c r="L35" s="47">
        <f>L34*K35</f>
        <v>5.2500000000000009</v>
      </c>
    </row>
    <row r="36" spans="2:12" ht="20.149999999999999" customHeight="1" thickBot="1" x14ac:dyDescent="0.5">
      <c r="B36" s="11" t="s">
        <v>1400</v>
      </c>
      <c r="C36" s="7"/>
      <c r="D36" s="7"/>
      <c r="E36" s="7"/>
      <c r="F36" s="7"/>
      <c r="G36" s="7"/>
      <c r="H36" s="7"/>
      <c r="I36" s="7"/>
      <c r="J36" s="488" t="s">
        <v>23</v>
      </c>
      <c r="K36" s="489"/>
      <c r="L36" s="48">
        <f>L34+L35</f>
        <v>80.25</v>
      </c>
    </row>
    <row r="37" spans="2:12" ht="20.149999999999999" customHeight="1" x14ac:dyDescent="0.45">
      <c r="B37" s="11" t="s">
        <v>26</v>
      </c>
      <c r="C37" s="7"/>
      <c r="D37" s="7"/>
      <c r="E37" s="7"/>
      <c r="F37" s="7"/>
      <c r="G37" s="7"/>
      <c r="H37" s="7"/>
      <c r="I37" s="7"/>
      <c r="L37" s="42"/>
    </row>
    <row r="38" spans="2:12" ht="20.149999999999999" customHeight="1" x14ac:dyDescent="0.45">
      <c r="B38" s="224" t="s">
        <v>1379</v>
      </c>
      <c r="L38" s="42"/>
    </row>
    <row r="39" spans="2:12" ht="20.149999999999999" customHeight="1" x14ac:dyDescent="0.45">
      <c r="B39" s="41"/>
      <c r="L39" s="42"/>
    </row>
    <row r="40" spans="2:12" ht="20.149999999999999" customHeight="1" x14ac:dyDescent="0.45">
      <c r="B40" s="41"/>
      <c r="L40" s="42"/>
    </row>
    <row r="41" spans="2:12" ht="20.149999999999999" customHeight="1" x14ac:dyDescent="0.45">
      <c r="B41" s="41"/>
      <c r="L41" s="42"/>
    </row>
    <row r="42" spans="2:12" ht="20.149999999999999" customHeight="1" x14ac:dyDescent="0.45">
      <c r="B42" s="49"/>
      <c r="C42" s="50"/>
      <c r="D42" s="50"/>
      <c r="J42" s="50"/>
      <c r="K42" s="50"/>
      <c r="L42" s="51"/>
    </row>
    <row r="43" spans="2:12" ht="20.149999999999999" customHeight="1" x14ac:dyDescent="0.45">
      <c r="B43" s="41" t="s">
        <v>27</v>
      </c>
      <c r="J43" s="24" t="s">
        <v>28</v>
      </c>
      <c r="L43" s="42"/>
    </row>
    <row r="44" spans="2:12" ht="19" thickBot="1" x14ac:dyDescent="0.5">
      <c r="B44" s="52"/>
      <c r="C44" s="53"/>
      <c r="D44" s="53"/>
      <c r="E44" s="53"/>
      <c r="F44" s="53"/>
      <c r="G44" s="53"/>
      <c r="H44" s="53"/>
      <c r="I44" s="53"/>
      <c r="J44" s="53"/>
      <c r="K44" s="53"/>
      <c r="L44" s="54"/>
    </row>
  </sheetData>
  <mergeCells count="41">
    <mergeCell ref="D24:F24"/>
    <mergeCell ref="I24:J24"/>
    <mergeCell ref="J36:K36"/>
    <mergeCell ref="D25:F25"/>
    <mergeCell ref="I25:J25"/>
    <mergeCell ref="D26:F26"/>
    <mergeCell ref="I26:J26"/>
    <mergeCell ref="D27:F27"/>
    <mergeCell ref="I27:J27"/>
    <mergeCell ref="D28:F28"/>
    <mergeCell ref="I28:J28"/>
    <mergeCell ref="D30:F30"/>
    <mergeCell ref="J32:K32"/>
    <mergeCell ref="J34:K34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20">
    <cfRule type="duplicateValues" dxfId="115" priority="6"/>
  </conditionalFormatting>
  <conditionalFormatting sqref="C21">
    <cfRule type="duplicateValues" dxfId="114" priority="7"/>
  </conditionalFormatting>
  <conditionalFormatting sqref="C22">
    <cfRule type="duplicateValues" dxfId="113" priority="4"/>
  </conditionalFormatting>
  <conditionalFormatting sqref="C25">
    <cfRule type="duplicateValues" dxfId="112" priority="9"/>
  </conditionalFormatting>
  <conditionalFormatting sqref="C23">
    <cfRule type="duplicateValues" dxfId="111" priority="3"/>
  </conditionalFormatting>
  <conditionalFormatting sqref="C18">
    <cfRule type="duplicateValues" dxfId="110" priority="1"/>
  </conditionalFormatting>
  <conditionalFormatting sqref="C19">
    <cfRule type="duplicateValues" dxfId="109" priority="2"/>
  </conditionalFormatting>
  <pageMargins left="0.70866141732283505" right="0.31496062992126" top="0.59055118110236204" bottom="0" header="0.31496062992126" footer="0.31496062992126"/>
  <pageSetup paperSize="9" scale="76" orientation="portrait" horizontalDpi="300" verticalDpi="30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5101F6-AAB2-4925-A04C-D197D5876A9E}">
  <sheetPr codeName="Sheet19">
    <tabColor rgb="FFFFC000"/>
    <pageSetUpPr fitToPage="1"/>
  </sheetPr>
  <dimension ref="B1:Q40"/>
  <sheetViews>
    <sheetView topLeftCell="A24" zoomScaleNormal="100" workbookViewId="0">
      <selection activeCell="J34" sqref="J34"/>
    </sheetView>
  </sheetViews>
  <sheetFormatPr defaultColWidth="12.54296875" defaultRowHeight="18.5" x14ac:dyDescent="0.45"/>
  <cols>
    <col min="1" max="1" width="12.54296875" style="24"/>
    <col min="2" max="2" width="15.54296875" style="24" customWidth="1"/>
    <col min="3" max="4" width="12.54296875" style="24" customWidth="1"/>
    <col min="5" max="5" width="1.54296875" style="24" customWidth="1"/>
    <col min="6" max="6" width="16.54296875" style="24" customWidth="1"/>
    <col min="7" max="7" width="8.54296875" style="24" customWidth="1"/>
    <col min="8" max="8" width="12.54296875" style="24" customWidth="1"/>
    <col min="9" max="9" width="2.54296875" style="24" customWidth="1"/>
    <col min="10" max="10" width="15.54296875" style="24" customWidth="1"/>
    <col min="11" max="11" width="12.54296875" style="24" customWidth="1"/>
    <col min="12" max="12" width="14.9062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191"/>
      <c r="C9" s="191"/>
      <c r="D9" s="191"/>
      <c r="E9" s="191"/>
      <c r="F9" s="191"/>
      <c r="G9" s="191"/>
      <c r="H9" s="191"/>
      <c r="I9" s="191"/>
      <c r="J9" s="191"/>
      <c r="K9" s="191"/>
      <c r="L9" s="191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2130</v>
      </c>
      <c r="J10" s="29" t="s">
        <v>29</v>
      </c>
      <c r="K10" s="452">
        <v>202210011</v>
      </c>
      <c r="L10" s="453"/>
    </row>
    <row r="11" spans="2:12" ht="20.149999999999999" customHeight="1" x14ac:dyDescent="0.45">
      <c r="B11" s="454" t="s">
        <v>2131</v>
      </c>
      <c r="C11" s="455"/>
      <c r="D11" s="456"/>
      <c r="E11" s="30"/>
      <c r="F11" s="457" t="str">
        <f>VLOOKUP(H10,'Delivery Location'!A$4:N$416,2,0)</f>
        <v xml:space="preserve">DELI ASIA (S) PTE LTD                                      1, Woodlands Height #01-03                             SINGAPORE 737859                  </v>
      </c>
      <c r="G11" s="458"/>
      <c r="H11" s="459"/>
      <c r="J11" s="31" t="s">
        <v>11</v>
      </c>
      <c r="K11" s="466">
        <v>44835</v>
      </c>
      <c r="L11" s="467"/>
    </row>
    <row r="12" spans="2:12" ht="20.149999999999999" customHeight="1" x14ac:dyDescent="0.45">
      <c r="B12" s="468" t="s">
        <v>2206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2373</v>
      </c>
      <c r="L12" s="472"/>
    </row>
    <row r="13" spans="2:12" ht="20.149999999999999" customHeight="1" x14ac:dyDescent="0.45">
      <c r="B13" s="468" t="s">
        <v>2132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2118</v>
      </c>
      <c r="L13" s="472"/>
    </row>
    <row r="14" spans="2:12" ht="20.149999999999999" customHeight="1" x14ac:dyDescent="0.45">
      <c r="B14" s="468"/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552"/>
      <c r="C15" s="474"/>
      <c r="D15" s="475"/>
      <c r="E15" s="26"/>
      <c r="F15" s="463"/>
      <c r="G15" s="464"/>
      <c r="H15" s="465"/>
      <c r="J15" s="32" t="s">
        <v>1405</v>
      </c>
      <c r="K15" s="476" t="s">
        <v>36</v>
      </c>
      <c r="L15" s="477"/>
    </row>
    <row r="16" spans="2:12" ht="19" thickBot="1" x14ac:dyDescent="0.5">
      <c r="J16" s="22"/>
    </row>
    <row r="17" spans="2:17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8" t="s">
        <v>622</v>
      </c>
      <c r="I17" s="478" t="s">
        <v>621</v>
      </c>
      <c r="J17" s="479"/>
      <c r="K17" s="9" t="s">
        <v>6</v>
      </c>
      <c r="L17" s="10" t="s">
        <v>7</v>
      </c>
      <c r="N17" s="383" t="s">
        <v>2138</v>
      </c>
      <c r="O17" s="383" t="s">
        <v>2141</v>
      </c>
      <c r="P17" s="383" t="s">
        <v>2142</v>
      </c>
    </row>
    <row r="18" spans="2:17" ht="20.149999999999999" customHeight="1" x14ac:dyDescent="0.45">
      <c r="B18" s="34"/>
      <c r="C18" s="22" t="s">
        <v>2134</v>
      </c>
      <c r="D18" s="508" t="str">
        <f>VLOOKUP(C18,'Sales Master'!B$3:D$499,2,)</f>
        <v>White Sesame Seeds</v>
      </c>
      <c r="E18" s="508"/>
      <c r="F18" s="508"/>
      <c r="G18" s="22">
        <v>20</v>
      </c>
      <c r="H18" s="438" t="str">
        <f>VLOOKUP(C18,'Sales Master'!$B$3:$E$590,4,0)</f>
        <v>China</v>
      </c>
      <c r="I18" s="482" t="str">
        <f>VLOOKUP(C18,'Sales Master'!$B$3:F$590,5,0)</f>
        <v>25 kgs</v>
      </c>
      <c r="J18" s="482"/>
      <c r="K18" s="94">
        <f>VLOOKUP(C18,'Sales Master'!$B$3:$J$3039,9,0)</f>
        <v>99.5</v>
      </c>
      <c r="L18" s="77">
        <f>K18*G18</f>
        <v>1990</v>
      </c>
      <c r="N18" s="225">
        <f>VLOOKUP(C18,'Sales Master'!$B$3:$DA$3038,104,0)</f>
        <v>87.5</v>
      </c>
      <c r="O18" s="225">
        <f>K18-N18</f>
        <v>12</v>
      </c>
      <c r="P18" s="225">
        <f>O18*G18</f>
        <v>240</v>
      </c>
      <c r="Q18" s="76"/>
    </row>
    <row r="19" spans="2:17" ht="20.149999999999999" customHeight="1" x14ac:dyDescent="0.45">
      <c r="B19" s="34"/>
      <c r="C19" s="22"/>
      <c r="G19" s="22"/>
      <c r="H19" s="68"/>
      <c r="I19" s="68"/>
      <c r="J19" s="68"/>
      <c r="K19" s="94"/>
      <c r="L19" s="77"/>
    </row>
    <row r="20" spans="2:17" ht="20.149999999999999" customHeight="1" x14ac:dyDescent="0.45">
      <c r="B20" s="34"/>
      <c r="C20" s="22"/>
      <c r="G20" s="22"/>
      <c r="H20" s="68"/>
      <c r="I20" s="68"/>
      <c r="J20" s="68"/>
      <c r="K20" s="94"/>
      <c r="L20" s="77"/>
    </row>
    <row r="21" spans="2:17" ht="20.149999999999999" customHeight="1" x14ac:dyDescent="0.45">
      <c r="B21" s="34"/>
      <c r="C21" s="22"/>
      <c r="D21" s="508"/>
      <c r="E21" s="508"/>
      <c r="F21" s="508"/>
      <c r="G21" s="22"/>
      <c r="H21" s="68"/>
      <c r="I21" s="481"/>
      <c r="J21" s="481"/>
      <c r="K21" s="94"/>
      <c r="L21" s="77"/>
    </row>
    <row r="22" spans="2:17" ht="20.149999999999999" customHeight="1" x14ac:dyDescent="0.45">
      <c r="B22" s="34"/>
      <c r="C22" s="22"/>
      <c r="G22" s="22"/>
      <c r="H22" s="68"/>
      <c r="I22" s="68"/>
      <c r="J22" s="68"/>
      <c r="K22" s="94"/>
      <c r="L22" s="77"/>
    </row>
    <row r="23" spans="2:17" ht="20.149999999999999" customHeight="1" x14ac:dyDescent="0.45">
      <c r="B23" s="34"/>
      <c r="C23" s="22"/>
      <c r="G23" s="22"/>
      <c r="H23" s="68"/>
      <c r="I23" s="68"/>
      <c r="J23" s="68"/>
      <c r="K23" s="94"/>
      <c r="L23" s="77"/>
    </row>
    <row r="24" spans="2:17" ht="20.149999999999999" customHeight="1" x14ac:dyDescent="0.45">
      <c r="B24" s="34"/>
      <c r="C24" s="22"/>
      <c r="D24" s="508"/>
      <c r="E24" s="508"/>
      <c r="F24" s="508"/>
      <c r="G24" s="22"/>
      <c r="H24" s="68"/>
      <c r="I24" s="481"/>
      <c r="J24" s="481"/>
      <c r="K24" s="94"/>
      <c r="L24" s="77"/>
    </row>
    <row r="25" spans="2:17" ht="20.149999999999999" customHeight="1" thickBot="1" x14ac:dyDescent="0.5">
      <c r="B25" s="37"/>
      <c r="C25" s="38"/>
      <c r="D25" s="509"/>
      <c r="E25" s="509"/>
      <c r="F25" s="509"/>
      <c r="G25" s="38"/>
      <c r="H25" s="69"/>
      <c r="I25" s="451"/>
      <c r="J25" s="451"/>
      <c r="K25" s="39"/>
      <c r="L25" s="40"/>
    </row>
    <row r="26" spans="2:17" ht="20.149999999999999" customHeight="1" thickBot="1" x14ac:dyDescent="0.5">
      <c r="B26" s="41"/>
      <c r="L26" s="42"/>
    </row>
    <row r="27" spans="2:17" ht="20.149999999999999" customHeight="1" x14ac:dyDescent="0.45">
      <c r="B27" s="11" t="s">
        <v>18</v>
      </c>
      <c r="C27" s="7"/>
      <c r="D27" s="7"/>
      <c r="E27" s="7"/>
      <c r="F27" s="7"/>
      <c r="G27" s="7"/>
      <c r="H27" s="7"/>
      <c r="I27" s="7"/>
      <c r="J27" s="510" t="s">
        <v>15</v>
      </c>
      <c r="K27" s="511"/>
      <c r="L27" s="43">
        <f>SUM(L17:L26)</f>
        <v>1990</v>
      </c>
      <c r="M27" s="76">
        <f>SUM(P18:P24)</f>
        <v>240</v>
      </c>
      <c r="N27" s="201">
        <f>M27/L27</f>
        <v>0.12060301507537688</v>
      </c>
    </row>
    <row r="28" spans="2:17" ht="20.149999999999999" customHeight="1" x14ac:dyDescent="0.45">
      <c r="B28" s="11" t="s">
        <v>19</v>
      </c>
      <c r="C28" s="7"/>
      <c r="D28" s="7"/>
      <c r="E28" s="7"/>
      <c r="F28" s="7"/>
      <c r="G28" s="7"/>
      <c r="H28" s="7"/>
      <c r="I28" s="7"/>
      <c r="J28" s="44" t="s">
        <v>22</v>
      </c>
      <c r="K28" s="45"/>
      <c r="L28" s="46">
        <f>L27*K28</f>
        <v>0</v>
      </c>
    </row>
    <row r="29" spans="2:17" ht="20.149999999999999" customHeight="1" x14ac:dyDescent="0.45">
      <c r="B29" s="11" t="s">
        <v>20</v>
      </c>
      <c r="C29" s="7"/>
      <c r="D29" s="7"/>
      <c r="E29" s="7"/>
      <c r="F29" s="7"/>
      <c r="G29" s="7"/>
      <c r="H29" s="7"/>
      <c r="I29" s="7"/>
      <c r="J29" s="486" t="s">
        <v>21</v>
      </c>
      <c r="K29" s="487"/>
      <c r="L29" s="46">
        <f>L27-L28</f>
        <v>1990</v>
      </c>
    </row>
    <row r="30" spans="2:17" ht="20.149999999999999" customHeight="1" x14ac:dyDescent="0.45">
      <c r="B30" s="11" t="s">
        <v>24</v>
      </c>
      <c r="C30" s="7"/>
      <c r="D30" s="7"/>
      <c r="E30" s="7"/>
      <c r="F30" s="7"/>
      <c r="G30" s="7"/>
      <c r="H30" s="7"/>
      <c r="I30" s="7"/>
      <c r="J30" s="150" t="s">
        <v>17</v>
      </c>
      <c r="K30" s="151">
        <v>7.0000000000000007E-2</v>
      </c>
      <c r="L30" s="47">
        <f>L29*K30</f>
        <v>139.30000000000001</v>
      </c>
    </row>
    <row r="31" spans="2:17" ht="20.149999999999999" customHeight="1" thickBot="1" x14ac:dyDescent="0.5">
      <c r="B31" s="11" t="s">
        <v>1400</v>
      </c>
      <c r="C31" s="7"/>
      <c r="D31" s="7"/>
      <c r="E31" s="7"/>
      <c r="F31" s="7"/>
      <c r="G31" s="7"/>
      <c r="H31" s="7"/>
      <c r="I31" s="7"/>
      <c r="J31" s="488" t="s">
        <v>23</v>
      </c>
      <c r="K31" s="489"/>
      <c r="L31" s="48">
        <f>L29+L30</f>
        <v>2129.3000000000002</v>
      </c>
    </row>
    <row r="32" spans="2:17" ht="20.149999999999999" customHeight="1" x14ac:dyDescent="0.45">
      <c r="B32" s="11" t="s">
        <v>26</v>
      </c>
      <c r="C32" s="7"/>
      <c r="D32" s="7"/>
      <c r="E32" s="7"/>
      <c r="F32" s="7"/>
      <c r="G32" s="7"/>
      <c r="H32" s="7"/>
      <c r="I32" s="7"/>
      <c r="L32" s="42" t="s">
        <v>720</v>
      </c>
    </row>
    <row r="33" spans="2:12" ht="20.149999999999999" customHeight="1" x14ac:dyDescent="0.45">
      <c r="B33" s="224" t="s">
        <v>1379</v>
      </c>
      <c r="L33" s="42"/>
    </row>
    <row r="34" spans="2:12" ht="20.149999999999999" customHeight="1" x14ac:dyDescent="0.45">
      <c r="B34" s="41"/>
      <c r="L34" s="42"/>
    </row>
    <row r="35" spans="2:12" ht="20.149999999999999" customHeight="1" x14ac:dyDescent="0.45">
      <c r="B35" s="41"/>
      <c r="J35" s="50"/>
      <c r="K35" s="50"/>
      <c r="L35" s="51"/>
    </row>
    <row r="36" spans="2:12" ht="20.149999999999999" customHeight="1" x14ac:dyDescent="0.45">
      <c r="B36" s="41"/>
      <c r="J36" s="24" t="s">
        <v>28</v>
      </c>
      <c r="L36" s="42"/>
    </row>
    <row r="37" spans="2:12" ht="20.149999999999999" customHeight="1" x14ac:dyDescent="0.45">
      <c r="B37" s="49"/>
      <c r="C37" s="50"/>
      <c r="D37" s="50"/>
      <c r="J37" s="24" t="s">
        <v>1419</v>
      </c>
      <c r="L37" s="42"/>
    </row>
    <row r="38" spans="2:12" ht="20.149999999999999" customHeight="1" x14ac:dyDescent="0.45">
      <c r="B38" s="41" t="s">
        <v>27</v>
      </c>
      <c r="J38" s="24" t="s">
        <v>1420</v>
      </c>
      <c r="L38" s="42"/>
    </row>
    <row r="39" spans="2:12" ht="19" thickBot="1" x14ac:dyDescent="0.5">
      <c r="B39" s="52"/>
      <c r="C39" s="53"/>
      <c r="D39" s="53"/>
      <c r="E39" s="53"/>
      <c r="F39" s="53"/>
      <c r="G39" s="53"/>
      <c r="H39" s="53"/>
      <c r="I39" s="53"/>
      <c r="J39" s="53"/>
      <c r="K39" s="53"/>
      <c r="L39" s="54"/>
    </row>
    <row r="40" spans="2:12" ht="20.5" x14ac:dyDescent="0.45">
      <c r="F40" s="427"/>
    </row>
  </sheetData>
  <mergeCells count="26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8:F18"/>
    <mergeCell ref="I18:J18"/>
    <mergeCell ref="D17:F17"/>
    <mergeCell ref="D21:F21"/>
    <mergeCell ref="I21:J21"/>
    <mergeCell ref="J31:K31"/>
    <mergeCell ref="D24:F24"/>
    <mergeCell ref="I24:J24"/>
    <mergeCell ref="D25:F25"/>
    <mergeCell ref="I25:J25"/>
    <mergeCell ref="J27:K27"/>
    <mergeCell ref="J29:K29"/>
  </mergeCells>
  <pageMargins left="0.70866141732283472" right="0.31496062992125984" top="0.59055118110236227" bottom="0" header="0.31496062992125984" footer="0.31496062992125984"/>
  <pageSetup paperSize="9" scale="75" orientation="portrait" horizontalDpi="300" verticalDpi="30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83AF4A-49AC-4154-A739-D61DB0A66BAC}">
  <sheetPr codeName="Sheet20">
    <tabColor rgb="FF7030A0"/>
    <pageSetUpPr fitToPage="1"/>
  </sheetPr>
  <dimension ref="B1:P48"/>
  <sheetViews>
    <sheetView topLeftCell="B20" zoomScaleNormal="100" workbookViewId="0">
      <selection activeCell="H24" sqref="H24"/>
    </sheetView>
  </sheetViews>
  <sheetFormatPr defaultColWidth="12.54296875" defaultRowHeight="18.5" x14ac:dyDescent="0.45"/>
  <cols>
    <col min="1" max="1" width="12.54296875" style="24"/>
    <col min="2" max="2" width="15.54296875" style="24" customWidth="1"/>
    <col min="3" max="4" width="12.54296875" style="24" customWidth="1"/>
    <col min="5" max="5" width="1.54296875" style="24" customWidth="1"/>
    <col min="6" max="6" width="21.1796875" style="24" customWidth="1"/>
    <col min="7" max="7" width="8.54296875" style="24" customWidth="1"/>
    <col min="8" max="8" width="14.81640625" style="24" customWidth="1"/>
    <col min="9" max="9" width="1.54296875" style="24" customWidth="1"/>
    <col min="10" max="10" width="14.453125" style="24" customWidth="1"/>
    <col min="11" max="11" width="11.453125" style="24" customWidth="1"/>
    <col min="12" max="12" width="13.3632812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191"/>
      <c r="C9" s="191"/>
      <c r="D9" s="191"/>
      <c r="E9" s="191"/>
      <c r="F9" s="191"/>
      <c r="G9" s="191"/>
      <c r="H9" s="191"/>
      <c r="I9" s="191"/>
      <c r="J9" s="191"/>
      <c r="K9" s="191"/>
      <c r="L9" s="191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1856</v>
      </c>
      <c r="J10" s="29" t="s">
        <v>29</v>
      </c>
      <c r="K10" s="452">
        <v>202209460</v>
      </c>
      <c r="L10" s="453"/>
    </row>
    <row r="11" spans="2:12" ht="20.149999999999999" customHeight="1" x14ac:dyDescent="0.45">
      <c r="B11" s="454"/>
      <c r="C11" s="455"/>
      <c r="D11" s="456"/>
      <c r="E11" s="30"/>
      <c r="F11" s="457" t="str">
        <f>VLOOKUP(H10,'Delivery Location'!A$4:N$416,2,0)</f>
        <v xml:space="preserve">Dessert Stall                                          Catholic Junior College. 129 Whitley Road Singapore 297822                                                                                      </v>
      </c>
      <c r="G11" s="458"/>
      <c r="H11" s="459"/>
      <c r="J11" s="31" t="s">
        <v>11</v>
      </c>
      <c r="K11" s="466">
        <v>44833</v>
      </c>
      <c r="L11" s="467"/>
    </row>
    <row r="12" spans="2:12" ht="20.149999999999999" customHeight="1" x14ac:dyDescent="0.45">
      <c r="B12" s="468" t="s">
        <v>1858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36</v>
      </c>
      <c r="L12" s="472"/>
    </row>
    <row r="13" spans="2:12" ht="20.149999999999999" customHeight="1" x14ac:dyDescent="0.45">
      <c r="B13" s="468" t="s">
        <v>1859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1857</v>
      </c>
      <c r="L13" s="472"/>
    </row>
    <row r="14" spans="2:12" ht="20.149999999999999" customHeight="1" x14ac:dyDescent="0.45">
      <c r="B14" s="468"/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55"/>
      <c r="C15" s="56"/>
      <c r="D15" s="57"/>
      <c r="E15" s="26"/>
      <c r="F15" s="463"/>
      <c r="G15" s="464"/>
      <c r="H15" s="465"/>
      <c r="J15" s="32" t="s">
        <v>1405</v>
      </c>
      <c r="K15" s="476"/>
      <c r="L15" s="477"/>
    </row>
    <row r="16" spans="2:12" ht="19" thickBot="1" x14ac:dyDescent="0.5">
      <c r="J16" s="22"/>
    </row>
    <row r="17" spans="2:16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8" t="s">
        <v>622</v>
      </c>
      <c r="I17" s="478" t="s">
        <v>621</v>
      </c>
      <c r="J17" s="479"/>
      <c r="K17" s="9" t="s">
        <v>6</v>
      </c>
      <c r="L17" s="10" t="s">
        <v>7</v>
      </c>
      <c r="N17" s="383" t="s">
        <v>2138</v>
      </c>
      <c r="O17" s="383" t="s">
        <v>2141</v>
      </c>
      <c r="P17" s="383" t="s">
        <v>2142</v>
      </c>
    </row>
    <row r="18" spans="2:16" ht="20.149999999999999" customHeight="1" x14ac:dyDescent="0.45">
      <c r="B18" s="34"/>
      <c r="C18" s="22" t="s">
        <v>1448</v>
      </c>
      <c r="D18" s="508" t="str">
        <f>VLOOKUP(C18,'Sales Master'!B$3:D$499,2,)</f>
        <v>Mango Puree芒果</v>
      </c>
      <c r="E18" s="508"/>
      <c r="F18" s="508"/>
      <c r="G18" s="22">
        <v>5</v>
      </c>
      <c r="H18" s="445" t="str">
        <f>VLOOKUP(C18,'Sales Master'!$B$3:$E$590,4,0)</f>
        <v>DO!</v>
      </c>
      <c r="I18" s="508" t="str">
        <f>VLOOKUP(C18,'Sales Master'!$B$3:F$590,5,0)</f>
        <v>BOX/盒</v>
      </c>
      <c r="J18" s="508"/>
      <c r="K18" s="94">
        <f>VLOOKUP(C18,'Sales Master'!$B$3:$BY$3040,76,0)</f>
        <v>7</v>
      </c>
      <c r="L18" s="77">
        <f t="shared" ref="L18:L23" si="0">K18*G18</f>
        <v>35</v>
      </c>
      <c r="N18" s="225">
        <f>VLOOKUP(C18,'Sales Master'!$B$3:$DA$3038,104,0)</f>
        <v>2</v>
      </c>
      <c r="O18" s="225">
        <f t="shared" ref="O18:O23" si="1">K18-N18</f>
        <v>5</v>
      </c>
      <c r="P18" s="225">
        <f t="shared" ref="P18:P23" si="2">O18*G18</f>
        <v>25</v>
      </c>
    </row>
    <row r="19" spans="2:16" ht="20.149999999999999" customHeight="1" x14ac:dyDescent="0.45">
      <c r="B19" s="34"/>
      <c r="C19" s="22" t="s">
        <v>1449</v>
      </c>
      <c r="D19" s="508" t="str">
        <f>VLOOKUP(C19,'Sales Master'!B$3:D$499,2,)</f>
        <v>Strawberry Puree草莓</v>
      </c>
      <c r="E19" s="508"/>
      <c r="F19" s="508"/>
      <c r="G19" s="22">
        <v>3</v>
      </c>
      <c r="H19" s="445" t="str">
        <f>VLOOKUP(C19,'Sales Master'!$B$3:$E$590,4,0)</f>
        <v>DO!</v>
      </c>
      <c r="I19" s="508" t="str">
        <f>VLOOKUP(C19,'Sales Master'!$B$3:F$590,5,0)</f>
        <v>BOX/盒</v>
      </c>
      <c r="J19" s="508"/>
      <c r="K19" s="94">
        <f>VLOOKUP(C19,'Sales Master'!$B$3:$BY$3040,76,0)</f>
        <v>9</v>
      </c>
      <c r="L19" s="77">
        <f t="shared" si="0"/>
        <v>27</v>
      </c>
      <c r="N19" s="225">
        <f>VLOOKUP(C19,'Sales Master'!$B$3:$DA$3038,104,0)</f>
        <v>3</v>
      </c>
      <c r="O19" s="225">
        <f t="shared" si="1"/>
        <v>6</v>
      </c>
      <c r="P19" s="225">
        <f t="shared" si="2"/>
        <v>18</v>
      </c>
    </row>
    <row r="20" spans="2:16" ht="20.149999999999999" customHeight="1" x14ac:dyDescent="0.45">
      <c r="B20" s="34"/>
      <c r="C20" s="22" t="s">
        <v>1853</v>
      </c>
      <c r="D20" s="558" t="str">
        <f>VLOOKUP(C20,'Sales Master'!B$3:D$499,2,)</f>
        <v>Passion Fruit Concentrate Juice 百香果汁</v>
      </c>
      <c r="E20" s="558"/>
      <c r="F20" s="558"/>
      <c r="G20" s="22">
        <v>3</v>
      </c>
      <c r="H20" s="445" t="str">
        <f>VLOOKUP(C20,'Sales Master'!$B$3:$E$590,4,0)</f>
        <v>-</v>
      </c>
      <c r="I20" s="508" t="str">
        <f>VLOOKUP(C20,'Sales Master'!$B$3:F$590,5,0)</f>
        <v>1 KG/PKT</v>
      </c>
      <c r="J20" s="508"/>
      <c r="K20" s="94">
        <f>VLOOKUP(C20,'Sales Master'!$B$3:$BY$3040,76,0)</f>
        <v>8</v>
      </c>
      <c r="L20" s="77">
        <f t="shared" ref="L20" si="3">K20*G20</f>
        <v>24</v>
      </c>
      <c r="N20" s="225">
        <f>VLOOKUP(C20,'Sales Master'!$B$3:$DA$3038,104,0)</f>
        <v>4</v>
      </c>
      <c r="O20" s="225">
        <f t="shared" ref="O20" si="4">K20-N20</f>
        <v>4</v>
      </c>
      <c r="P20" s="225">
        <f t="shared" ref="P20" si="5">O20*G20</f>
        <v>12</v>
      </c>
    </row>
    <row r="21" spans="2:16" ht="20.149999999999999" customHeight="1" x14ac:dyDescent="0.45">
      <c r="B21" s="34"/>
      <c r="C21" s="22" t="s">
        <v>1854</v>
      </c>
      <c r="D21" s="558" t="str">
        <f>VLOOKUP(C21,'Sales Master'!B$3:D$499,2,)</f>
        <v>Citrus Plum Concentrate Juice 柑桔梅子汁</v>
      </c>
      <c r="E21" s="558"/>
      <c r="F21" s="558"/>
      <c r="G21" s="22">
        <v>5</v>
      </c>
      <c r="H21" s="445" t="str">
        <f>VLOOKUP(C21,'Sales Master'!$B$3:$E$590,4,0)</f>
        <v>-</v>
      </c>
      <c r="I21" s="508" t="str">
        <f>VLOOKUP(C21,'Sales Master'!$B$3:F$590,5,0)</f>
        <v>1 KG/PKT</v>
      </c>
      <c r="J21" s="508"/>
      <c r="K21" s="94">
        <f>VLOOKUP(C21,'Sales Master'!$B$3:$BY$3040,76,0)</f>
        <v>8</v>
      </c>
      <c r="L21" s="77">
        <f t="shared" si="0"/>
        <v>40</v>
      </c>
      <c r="N21" s="225">
        <f>VLOOKUP(C21,'Sales Master'!$B$3:$DA$3038,104,0)</f>
        <v>4</v>
      </c>
      <c r="O21" s="225">
        <f t="shared" si="1"/>
        <v>4</v>
      </c>
      <c r="P21" s="225">
        <f t="shared" si="2"/>
        <v>20</v>
      </c>
    </row>
    <row r="22" spans="2:16" ht="20.149999999999999" customHeight="1" x14ac:dyDescent="0.45">
      <c r="B22" s="34"/>
      <c r="C22" s="22" t="s">
        <v>1480</v>
      </c>
      <c r="D22" s="508" t="str">
        <f>VLOOKUP(C22,'Sales Master'!B$3:D$499,2,)</f>
        <v>3Q Jelly</v>
      </c>
      <c r="E22" s="508"/>
      <c r="F22" s="508"/>
      <c r="G22" s="22">
        <v>1</v>
      </c>
      <c r="H22" s="445" t="str">
        <f>VLOOKUP(C22,'Sales Master'!$B$3:$E$590,4,0)</f>
        <v>-</v>
      </c>
      <c r="I22" s="508" t="str">
        <f>VLOOKUP(C22,'Sales Master'!$B$3:F$590,5,0)</f>
        <v>4 KGS/Tub</v>
      </c>
      <c r="J22" s="508"/>
      <c r="K22" s="94">
        <f>VLOOKUP(C22,'Sales Master'!$B$3:$BY$3040,76,0)</f>
        <v>15</v>
      </c>
      <c r="L22" s="77">
        <f t="shared" si="0"/>
        <v>15</v>
      </c>
      <c r="N22" s="225">
        <f>VLOOKUP(C22,'Sales Master'!$B$3:$DA$3038,104,0)</f>
        <v>11</v>
      </c>
      <c r="O22" s="225">
        <f t="shared" si="1"/>
        <v>4</v>
      </c>
      <c r="P22" s="225">
        <f t="shared" si="2"/>
        <v>4</v>
      </c>
    </row>
    <row r="23" spans="2:16" ht="20.149999999999999" customHeight="1" x14ac:dyDescent="0.45">
      <c r="B23" s="34"/>
      <c r="C23" s="22" t="s">
        <v>1566</v>
      </c>
      <c r="D23" s="508" t="str">
        <f>VLOOKUP(C23,'Sales Master'!B$3:D$499,2,)</f>
        <v>Chin Chow  仙草</v>
      </c>
      <c r="E23" s="508"/>
      <c r="F23" s="508"/>
      <c r="G23" s="22">
        <v>2</v>
      </c>
      <c r="H23" s="445" t="str">
        <f>VLOOKUP(C23,'Sales Master'!$B$3:$E$590,4,0)</f>
        <v>TSM</v>
      </c>
      <c r="I23" s="508" t="str">
        <f>VLOOKUP(C23,'Sales Master'!$B$3:F$590,5,0)</f>
        <v>5KGS/PKT</v>
      </c>
      <c r="J23" s="508"/>
      <c r="K23" s="94">
        <f>VLOOKUP(C23,'Sales Master'!$B$3:$BY$3040,76,0)</f>
        <v>5</v>
      </c>
      <c r="L23" s="77">
        <f t="shared" si="0"/>
        <v>10</v>
      </c>
      <c r="N23" s="225">
        <f>VLOOKUP(C23,'Sales Master'!$B$3:$DA$3038,104,0)</f>
        <v>4</v>
      </c>
      <c r="O23" s="225">
        <f t="shared" si="1"/>
        <v>1</v>
      </c>
      <c r="P23" s="225">
        <f t="shared" si="2"/>
        <v>2</v>
      </c>
    </row>
    <row r="24" spans="2:16" ht="20.149999999999999" customHeight="1" x14ac:dyDescent="0.45">
      <c r="B24" s="34"/>
      <c r="C24" s="22"/>
      <c r="D24" s="508"/>
      <c r="E24" s="508"/>
      <c r="F24" s="508"/>
      <c r="G24" s="22"/>
      <c r="H24" s="230"/>
      <c r="I24" s="480"/>
      <c r="J24" s="480"/>
      <c r="K24" s="94"/>
      <c r="L24" s="77"/>
      <c r="N24" s="225"/>
      <c r="O24" s="225"/>
      <c r="P24" s="225"/>
    </row>
    <row r="25" spans="2:16" ht="20.149999999999999" customHeight="1" x14ac:dyDescent="0.45">
      <c r="B25" s="34"/>
      <c r="C25" s="230"/>
      <c r="G25" s="22"/>
      <c r="H25" s="22"/>
      <c r="K25" s="94"/>
      <c r="L25" s="77"/>
      <c r="N25" s="225"/>
      <c r="O25" s="225"/>
      <c r="P25" s="225"/>
    </row>
    <row r="26" spans="2:16" ht="20.149999999999999" customHeight="1" x14ac:dyDescent="0.45">
      <c r="B26" s="34"/>
      <c r="C26" s="23" t="s">
        <v>2128</v>
      </c>
      <c r="G26" s="22"/>
      <c r="H26" s="22"/>
      <c r="I26" s="22"/>
      <c r="J26" s="22"/>
      <c r="K26" s="94"/>
      <c r="L26" s="77"/>
      <c r="N26" s="225"/>
      <c r="O26" s="225"/>
      <c r="P26" s="225"/>
    </row>
    <row r="27" spans="2:16" ht="20.149999999999999" customHeight="1" x14ac:dyDescent="0.45">
      <c r="B27" s="34"/>
      <c r="C27" s="230" t="s">
        <v>2233</v>
      </c>
      <c r="D27" s="23"/>
      <c r="E27" s="23"/>
      <c r="F27" s="23"/>
      <c r="G27" s="68"/>
      <c r="H27" s="22"/>
      <c r="K27" s="94"/>
      <c r="L27" s="77"/>
      <c r="N27" s="225"/>
      <c r="O27" s="225"/>
      <c r="P27" s="225"/>
    </row>
    <row r="28" spans="2:16" ht="20.149999999999999" customHeight="1" x14ac:dyDescent="0.45">
      <c r="B28" s="34"/>
      <c r="C28" s="230" t="s">
        <v>2232</v>
      </c>
      <c r="G28" s="68"/>
      <c r="H28" s="68"/>
      <c r="I28" s="102"/>
      <c r="J28" s="102"/>
      <c r="K28" s="298"/>
      <c r="L28" s="216"/>
      <c r="N28" s="225"/>
      <c r="O28" s="225"/>
      <c r="P28" s="225"/>
    </row>
    <row r="29" spans="2:16" ht="20.149999999999999" customHeight="1" x14ac:dyDescent="0.45">
      <c r="B29" s="34"/>
      <c r="C29" s="68"/>
      <c r="G29" s="68"/>
      <c r="H29" s="68"/>
      <c r="I29" s="102"/>
      <c r="J29" s="102"/>
      <c r="K29" s="298"/>
      <c r="L29" s="216"/>
    </row>
    <row r="30" spans="2:16" ht="20.149999999999999" customHeight="1" x14ac:dyDescent="0.45">
      <c r="B30" s="34"/>
      <c r="C30" s="299"/>
      <c r="D30" s="299"/>
      <c r="E30" s="299"/>
      <c r="F30" s="299"/>
      <c r="G30" s="299"/>
      <c r="H30" s="68"/>
      <c r="I30" s="68"/>
      <c r="J30" s="68"/>
      <c r="K30" s="286"/>
      <c r="L30" s="216"/>
    </row>
    <row r="31" spans="2:16" ht="20.149999999999999" customHeight="1" x14ac:dyDescent="0.45">
      <c r="B31" s="34"/>
      <c r="C31" s="230"/>
      <c r="G31" s="22"/>
      <c r="H31" s="22"/>
      <c r="K31" s="98"/>
      <c r="L31" s="216"/>
    </row>
    <row r="32" spans="2:16" ht="20.149999999999999" customHeight="1" x14ac:dyDescent="0.45">
      <c r="B32" s="34"/>
      <c r="C32" s="230"/>
      <c r="G32" s="22"/>
      <c r="H32" s="22"/>
      <c r="I32" s="22"/>
      <c r="J32" s="22"/>
      <c r="K32" s="94"/>
      <c r="L32" s="216"/>
    </row>
    <row r="33" spans="2:14" ht="20.149999999999999" customHeight="1" x14ac:dyDescent="0.45">
      <c r="B33" s="34"/>
      <c r="C33" s="230"/>
      <c r="D33" s="508"/>
      <c r="E33" s="508"/>
      <c r="F33" s="508"/>
      <c r="G33" s="22"/>
      <c r="H33" s="22"/>
      <c r="I33" s="450"/>
      <c r="J33" s="450"/>
      <c r="K33" s="94"/>
      <c r="L33" s="216"/>
    </row>
    <row r="34" spans="2:14" ht="20.149999999999999" customHeight="1" thickBot="1" x14ac:dyDescent="0.5">
      <c r="B34" s="37"/>
      <c r="C34" s="69"/>
      <c r="D34" s="559"/>
      <c r="E34" s="559"/>
      <c r="F34" s="559"/>
      <c r="G34" s="69"/>
      <c r="H34" s="69"/>
      <c r="I34" s="557"/>
      <c r="J34" s="557"/>
      <c r="K34" s="314"/>
      <c r="L34" s="315"/>
    </row>
    <row r="35" spans="2:14" ht="20.149999999999999" customHeight="1" thickBot="1" x14ac:dyDescent="0.5">
      <c r="B35" s="41"/>
      <c r="L35" s="42"/>
    </row>
    <row r="36" spans="2:14" ht="20.149999999999999" customHeight="1" x14ac:dyDescent="0.45">
      <c r="B36" s="11" t="s">
        <v>18</v>
      </c>
      <c r="C36" s="7"/>
      <c r="D36" s="7"/>
      <c r="E36" s="7"/>
      <c r="F36" s="7"/>
      <c r="G36" s="7"/>
      <c r="H36" s="7"/>
      <c r="I36" s="7"/>
      <c r="J36" s="510" t="s">
        <v>15</v>
      </c>
      <c r="K36" s="511"/>
      <c r="L36" s="43">
        <f>SUM(L17:L35)</f>
        <v>151</v>
      </c>
      <c r="M36" s="76">
        <f>SUM(P18:P34)</f>
        <v>81</v>
      </c>
      <c r="N36" s="201">
        <f>M36/L36</f>
        <v>0.53642384105960261</v>
      </c>
    </row>
    <row r="37" spans="2:14" ht="20.149999999999999" customHeight="1" x14ac:dyDescent="0.45">
      <c r="B37" s="11" t="s">
        <v>19</v>
      </c>
      <c r="C37" s="7"/>
      <c r="D37" s="7"/>
      <c r="E37" s="7"/>
      <c r="F37" s="7"/>
      <c r="G37" s="7"/>
      <c r="H37" s="7"/>
      <c r="I37" s="7"/>
      <c r="J37" s="44" t="s">
        <v>22</v>
      </c>
      <c r="K37" s="45"/>
      <c r="L37" s="46">
        <f>L36*K37</f>
        <v>0</v>
      </c>
    </row>
    <row r="38" spans="2:14" ht="20.149999999999999" customHeight="1" x14ac:dyDescent="0.45">
      <c r="B38" s="11" t="s">
        <v>20</v>
      </c>
      <c r="C38" s="7"/>
      <c r="D38" s="7"/>
      <c r="E38" s="7"/>
      <c r="F38" s="7"/>
      <c r="G38" s="7"/>
      <c r="H38" s="7"/>
      <c r="I38" s="7"/>
      <c r="J38" s="486" t="s">
        <v>21</v>
      </c>
      <c r="K38" s="487"/>
      <c r="L38" s="46">
        <f>L36-L37</f>
        <v>151</v>
      </c>
    </row>
    <row r="39" spans="2:14" ht="20.149999999999999" customHeight="1" x14ac:dyDescent="0.45">
      <c r="B39" s="11" t="s">
        <v>24</v>
      </c>
      <c r="C39" s="7"/>
      <c r="D39" s="7"/>
      <c r="E39" s="7"/>
      <c r="F39" s="7"/>
      <c r="G39" s="7"/>
      <c r="H39" s="7"/>
      <c r="I39" s="7"/>
      <c r="J39" s="150" t="s">
        <v>17</v>
      </c>
      <c r="K39" s="151">
        <v>7.0000000000000007E-2</v>
      </c>
      <c r="L39" s="47">
        <f>L38*K39</f>
        <v>10.57</v>
      </c>
    </row>
    <row r="40" spans="2:14" ht="20.149999999999999" customHeight="1" thickBot="1" x14ac:dyDescent="0.5">
      <c r="B40" s="11" t="s">
        <v>1400</v>
      </c>
      <c r="C40" s="7"/>
      <c r="D40" s="7"/>
      <c r="E40" s="7"/>
      <c r="F40" s="7"/>
      <c r="G40" s="7"/>
      <c r="H40" s="7"/>
      <c r="I40" s="7"/>
      <c r="J40" s="488" t="s">
        <v>23</v>
      </c>
      <c r="K40" s="489"/>
      <c r="L40" s="48">
        <f>L38+L39</f>
        <v>161.57</v>
      </c>
    </row>
    <row r="41" spans="2:14" ht="20.149999999999999" customHeight="1" x14ac:dyDescent="0.45">
      <c r="B41" s="11" t="s">
        <v>26</v>
      </c>
      <c r="C41" s="7"/>
      <c r="D41" s="7"/>
      <c r="E41" s="7"/>
      <c r="F41" s="7"/>
      <c r="G41" s="7"/>
      <c r="H41" s="7"/>
      <c r="I41" s="7"/>
      <c r="L41" s="42" t="s">
        <v>720</v>
      </c>
    </row>
    <row r="42" spans="2:14" ht="20.149999999999999" customHeight="1" x14ac:dyDescent="0.45">
      <c r="B42" s="224" t="s">
        <v>1379</v>
      </c>
      <c r="L42" s="42"/>
    </row>
    <row r="43" spans="2:14" ht="20.149999999999999" customHeight="1" x14ac:dyDescent="0.45">
      <c r="B43" s="41"/>
      <c r="L43" s="42"/>
    </row>
    <row r="44" spans="2:14" ht="20.149999999999999" customHeight="1" x14ac:dyDescent="0.45">
      <c r="B44" s="41"/>
      <c r="J44" s="50"/>
      <c r="K44" s="50"/>
      <c r="L44" s="51"/>
    </row>
    <row r="45" spans="2:14" ht="20.149999999999999" customHeight="1" x14ac:dyDescent="0.45">
      <c r="B45" s="41"/>
      <c r="J45" s="24" t="s">
        <v>28</v>
      </c>
      <c r="L45" s="42"/>
    </row>
    <row r="46" spans="2:14" ht="20.149999999999999" customHeight="1" x14ac:dyDescent="0.45">
      <c r="B46" s="49"/>
      <c r="C46" s="50"/>
      <c r="D46" s="50"/>
      <c r="J46" s="24" t="s">
        <v>1419</v>
      </c>
      <c r="L46" s="42"/>
    </row>
    <row r="47" spans="2:14" ht="20.149999999999999" customHeight="1" x14ac:dyDescent="0.45">
      <c r="B47" s="41" t="s">
        <v>27</v>
      </c>
      <c r="J47" s="24" t="s">
        <v>1420</v>
      </c>
      <c r="L47" s="42"/>
    </row>
    <row r="48" spans="2:14" ht="19" thickBot="1" x14ac:dyDescent="0.5">
      <c r="B48" s="52"/>
      <c r="C48" s="53"/>
      <c r="D48" s="53"/>
      <c r="E48" s="53"/>
      <c r="F48" s="53"/>
      <c r="G48" s="53"/>
      <c r="H48" s="53"/>
      <c r="I48" s="53"/>
      <c r="J48" s="53"/>
      <c r="K48" s="53"/>
      <c r="L48" s="54"/>
    </row>
  </sheetData>
  <mergeCells count="35">
    <mergeCell ref="D17:F17"/>
    <mergeCell ref="J40:K40"/>
    <mergeCell ref="D34:F34"/>
    <mergeCell ref="I34:J34"/>
    <mergeCell ref="D22:F22"/>
    <mergeCell ref="I22:J22"/>
    <mergeCell ref="D23:F23"/>
    <mergeCell ref="J36:K36"/>
    <mergeCell ref="J38:K38"/>
    <mergeCell ref="I23:J23"/>
    <mergeCell ref="I17:J17"/>
    <mergeCell ref="D33:F33"/>
    <mergeCell ref="I33:J33"/>
    <mergeCell ref="D18:F18"/>
    <mergeCell ref="I18:J18"/>
    <mergeCell ref="D19:F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19:J19"/>
    <mergeCell ref="D21:F21"/>
    <mergeCell ref="I21:J21"/>
    <mergeCell ref="D24:F24"/>
    <mergeCell ref="I24:J24"/>
    <mergeCell ref="D20:F20"/>
    <mergeCell ref="I20:J20"/>
  </mergeCells>
  <pageMargins left="0.70866141732283472" right="0.31496062992125984" top="0.59055118110236227" bottom="0" header="0.31496062992125984" footer="0.31496062992125984"/>
  <pageSetup paperSize="9" scale="73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B9D82-EB93-4850-9834-3C630BB98546}">
  <sheetPr>
    <tabColor theme="9" tint="0.39997558519241921"/>
    <pageSetUpPr fitToPage="1"/>
  </sheetPr>
  <dimension ref="B1:P49"/>
  <sheetViews>
    <sheetView tabSelected="1" topLeftCell="A16" workbookViewId="0">
      <selection activeCell="K26" sqref="K26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8.36328125" style="24" customWidth="1"/>
    <col min="7" max="7" width="8.54296875" style="24" customWidth="1"/>
    <col min="8" max="8" width="15.7265625" style="24" customWidth="1"/>
    <col min="9" max="9" width="0.7265625" style="24" customWidth="1"/>
    <col min="10" max="10" width="20.26953125" style="24" customWidth="1"/>
    <col min="11" max="11" width="10.54296875" style="24" customWidth="1"/>
    <col min="12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2345</v>
      </c>
      <c r="J10" s="29" t="s">
        <v>29</v>
      </c>
      <c r="K10" s="452">
        <v>202210034</v>
      </c>
      <c r="L10" s="453"/>
    </row>
    <row r="11" spans="2:12" ht="20.149999999999999" customHeight="1" x14ac:dyDescent="0.45">
      <c r="B11" s="454"/>
      <c r="C11" s="455"/>
      <c r="D11" s="456"/>
      <c r="E11" s="30"/>
      <c r="F11" s="457" t="str">
        <f>VLOOKUP(H10,'Delivery Location'!A$4:N$416,2,0)</f>
        <v>Tiong Bahru Soya Bean                                                        52 Tiong Bahru Road #02-63.    Singapore 168716</v>
      </c>
      <c r="G11" s="458"/>
      <c r="H11" s="459"/>
      <c r="J11" s="31" t="s">
        <v>11</v>
      </c>
      <c r="K11" s="466">
        <v>44835</v>
      </c>
      <c r="L11" s="467"/>
    </row>
    <row r="12" spans="2:12" ht="20.149999999999999" customHeight="1" x14ac:dyDescent="0.45">
      <c r="B12" s="468"/>
      <c r="C12" s="469"/>
      <c r="D12" s="470"/>
      <c r="E12" s="30"/>
      <c r="F12" s="460"/>
      <c r="G12" s="461"/>
      <c r="H12" s="462"/>
      <c r="J12" s="31" t="s">
        <v>171</v>
      </c>
      <c r="K12" s="471" t="s">
        <v>533</v>
      </c>
      <c r="L12" s="472"/>
    </row>
    <row r="13" spans="2:12" ht="20.149999999999999" customHeight="1" x14ac:dyDescent="0.45">
      <c r="B13" s="468"/>
      <c r="C13" s="469"/>
      <c r="D13" s="470"/>
      <c r="E13" s="30"/>
      <c r="F13" s="460"/>
      <c r="G13" s="461"/>
      <c r="H13" s="462"/>
      <c r="J13" s="31" t="s">
        <v>12</v>
      </c>
      <c r="K13" s="471" t="s">
        <v>688</v>
      </c>
      <c r="L13" s="472"/>
    </row>
    <row r="14" spans="2:12" ht="20.149999999999999" customHeight="1" x14ac:dyDescent="0.45">
      <c r="B14" s="468"/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463"/>
      <c r="C15" s="464"/>
      <c r="D15" s="465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16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16" ht="20.149999999999999" customHeight="1" x14ac:dyDescent="0.45">
      <c r="B18" s="34"/>
      <c r="C18" s="22" t="s">
        <v>1691</v>
      </c>
      <c r="D18" s="508" t="str">
        <f>VLOOKUP(C18,'Sales Master'!B$3:D$499,2,)</f>
        <v>Nata De Coco椰果芊 15mm</v>
      </c>
      <c r="E18" s="508"/>
      <c r="F18" s="508"/>
      <c r="G18" s="90">
        <v>2</v>
      </c>
      <c r="H18" s="429" t="str">
        <f>VLOOKUP(C18,'Sales Master'!$B$3:$F$3247,5,0)</f>
        <v>1 Can X A10</v>
      </c>
      <c r="I18" s="482" t="str">
        <f>VLOOKUP(C18,'Sales Master'!$B$3:$E$3247,4,0)</f>
        <v>Chefs</v>
      </c>
      <c r="J18" s="482"/>
      <c r="K18" s="35">
        <f>VLOOKUP(C18,'Sales Master'!B$3:AE$498,30,0)</f>
        <v>10</v>
      </c>
      <c r="L18" s="77">
        <f>K18*G18</f>
        <v>20</v>
      </c>
      <c r="M18" s="78"/>
      <c r="N18" s="225">
        <f>VLOOKUP(C18,'Sales Master'!$B$3:$DA$3038,104,0)</f>
        <v>6.916666666666667</v>
      </c>
      <c r="O18" s="225">
        <f>K18-N18</f>
        <v>3.083333333333333</v>
      </c>
      <c r="P18" s="225">
        <f>O18*G18</f>
        <v>6.1666666666666661</v>
      </c>
    </row>
    <row r="19" spans="2:16" ht="20.149999999999999" customHeight="1" x14ac:dyDescent="0.45">
      <c r="B19" s="34"/>
      <c r="C19" s="22"/>
      <c r="D19" s="508"/>
      <c r="E19" s="508"/>
      <c r="F19" s="508"/>
      <c r="G19" s="90"/>
      <c r="H19" s="389"/>
      <c r="I19" s="482"/>
      <c r="J19" s="482"/>
      <c r="K19" s="35"/>
      <c r="L19" s="77"/>
      <c r="M19" s="78"/>
      <c r="N19" s="225"/>
      <c r="O19" s="225"/>
      <c r="P19" s="225"/>
    </row>
    <row r="20" spans="2:16" ht="20.149999999999999" customHeight="1" x14ac:dyDescent="0.45">
      <c r="B20" s="34"/>
      <c r="C20" s="22"/>
      <c r="D20" s="508"/>
      <c r="E20" s="508"/>
      <c r="F20" s="508"/>
      <c r="G20" s="90"/>
      <c r="H20" s="389"/>
      <c r="I20" s="482"/>
      <c r="J20" s="482"/>
      <c r="K20" s="35"/>
      <c r="L20" s="77"/>
      <c r="M20" s="78"/>
      <c r="N20" s="225"/>
      <c r="O20" s="225"/>
      <c r="P20" s="225"/>
    </row>
    <row r="21" spans="2:16" ht="20.149999999999999" customHeight="1" x14ac:dyDescent="0.45">
      <c r="B21" s="34"/>
      <c r="C21" s="22"/>
      <c r="D21" s="508"/>
      <c r="E21" s="508"/>
      <c r="F21" s="508"/>
      <c r="G21" s="90"/>
      <c r="H21" s="389"/>
      <c r="I21" s="482"/>
      <c r="J21" s="482"/>
      <c r="K21" s="35"/>
      <c r="L21" s="77"/>
      <c r="M21" s="78"/>
      <c r="N21" s="225"/>
      <c r="O21" s="225"/>
      <c r="P21" s="225"/>
    </row>
    <row r="22" spans="2:16" ht="20.149999999999999" customHeight="1" x14ac:dyDescent="0.45">
      <c r="B22" s="34"/>
      <c r="C22" s="22"/>
      <c r="D22" s="508"/>
      <c r="E22" s="508"/>
      <c r="F22" s="508"/>
      <c r="G22" s="90"/>
      <c r="H22" s="389"/>
      <c r="I22" s="482"/>
      <c r="J22" s="482"/>
      <c r="K22" s="35"/>
      <c r="L22" s="77"/>
      <c r="M22" s="78"/>
      <c r="N22" s="225"/>
      <c r="O22" s="225"/>
      <c r="P22" s="225"/>
    </row>
    <row r="23" spans="2:16" ht="20.149999999999999" customHeight="1" x14ac:dyDescent="0.45">
      <c r="B23" s="34"/>
      <c r="C23" s="22"/>
      <c r="D23" s="508"/>
      <c r="E23" s="508"/>
      <c r="F23" s="508"/>
      <c r="G23" s="90"/>
      <c r="H23" s="68"/>
      <c r="I23" s="481"/>
      <c r="J23" s="481"/>
      <c r="K23" s="35"/>
      <c r="L23" s="77"/>
      <c r="M23" s="78"/>
      <c r="N23" s="225"/>
      <c r="O23" s="225"/>
      <c r="P23" s="225"/>
    </row>
    <row r="24" spans="2:16" ht="20.149999999999999" customHeight="1" x14ac:dyDescent="0.45">
      <c r="B24" s="34"/>
      <c r="C24" s="22"/>
      <c r="D24" s="508"/>
      <c r="E24" s="508"/>
      <c r="F24" s="508"/>
      <c r="G24" s="90"/>
      <c r="H24" s="68"/>
      <c r="I24" s="481"/>
      <c r="J24" s="481"/>
      <c r="K24" s="35"/>
      <c r="L24" s="77"/>
      <c r="M24" s="78"/>
      <c r="N24" s="225"/>
      <c r="O24" s="225"/>
      <c r="P24" s="225"/>
    </row>
    <row r="25" spans="2:16" ht="20.149999999999999" customHeight="1" x14ac:dyDescent="0.45">
      <c r="B25" s="34"/>
      <c r="C25" s="22"/>
      <c r="D25" s="508"/>
      <c r="E25" s="508"/>
      <c r="F25" s="508"/>
      <c r="G25" s="90"/>
      <c r="H25" s="68"/>
      <c r="I25" s="481"/>
      <c r="J25" s="481"/>
      <c r="K25" s="35"/>
      <c r="L25" s="77"/>
      <c r="M25" s="78"/>
      <c r="N25" s="225"/>
      <c r="O25" s="225"/>
      <c r="P25" s="225"/>
    </row>
    <row r="26" spans="2:16" ht="20.149999999999999" customHeight="1" x14ac:dyDescent="0.45">
      <c r="B26" s="34"/>
      <c r="C26" s="22"/>
      <c r="D26" s="508"/>
      <c r="E26" s="508"/>
      <c r="F26" s="508"/>
      <c r="G26" s="90"/>
      <c r="H26" s="68"/>
      <c r="I26" s="481"/>
      <c r="J26" s="481"/>
      <c r="K26" s="35"/>
      <c r="L26" s="77"/>
      <c r="M26" s="78"/>
      <c r="N26" s="225"/>
      <c r="O26" s="225"/>
      <c r="P26" s="225"/>
    </row>
    <row r="27" spans="2:16" ht="20.149999999999999" customHeight="1" x14ac:dyDescent="0.45">
      <c r="B27" s="34"/>
      <c r="C27" s="22"/>
      <c r="D27" s="508"/>
      <c r="E27" s="508"/>
      <c r="F27" s="508"/>
      <c r="G27" s="90"/>
      <c r="H27" s="68"/>
      <c r="I27" s="481"/>
      <c r="J27" s="481"/>
      <c r="K27" s="35"/>
      <c r="L27" s="77"/>
      <c r="M27" s="78"/>
      <c r="N27" s="225"/>
      <c r="O27" s="225"/>
      <c r="P27" s="225"/>
    </row>
    <row r="28" spans="2:16" ht="20.149999999999999" customHeight="1" x14ac:dyDescent="0.45">
      <c r="B28" s="34"/>
      <c r="C28" s="22"/>
      <c r="D28" s="508"/>
      <c r="E28" s="508"/>
      <c r="F28" s="508"/>
      <c r="G28" s="90"/>
      <c r="H28" s="68"/>
      <c r="I28" s="481"/>
      <c r="J28" s="481"/>
      <c r="K28" s="35"/>
      <c r="L28" s="77"/>
      <c r="M28" s="78"/>
      <c r="N28" s="225"/>
      <c r="O28" s="225"/>
      <c r="P28" s="225"/>
    </row>
    <row r="29" spans="2:16" ht="20.149999999999999" customHeight="1" x14ac:dyDescent="0.45">
      <c r="B29" s="34"/>
      <c r="C29" s="22"/>
      <c r="D29" s="508"/>
      <c r="E29" s="508"/>
      <c r="F29" s="508"/>
      <c r="G29" s="90"/>
      <c r="H29" s="68"/>
      <c r="I29" s="481"/>
      <c r="J29" s="481"/>
      <c r="K29" s="35"/>
      <c r="L29" s="77"/>
      <c r="M29" s="78"/>
      <c r="N29" s="225"/>
      <c r="O29" s="225"/>
      <c r="P29" s="225"/>
    </row>
    <row r="30" spans="2:16" ht="20.149999999999999" customHeight="1" x14ac:dyDescent="0.45">
      <c r="B30" s="34"/>
      <c r="C30" s="22"/>
      <c r="D30" s="508"/>
      <c r="E30" s="508"/>
      <c r="F30" s="508"/>
      <c r="G30" s="90"/>
      <c r="H30" s="68"/>
      <c r="I30" s="481"/>
      <c r="J30" s="481"/>
      <c r="K30" s="35"/>
      <c r="L30" s="77"/>
      <c r="M30" s="78"/>
      <c r="N30" s="225"/>
      <c r="O30" s="225"/>
      <c r="P30" s="225"/>
    </row>
    <row r="31" spans="2:16" ht="20.149999999999999" customHeight="1" x14ac:dyDescent="0.45">
      <c r="B31" s="34"/>
      <c r="C31" s="22"/>
      <c r="D31" s="508"/>
      <c r="E31" s="508"/>
      <c r="F31" s="508"/>
      <c r="G31" s="90"/>
      <c r="H31" s="389"/>
      <c r="I31" s="512"/>
      <c r="J31" s="512"/>
      <c r="K31" s="35"/>
      <c r="L31" s="77"/>
      <c r="M31" s="78"/>
      <c r="N31" s="225"/>
      <c r="O31" s="225"/>
      <c r="P31" s="225"/>
    </row>
    <row r="32" spans="2:16" ht="20.149999999999999" customHeight="1" x14ac:dyDescent="0.45">
      <c r="B32" s="34"/>
      <c r="C32" s="22"/>
      <c r="D32" s="508"/>
      <c r="E32" s="508"/>
      <c r="F32" s="508"/>
      <c r="G32" s="90"/>
      <c r="H32" s="389"/>
      <c r="I32" s="512"/>
      <c r="J32" s="512"/>
      <c r="K32" s="35"/>
      <c r="L32" s="77"/>
      <c r="M32" s="78"/>
      <c r="N32" s="225"/>
      <c r="O32" s="225"/>
      <c r="P32" s="225"/>
    </row>
    <row r="33" spans="2:16" ht="20.149999999999999" customHeight="1" x14ac:dyDescent="0.45">
      <c r="B33" s="34"/>
      <c r="C33" s="22"/>
      <c r="D33" s="508"/>
      <c r="E33" s="508"/>
      <c r="F33" s="508"/>
      <c r="G33" s="90"/>
      <c r="H33" s="346"/>
      <c r="I33" s="481"/>
      <c r="J33" s="481"/>
      <c r="K33" s="35"/>
      <c r="L33" s="77"/>
      <c r="M33" s="78"/>
      <c r="N33" s="225"/>
      <c r="O33" s="225"/>
      <c r="P33" s="225"/>
    </row>
    <row r="34" spans="2:16" ht="20.149999999999999" customHeight="1" x14ac:dyDescent="0.45">
      <c r="B34" s="34"/>
      <c r="C34" s="22"/>
      <c r="G34" s="90"/>
      <c r="H34" s="346"/>
      <c r="I34" s="68"/>
      <c r="J34" s="68"/>
      <c r="K34" s="35"/>
      <c r="L34" s="77"/>
      <c r="M34" s="78"/>
      <c r="N34" s="225"/>
      <c r="O34" s="225"/>
      <c r="P34" s="225"/>
    </row>
    <row r="35" spans="2:16" ht="20.149999999999999" customHeight="1" thickBot="1" x14ac:dyDescent="0.5">
      <c r="B35" s="37"/>
      <c r="C35" s="38"/>
      <c r="D35" s="509"/>
      <c r="E35" s="509"/>
      <c r="F35" s="509"/>
      <c r="G35" s="38"/>
      <c r="H35" s="69"/>
      <c r="I35" s="451"/>
      <c r="J35" s="451"/>
      <c r="K35" s="39"/>
      <c r="L35" s="40"/>
    </row>
    <row r="36" spans="2:16" ht="20.149999999999999" customHeight="1" thickBot="1" x14ac:dyDescent="0.5">
      <c r="B36" s="41"/>
      <c r="L36" s="42"/>
    </row>
    <row r="37" spans="2:16" ht="20.149999999999999" customHeight="1" x14ac:dyDescent="0.45">
      <c r="B37" s="11" t="s">
        <v>18</v>
      </c>
      <c r="C37" s="7"/>
      <c r="D37" s="7"/>
      <c r="E37" s="7"/>
      <c r="F37" s="7"/>
      <c r="G37" s="7"/>
      <c r="H37" s="7"/>
      <c r="I37" s="7"/>
      <c r="J37" s="510" t="s">
        <v>15</v>
      </c>
      <c r="K37" s="511"/>
      <c r="L37" s="43">
        <f>SUM(L14:L33)</f>
        <v>20</v>
      </c>
      <c r="M37" s="76">
        <f>SUM(P18:P33)</f>
        <v>6.1666666666666661</v>
      </c>
      <c r="N37" s="201">
        <f>M37/L37</f>
        <v>0.30833333333333329</v>
      </c>
    </row>
    <row r="38" spans="2:16" ht="20.149999999999999" customHeight="1" x14ac:dyDescent="0.45">
      <c r="B38" s="11" t="s">
        <v>19</v>
      </c>
      <c r="C38" s="7"/>
      <c r="D38" s="7"/>
      <c r="E38" s="7"/>
      <c r="F38" s="7"/>
      <c r="G38" s="7"/>
      <c r="H38" s="7"/>
      <c r="I38" s="7"/>
      <c r="J38" s="44" t="s">
        <v>22</v>
      </c>
      <c r="K38" s="45"/>
      <c r="L38" s="46">
        <f>L37*K38</f>
        <v>0</v>
      </c>
    </row>
    <row r="39" spans="2:16" ht="20.149999999999999" customHeight="1" x14ac:dyDescent="0.45">
      <c r="B39" s="11" t="s">
        <v>20</v>
      </c>
      <c r="C39" s="7"/>
      <c r="D39" s="7"/>
      <c r="E39" s="7"/>
      <c r="F39" s="7"/>
      <c r="G39" s="7"/>
      <c r="H39" s="7"/>
      <c r="I39" s="7"/>
      <c r="J39" s="486" t="s">
        <v>21</v>
      </c>
      <c r="K39" s="487"/>
      <c r="L39" s="46">
        <f>L37-L38</f>
        <v>20</v>
      </c>
    </row>
    <row r="40" spans="2:16" ht="20.149999999999999" customHeight="1" x14ac:dyDescent="0.45">
      <c r="B40" s="11" t="s">
        <v>24</v>
      </c>
      <c r="C40" s="7"/>
      <c r="D40" s="7"/>
      <c r="E40" s="7"/>
      <c r="F40" s="7"/>
      <c r="G40" s="7"/>
      <c r="H40" s="7"/>
      <c r="I40" s="7"/>
      <c r="J40" s="150" t="s">
        <v>17</v>
      </c>
      <c r="K40" s="151">
        <v>7.0000000000000007E-2</v>
      </c>
      <c r="L40" s="47">
        <f>L39*K40</f>
        <v>1.4000000000000001</v>
      </c>
    </row>
    <row r="41" spans="2:16" ht="20.149999999999999" customHeight="1" thickBot="1" x14ac:dyDescent="0.5">
      <c r="B41" s="11" t="s">
        <v>25</v>
      </c>
      <c r="C41" s="7"/>
      <c r="D41" s="7"/>
      <c r="E41" s="7"/>
      <c r="F41" s="7"/>
      <c r="G41" s="7"/>
      <c r="H41" s="7"/>
      <c r="I41" s="7"/>
      <c r="J41" s="488" t="s">
        <v>23</v>
      </c>
      <c r="K41" s="489"/>
      <c r="L41" s="48">
        <f>L39+L40</f>
        <v>21.4</v>
      </c>
    </row>
    <row r="42" spans="2:16" ht="20.149999999999999" customHeight="1" x14ac:dyDescent="0.45">
      <c r="B42" s="11" t="s">
        <v>26</v>
      </c>
      <c r="C42" s="7"/>
      <c r="D42" s="7"/>
      <c r="E42" s="7"/>
      <c r="F42" s="7"/>
      <c r="G42" s="7"/>
      <c r="H42" s="7"/>
      <c r="I42" s="7"/>
      <c r="L42" s="42"/>
    </row>
    <row r="43" spans="2:16" ht="20.149999999999999" customHeight="1" x14ac:dyDescent="0.45">
      <c r="B43" s="41"/>
      <c r="L43" s="42"/>
    </row>
    <row r="44" spans="2:16" x14ac:dyDescent="0.45">
      <c r="B44" s="41"/>
      <c r="L44" s="42"/>
    </row>
    <row r="45" spans="2:16" ht="20.149999999999999" customHeight="1" x14ac:dyDescent="0.45">
      <c r="B45" s="41"/>
      <c r="L45" s="42"/>
    </row>
    <row r="46" spans="2:16" ht="20.149999999999999" customHeight="1" x14ac:dyDescent="0.45">
      <c r="B46" s="41"/>
      <c r="L46" s="42"/>
    </row>
    <row r="47" spans="2:16" x14ac:dyDescent="0.45">
      <c r="B47" s="49"/>
      <c r="C47" s="50"/>
      <c r="D47" s="50"/>
      <c r="J47" s="50"/>
      <c r="K47" s="50"/>
      <c r="L47" s="51"/>
    </row>
    <row r="48" spans="2:16" ht="20.149999999999999" customHeight="1" x14ac:dyDescent="0.45">
      <c r="B48" s="41" t="s">
        <v>27</v>
      </c>
      <c r="J48" s="24" t="s">
        <v>28</v>
      </c>
      <c r="L48" s="42"/>
    </row>
    <row r="49" spans="2:12" ht="19" thickBot="1" x14ac:dyDescent="0.5">
      <c r="B49" s="52"/>
      <c r="C49" s="53"/>
      <c r="D49" s="53"/>
      <c r="E49" s="53"/>
      <c r="F49" s="53"/>
      <c r="G49" s="53"/>
      <c r="H49" s="53"/>
      <c r="I49" s="53"/>
      <c r="J49" s="53"/>
      <c r="K49" s="53"/>
      <c r="L49" s="54"/>
    </row>
  </sheetData>
  <mergeCells count="52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D28:F28"/>
    <mergeCell ref="I28:J28"/>
    <mergeCell ref="D29:F29"/>
    <mergeCell ref="I29:J29"/>
    <mergeCell ref="D30:F30"/>
    <mergeCell ref="I30:J30"/>
    <mergeCell ref="D31:F31"/>
    <mergeCell ref="I31:J31"/>
    <mergeCell ref="D32:F32"/>
    <mergeCell ref="I32:J32"/>
    <mergeCell ref="J39:K39"/>
    <mergeCell ref="J41:K41"/>
    <mergeCell ref="D33:F33"/>
    <mergeCell ref="I33:J33"/>
    <mergeCell ref="D35:F35"/>
    <mergeCell ref="I35:J35"/>
    <mergeCell ref="J37:K37"/>
  </mergeCells>
  <pageMargins left="0.70866141732283472" right="0.31496062992125984" top="0.59055118110236227" bottom="0" header="0.31496062992125984" footer="0.31496062992125984"/>
  <pageSetup paperSize="9" scale="74" orientation="portrait" horizontalDpi="300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D6F231-266D-421D-9ED5-483AA6087FEB}">
  <sheetPr codeName="Sheet21">
    <tabColor rgb="FFFFC000"/>
    <pageSetUpPr fitToPage="1"/>
  </sheetPr>
  <dimension ref="B1:DA202"/>
  <sheetViews>
    <sheetView topLeftCell="A23" workbookViewId="0">
      <selection activeCell="B32" sqref="B32"/>
    </sheetView>
  </sheetViews>
  <sheetFormatPr defaultColWidth="12.54296875" defaultRowHeight="18.5" x14ac:dyDescent="0.45"/>
  <cols>
    <col min="1" max="1" width="12.54296875" style="24"/>
    <col min="2" max="2" width="15.54296875" style="24" customWidth="1"/>
    <col min="3" max="4" width="12.54296875" style="24" customWidth="1"/>
    <col min="5" max="5" width="1.54296875" style="24" customWidth="1"/>
    <col min="6" max="6" width="16.54296875" style="24" customWidth="1"/>
    <col min="7" max="7" width="8.54296875" style="24" customWidth="1"/>
    <col min="8" max="8" width="12.54296875" style="24" customWidth="1"/>
    <col min="9" max="9" width="2.54296875" style="24" customWidth="1"/>
    <col min="10" max="10" width="15.54296875" style="24" customWidth="1"/>
    <col min="11" max="11" width="12.54296875" style="24" customWidth="1"/>
    <col min="12" max="12" width="13.453125" style="24" bestFit="1" customWidth="1"/>
    <col min="13" max="13" width="13.7265625" style="24" bestFit="1" customWidth="1"/>
    <col min="14" max="14" width="12.81640625" style="24" bestFit="1" customWidth="1"/>
    <col min="15" max="15" width="12.54296875" style="24"/>
    <col min="16" max="16" width="13.7265625" style="24" bestFit="1" customWidth="1"/>
    <col min="17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191"/>
      <c r="C9" s="191"/>
      <c r="D9" s="191"/>
      <c r="E9" s="191"/>
      <c r="F9" s="191"/>
      <c r="G9" s="191"/>
      <c r="H9" s="191"/>
      <c r="I9" s="191"/>
      <c r="J9" s="191"/>
      <c r="K9" s="191"/>
      <c r="L9" s="191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366</v>
      </c>
      <c r="J10" s="29" t="s">
        <v>29</v>
      </c>
      <c r="K10" s="452">
        <v>202210037</v>
      </c>
      <c r="L10" s="453"/>
    </row>
    <row r="11" spans="2:12" ht="20.149999999999999" customHeight="1" x14ac:dyDescent="0.45">
      <c r="B11" s="454" t="s">
        <v>1375</v>
      </c>
      <c r="C11" s="455"/>
      <c r="D11" s="456"/>
      <c r="E11" s="30"/>
      <c r="F11" s="457" t="str">
        <f>VLOOKUP(H10,'Delivery Location'!A$4:N$416,2,0)</f>
        <v xml:space="preserve">KOPITIAM INVESTMENT PTE LTD                      Block 15, Woodlands Loop.                #01-28, Singapore   738322.           </v>
      </c>
      <c r="G11" s="458"/>
      <c r="H11" s="459"/>
      <c r="J11" s="31" t="s">
        <v>11</v>
      </c>
      <c r="K11" s="466">
        <v>44837</v>
      </c>
      <c r="L11" s="467"/>
    </row>
    <row r="12" spans="2:12" ht="20.149999999999999" customHeight="1" x14ac:dyDescent="0.45">
      <c r="B12" s="468" t="s">
        <v>2119</v>
      </c>
      <c r="C12" s="469"/>
      <c r="D12" s="470"/>
      <c r="E12" s="30"/>
      <c r="F12" s="460"/>
      <c r="G12" s="461"/>
      <c r="H12" s="462"/>
      <c r="J12" s="31" t="s">
        <v>171</v>
      </c>
      <c r="K12" s="471">
        <v>4310240406</v>
      </c>
      <c r="L12" s="472"/>
    </row>
    <row r="13" spans="2:12" ht="20.149999999999999" customHeight="1" x14ac:dyDescent="0.45">
      <c r="B13" s="468" t="s">
        <v>2120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14</v>
      </c>
      <c r="L13" s="472"/>
    </row>
    <row r="14" spans="2:12" ht="20.149999999999999" customHeight="1" x14ac:dyDescent="0.45">
      <c r="B14" s="468" t="s">
        <v>2121</v>
      </c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552" t="s">
        <v>2122</v>
      </c>
      <c r="C15" s="474"/>
      <c r="D15" s="475"/>
      <c r="E15" s="26"/>
      <c r="F15" s="463"/>
      <c r="G15" s="464"/>
      <c r="H15" s="465"/>
      <c r="J15" s="32" t="s">
        <v>1405</v>
      </c>
      <c r="K15" s="476">
        <v>10122506</v>
      </c>
      <c r="L15" s="477"/>
    </row>
    <row r="16" spans="2:12" ht="19" thickBot="1" x14ac:dyDescent="0.5">
      <c r="J16" s="22"/>
    </row>
    <row r="17" spans="2:16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8" t="s">
        <v>622</v>
      </c>
      <c r="I17" s="478" t="s">
        <v>621</v>
      </c>
      <c r="J17" s="479"/>
      <c r="K17" s="9" t="s">
        <v>6</v>
      </c>
      <c r="L17" s="10" t="s">
        <v>7</v>
      </c>
      <c r="N17" s="383" t="s">
        <v>2138</v>
      </c>
      <c r="O17" s="383" t="s">
        <v>2141</v>
      </c>
      <c r="P17" s="383" t="s">
        <v>2142</v>
      </c>
    </row>
    <row r="18" spans="2:16" ht="20.149999999999999" customHeight="1" x14ac:dyDescent="0.45">
      <c r="B18" s="34">
        <v>4000005590</v>
      </c>
      <c r="C18" s="22" t="str">
        <f>VLOOKUP(B18,'Sales Master'!A$3:B$581,2,0)</f>
        <v>P3009</v>
      </c>
      <c r="D18" s="508" t="str">
        <f>VLOOKUP(C18,'Sales Master'!B$3:D$499,2,)</f>
        <v>Green Bean 绿豆</v>
      </c>
      <c r="E18" s="508"/>
      <c r="F18" s="508"/>
      <c r="G18" s="22">
        <v>6</v>
      </c>
      <c r="H18" s="68"/>
      <c r="I18" s="482" t="str">
        <f>VLOOKUP(C18,'Sales Master'!$B$3:F$590,5,0)</f>
        <v>25 kgs/Bag</v>
      </c>
      <c r="J18" s="482"/>
      <c r="K18" s="94">
        <f>VLOOKUP(C18,'Sales Master'!$B$3:$K$3161,10,0)</f>
        <v>55</v>
      </c>
      <c r="L18" s="77">
        <f>K18*G18</f>
        <v>330</v>
      </c>
      <c r="N18" s="225">
        <f>VLOOKUP(C18,'Sales Master'!$B$3:$DA$3038,104,0)</f>
        <v>47.5</v>
      </c>
      <c r="O18" s="225">
        <f>K18-N18</f>
        <v>7.5</v>
      </c>
      <c r="P18" s="225">
        <f>O18*G18</f>
        <v>45</v>
      </c>
    </row>
    <row r="19" spans="2:16" ht="20.149999999999999" customHeight="1" x14ac:dyDescent="0.45">
      <c r="B19" s="34">
        <v>4000005592</v>
      </c>
      <c r="C19" s="22" t="str">
        <f>VLOOKUP(B19,'Sales Master'!A$3:B$581,2,0)</f>
        <v>P3013</v>
      </c>
      <c r="D19" s="508" t="str">
        <f>VLOOKUP(C19,'Sales Master'!B$3:D$499,2,)</f>
        <v>Black Glutinous Rice 黑糯米</v>
      </c>
      <c r="E19" s="508"/>
      <c r="F19" s="508"/>
      <c r="G19" s="22">
        <v>6</v>
      </c>
      <c r="H19" s="68"/>
      <c r="I19" s="482" t="str">
        <f>VLOOKUP(C19,'Sales Master'!$B$3:F$590,5,0)</f>
        <v>25 kgs/Bag</v>
      </c>
      <c r="J19" s="482"/>
      <c r="K19" s="94">
        <f>VLOOKUP(C19,'Sales Master'!$B$3:$K$3161,10,0)</f>
        <v>77</v>
      </c>
      <c r="L19" s="77">
        <f>K19*G19</f>
        <v>462</v>
      </c>
      <c r="N19" s="225">
        <f>VLOOKUP(C19,'Sales Master'!$B$3:$DA$3038,104,0)</f>
        <v>60</v>
      </c>
      <c r="O19" s="225">
        <f>K19-N19</f>
        <v>17</v>
      </c>
      <c r="P19" s="225">
        <f>O19*G19</f>
        <v>102</v>
      </c>
    </row>
    <row r="20" spans="2:16" ht="20.149999999999999" customHeight="1" x14ac:dyDescent="0.45">
      <c r="B20" s="34">
        <v>4000005588</v>
      </c>
      <c r="C20" s="22" t="str">
        <f>VLOOKUP(B20,'Sales Master'!A$3:B$581,2,0)</f>
        <v>P3012</v>
      </c>
      <c r="D20" s="508" t="str">
        <f>VLOOKUP(C20,'Sales Master'!B$3:D$499,2,)</f>
        <v>Split Green Mung Bean豆畔</v>
      </c>
      <c r="E20" s="508"/>
      <c r="F20" s="508"/>
      <c r="G20" s="22">
        <v>3</v>
      </c>
      <c r="H20" s="68"/>
      <c r="I20" s="482" t="str">
        <f>VLOOKUP(C20,'Sales Master'!$B$3:F$590,5,0)</f>
        <v>30 kgs/Bag</v>
      </c>
      <c r="J20" s="482"/>
      <c r="K20" s="94">
        <f>VLOOKUP(C20,'Sales Master'!$B$3:$K$3161,10,0)</f>
        <v>78</v>
      </c>
      <c r="L20" s="77">
        <f t="shared" ref="L20" si="0">K20*G20</f>
        <v>234</v>
      </c>
      <c r="N20" s="225">
        <f>VLOOKUP(C20,'Sales Master'!$B$3:$DA$3038,104,0)</f>
        <v>73</v>
      </c>
      <c r="O20" s="225">
        <f t="shared" ref="O20" si="1">K20-N20</f>
        <v>5</v>
      </c>
      <c r="P20" s="225">
        <f t="shared" ref="P20" si="2">O20*G20</f>
        <v>15</v>
      </c>
    </row>
    <row r="21" spans="2:16" ht="20.149999999999999" customHeight="1" x14ac:dyDescent="0.45">
      <c r="B21" s="34"/>
      <c r="C21" s="22"/>
      <c r="D21" s="508"/>
      <c r="E21" s="508"/>
      <c r="F21" s="508"/>
      <c r="G21" s="22"/>
      <c r="H21" s="68"/>
      <c r="I21" s="482"/>
      <c r="J21" s="482"/>
      <c r="K21" s="94"/>
      <c r="L21" s="77"/>
      <c r="N21" s="225"/>
      <c r="O21" s="225"/>
      <c r="P21" s="225"/>
    </row>
    <row r="22" spans="2:16" ht="20.149999999999999" customHeight="1" x14ac:dyDescent="0.45">
      <c r="B22" s="34"/>
      <c r="C22" s="22"/>
      <c r="D22" s="508"/>
      <c r="E22" s="508"/>
      <c r="F22" s="508"/>
      <c r="G22" s="22"/>
      <c r="H22" s="68"/>
      <c r="I22" s="481"/>
      <c r="J22" s="481"/>
      <c r="K22" s="94"/>
      <c r="L22" s="77"/>
      <c r="N22" s="225"/>
      <c r="O22" s="225"/>
      <c r="P22" s="225"/>
    </row>
    <row r="23" spans="2:16" ht="20.149999999999999" customHeight="1" x14ac:dyDescent="0.45">
      <c r="B23" s="34"/>
      <c r="C23" s="22"/>
      <c r="G23" s="22"/>
      <c r="H23" s="68"/>
      <c r="I23" s="68"/>
      <c r="J23" s="68"/>
      <c r="K23" s="94"/>
      <c r="L23" s="77"/>
      <c r="N23" s="225"/>
      <c r="O23" s="225"/>
      <c r="P23" s="225"/>
    </row>
    <row r="24" spans="2:16" ht="20.149999999999999" customHeight="1" x14ac:dyDescent="0.45">
      <c r="B24" s="34"/>
      <c r="C24" s="22"/>
      <c r="G24" s="22"/>
      <c r="H24" s="68"/>
      <c r="I24" s="68"/>
      <c r="J24" s="68"/>
      <c r="K24" s="94"/>
      <c r="L24" s="77"/>
      <c r="N24" s="225"/>
      <c r="O24" s="225"/>
      <c r="P24" s="225"/>
    </row>
    <row r="25" spans="2:16" ht="20.149999999999999" customHeight="1" x14ac:dyDescent="0.45">
      <c r="B25" s="34"/>
      <c r="C25" s="22"/>
      <c r="G25" s="22"/>
      <c r="H25" s="68"/>
      <c r="I25" s="68"/>
      <c r="J25" s="68"/>
      <c r="K25" s="94"/>
      <c r="L25" s="77"/>
      <c r="N25" s="225"/>
      <c r="O25" s="225"/>
      <c r="P25" s="225"/>
    </row>
    <row r="26" spans="2:16" ht="20.149999999999999" customHeight="1" x14ac:dyDescent="0.45">
      <c r="B26" s="34"/>
      <c r="C26" s="22"/>
      <c r="G26" s="22"/>
      <c r="H26" s="68"/>
      <c r="I26" s="68"/>
      <c r="J26" s="68"/>
      <c r="K26" s="94"/>
      <c r="L26" s="77"/>
      <c r="N26" s="225"/>
      <c r="O26" s="225"/>
      <c r="P26" s="225"/>
    </row>
    <row r="27" spans="2:16" ht="20.149999999999999" customHeight="1" x14ac:dyDescent="0.45">
      <c r="B27" s="34"/>
      <c r="C27" s="22"/>
      <c r="D27" s="508"/>
      <c r="E27" s="508"/>
      <c r="F27" s="508"/>
      <c r="G27" s="22"/>
      <c r="H27" s="68"/>
      <c r="I27" s="481"/>
      <c r="J27" s="481"/>
      <c r="K27" s="94"/>
      <c r="L27" s="77"/>
      <c r="N27" s="225"/>
      <c r="O27" s="225"/>
      <c r="P27" s="225"/>
    </row>
    <row r="28" spans="2:16" ht="20.149999999999999" customHeight="1" thickBot="1" x14ac:dyDescent="0.5">
      <c r="B28" s="37"/>
      <c r="C28" s="38"/>
      <c r="D28" s="509"/>
      <c r="E28" s="509"/>
      <c r="F28" s="509"/>
      <c r="G28" s="38"/>
      <c r="H28" s="69"/>
      <c r="I28" s="451"/>
      <c r="J28" s="451"/>
      <c r="K28" s="39"/>
      <c r="L28" s="40"/>
      <c r="N28" s="225"/>
      <c r="O28" s="225"/>
      <c r="P28" s="225"/>
    </row>
    <row r="29" spans="2:16" ht="20.149999999999999" customHeight="1" thickBot="1" x14ac:dyDescent="0.5">
      <c r="B29" s="41"/>
      <c r="L29" s="42"/>
      <c r="N29" s="225"/>
      <c r="O29" s="225"/>
      <c r="P29" s="225"/>
    </row>
    <row r="30" spans="2:16" ht="20.149999999999999" customHeight="1" x14ac:dyDescent="0.45">
      <c r="B30" s="11" t="s">
        <v>18</v>
      </c>
      <c r="C30" s="7"/>
      <c r="D30" s="7"/>
      <c r="E30" s="7"/>
      <c r="F30" s="7"/>
      <c r="G30" s="7"/>
      <c r="H30" s="7"/>
      <c r="I30" s="7"/>
      <c r="J30" s="510" t="s">
        <v>15</v>
      </c>
      <c r="K30" s="511"/>
      <c r="L30" s="43">
        <f>SUM(L17:L29)</f>
        <v>1026</v>
      </c>
      <c r="M30" s="76">
        <f>SUM(P18:P28)</f>
        <v>162</v>
      </c>
      <c r="N30" s="201">
        <f>M30/L30</f>
        <v>0.15789473684210525</v>
      </c>
      <c r="P30" s="201"/>
    </row>
    <row r="31" spans="2:16" ht="20.149999999999999" customHeight="1" x14ac:dyDescent="0.45">
      <c r="B31" s="11" t="s">
        <v>19</v>
      </c>
      <c r="C31" s="7"/>
      <c r="D31" s="7"/>
      <c r="E31" s="7"/>
      <c r="F31" s="7"/>
      <c r="G31" s="7"/>
      <c r="H31" s="7"/>
      <c r="I31" s="7"/>
      <c r="J31" s="44" t="s">
        <v>22</v>
      </c>
      <c r="K31" s="45"/>
      <c r="L31" s="46">
        <f>L30*K31</f>
        <v>0</v>
      </c>
    </row>
    <row r="32" spans="2:16" ht="20.149999999999999" customHeight="1" x14ac:dyDescent="0.45">
      <c r="B32" s="11" t="s">
        <v>20</v>
      </c>
      <c r="C32" s="7"/>
      <c r="D32" s="7"/>
      <c r="E32" s="7"/>
      <c r="F32" s="7"/>
      <c r="G32" s="7"/>
      <c r="H32" s="7"/>
      <c r="I32" s="7"/>
      <c r="J32" s="486" t="s">
        <v>21</v>
      </c>
      <c r="K32" s="487"/>
      <c r="L32" s="46">
        <f>L30-L31</f>
        <v>1026</v>
      </c>
    </row>
    <row r="33" spans="2:12" ht="20.149999999999999" customHeight="1" x14ac:dyDescent="0.45">
      <c r="B33" s="11" t="s">
        <v>24</v>
      </c>
      <c r="C33" s="7"/>
      <c r="D33" s="7"/>
      <c r="E33" s="7"/>
      <c r="F33" s="7"/>
      <c r="G33" s="7"/>
      <c r="H33" s="7"/>
      <c r="I33" s="7"/>
      <c r="J33" s="150" t="s">
        <v>17</v>
      </c>
      <c r="K33" s="151">
        <v>7.0000000000000007E-2</v>
      </c>
      <c r="L33" s="47">
        <f>L32*K33</f>
        <v>71.820000000000007</v>
      </c>
    </row>
    <row r="34" spans="2:12" ht="20.149999999999999" customHeight="1" thickBot="1" x14ac:dyDescent="0.5">
      <c r="B34" s="11" t="s">
        <v>1400</v>
      </c>
      <c r="C34" s="7"/>
      <c r="D34" s="7"/>
      <c r="E34" s="7"/>
      <c r="F34" s="7"/>
      <c r="G34" s="7"/>
      <c r="H34" s="7"/>
      <c r="I34" s="7"/>
      <c r="J34" s="488" t="s">
        <v>23</v>
      </c>
      <c r="K34" s="489"/>
      <c r="L34" s="48">
        <f>L32+L33</f>
        <v>1097.82</v>
      </c>
    </row>
    <row r="35" spans="2:12" ht="20.149999999999999" customHeight="1" x14ac:dyDescent="0.45">
      <c r="B35" s="11" t="s">
        <v>26</v>
      </c>
      <c r="C35" s="7"/>
      <c r="D35" s="7"/>
      <c r="E35" s="7"/>
      <c r="F35" s="7"/>
      <c r="G35" s="7"/>
      <c r="H35" s="7"/>
      <c r="I35" s="7"/>
      <c r="L35" s="42" t="s">
        <v>720</v>
      </c>
    </row>
    <row r="36" spans="2:12" ht="20.149999999999999" customHeight="1" x14ac:dyDescent="0.45">
      <c r="B36" s="224" t="s">
        <v>1379</v>
      </c>
      <c r="L36" s="42"/>
    </row>
    <row r="37" spans="2:12" ht="20.149999999999999" customHeight="1" x14ac:dyDescent="0.45">
      <c r="B37" s="41"/>
      <c r="L37" s="42"/>
    </row>
    <row r="38" spans="2:12" ht="20.149999999999999" customHeight="1" x14ac:dyDescent="0.45">
      <c r="B38" s="41"/>
      <c r="J38" s="50"/>
      <c r="K38" s="50"/>
      <c r="L38" s="51"/>
    </row>
    <row r="39" spans="2:12" ht="20.149999999999999" customHeight="1" x14ac:dyDescent="0.45">
      <c r="B39" s="41"/>
      <c r="J39" s="24" t="s">
        <v>28</v>
      </c>
      <c r="L39" s="42"/>
    </row>
    <row r="40" spans="2:12" ht="20.149999999999999" customHeight="1" x14ac:dyDescent="0.45">
      <c r="B40" s="49"/>
      <c r="C40" s="50"/>
      <c r="D40" s="50"/>
      <c r="J40" s="24" t="s">
        <v>1419</v>
      </c>
      <c r="L40" s="42"/>
    </row>
    <row r="41" spans="2:12" ht="20.149999999999999" customHeight="1" x14ac:dyDescent="0.45">
      <c r="B41" s="41" t="s">
        <v>27</v>
      </c>
      <c r="J41" s="24" t="s">
        <v>1420</v>
      </c>
      <c r="L41" s="42"/>
    </row>
    <row r="42" spans="2:12" ht="19" thickBot="1" x14ac:dyDescent="0.5">
      <c r="B42" s="52"/>
      <c r="C42" s="53"/>
      <c r="D42" s="53"/>
      <c r="E42" s="53"/>
      <c r="F42" s="53"/>
      <c r="G42" s="53"/>
      <c r="H42" s="53"/>
      <c r="I42" s="53"/>
      <c r="J42" s="53"/>
      <c r="K42" s="53"/>
      <c r="L42" s="54"/>
    </row>
    <row r="43" spans="2:12" ht="20.5" x14ac:dyDescent="0.45">
      <c r="F43" s="427"/>
    </row>
    <row r="190" spans="105:105" x14ac:dyDescent="0.45">
      <c r="DA190" s="396">
        <v>4.3</v>
      </c>
    </row>
    <row r="194" spans="105:105" x14ac:dyDescent="0.45">
      <c r="DA194" s="398">
        <f>2.9*5</f>
        <v>14.5</v>
      </c>
    </row>
    <row r="195" spans="105:105" x14ac:dyDescent="0.45">
      <c r="DA195" s="398">
        <f>2.9*2</f>
        <v>5.8</v>
      </c>
    </row>
    <row r="198" spans="105:105" x14ac:dyDescent="0.45">
      <c r="DA198" s="125"/>
    </row>
    <row r="199" spans="105:105" x14ac:dyDescent="0.45">
      <c r="DA199" s="125"/>
    </row>
    <row r="200" spans="105:105" x14ac:dyDescent="0.45">
      <c r="DA200" s="125">
        <f>DA198/60</f>
        <v>0</v>
      </c>
    </row>
    <row r="201" spans="105:105" x14ac:dyDescent="0.45">
      <c r="DA201" s="125">
        <v>100</v>
      </c>
    </row>
    <row r="202" spans="105:105" x14ac:dyDescent="0.45">
      <c r="DA202" s="125"/>
    </row>
  </sheetData>
  <mergeCells count="32">
    <mergeCell ref="D17:F17"/>
    <mergeCell ref="I17:J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  <mergeCell ref="J34:K34"/>
    <mergeCell ref="D28:F28"/>
    <mergeCell ref="I28:J28"/>
    <mergeCell ref="D27:F27"/>
    <mergeCell ref="I27:J27"/>
    <mergeCell ref="J30:K30"/>
    <mergeCell ref="J32:K32"/>
    <mergeCell ref="I22:J22"/>
    <mergeCell ref="I18:J18"/>
    <mergeCell ref="D18:F18"/>
    <mergeCell ref="D19:F19"/>
    <mergeCell ref="I19:J19"/>
    <mergeCell ref="D20:F20"/>
    <mergeCell ref="I20:J20"/>
    <mergeCell ref="D21:F21"/>
    <mergeCell ref="I21:J21"/>
    <mergeCell ref="D22:F22"/>
  </mergeCells>
  <pageMargins left="0.70866141732283472" right="0.31496062992125984" top="0.59055118110236227" bottom="0" header="0.31496062992125984" footer="0.31496062992125984"/>
  <pageSetup paperSize="9" scale="75" orientation="portrait" horizontalDpi="300" verticalDpi="30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6BE24A-0FDB-411A-92AE-C6B2FF5107B4}">
  <sheetPr codeName="Sheet195">
    <tabColor rgb="FF996600"/>
    <pageSetUpPr fitToPage="1"/>
  </sheetPr>
  <dimension ref="B1:V46"/>
  <sheetViews>
    <sheetView topLeftCell="A18" zoomScaleNormal="100" workbookViewId="0">
      <selection activeCell="K28" sqref="K28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9" style="24" customWidth="1"/>
    <col min="7" max="7" width="8.54296875" style="24" customWidth="1"/>
    <col min="8" max="8" width="15.54296875" style="24" customWidth="1"/>
    <col min="9" max="9" width="2" style="24" customWidth="1"/>
    <col min="10" max="10" width="15.54296875" style="24" customWidth="1"/>
    <col min="11" max="11" width="10.54296875" style="24" customWidth="1"/>
    <col min="12" max="12" width="12.54296875" style="24" customWidth="1"/>
    <col min="13" max="16384" width="12.54296875" style="24"/>
  </cols>
  <sheetData>
    <row r="1" spans="2:17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7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7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7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7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7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7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7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7" ht="19" thickBot="1" x14ac:dyDescent="0.5">
      <c r="B9" s="23"/>
    </row>
    <row r="10" spans="2:17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2058</v>
      </c>
      <c r="J10" s="29" t="s">
        <v>29</v>
      </c>
      <c r="K10" s="452">
        <v>202210012</v>
      </c>
      <c r="L10" s="453"/>
    </row>
    <row r="11" spans="2:17" ht="20.149999999999999" customHeight="1" x14ac:dyDescent="0.45">
      <c r="B11" s="454" t="s">
        <v>2050</v>
      </c>
      <c r="C11" s="455"/>
      <c r="D11" s="456"/>
      <c r="E11" s="30"/>
      <c r="F11" s="457" t="str">
        <f>VLOOKUP(H10,'Delivery Location'!A$4:N$416,2,0)</f>
        <v xml:space="preserve">FOOD REPUBLIC PTE LTD                                   Vivo City @Juice Bar #20                                         1, Harbourfront Walk #03-01, VivoCity   Singapore 098585                           </v>
      </c>
      <c r="G11" s="458"/>
      <c r="H11" s="459"/>
      <c r="J11" s="31" t="s">
        <v>11</v>
      </c>
      <c r="K11" s="466">
        <v>44835</v>
      </c>
      <c r="L11" s="467"/>
    </row>
    <row r="12" spans="2:17" ht="20.149999999999999" customHeight="1" x14ac:dyDescent="0.45">
      <c r="B12" s="468" t="s">
        <v>2051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533</v>
      </c>
      <c r="L12" s="472"/>
    </row>
    <row r="13" spans="2:17" ht="20.149999999999999" customHeight="1" x14ac:dyDescent="0.45">
      <c r="B13" s="468" t="s">
        <v>2052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14</v>
      </c>
      <c r="L13" s="472"/>
    </row>
    <row r="14" spans="2:17" ht="20.149999999999999" customHeight="1" x14ac:dyDescent="0.45">
      <c r="B14" s="468" t="s">
        <v>2053</v>
      </c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7" ht="18" customHeight="1" thickBot="1" x14ac:dyDescent="0.5">
      <c r="B15" s="463" t="s">
        <v>2026</v>
      </c>
      <c r="C15" s="464"/>
      <c r="D15" s="465"/>
      <c r="E15" s="26"/>
      <c r="F15" s="463"/>
      <c r="G15" s="464"/>
      <c r="H15" s="465"/>
      <c r="J15" s="32" t="s">
        <v>13</v>
      </c>
      <c r="K15" s="476"/>
      <c r="L15" s="477"/>
      <c r="N15" s="22" t="s">
        <v>2044</v>
      </c>
      <c r="O15" s="508" t="e">
        <f>VLOOKUP(N15,'Sales Master'!M$3:O$499,2,)</f>
        <v>#N/A</v>
      </c>
      <c r="P15" s="508"/>
      <c r="Q15" s="508"/>
    </row>
    <row r="16" spans="2:17" ht="19" thickBot="1" x14ac:dyDescent="0.5">
      <c r="J16" s="22"/>
    </row>
    <row r="17" spans="2:22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22" ht="20.149999999999999" customHeight="1" x14ac:dyDescent="0.45">
      <c r="B18" s="70"/>
      <c r="C18" s="22" t="s">
        <v>2242</v>
      </c>
      <c r="D18" s="508" t="str">
        <f>VLOOKUP(C18,'Sales Master'!B$3:D$499,2,)</f>
        <v>ROCK SUGAR SYRUP</v>
      </c>
      <c r="E18" s="508"/>
      <c r="F18" s="508"/>
      <c r="G18" s="90">
        <v>16</v>
      </c>
      <c r="H18" s="386" t="str">
        <f>VLOOKUP(C18,'Sales Master'!$B$3:$F$3179,5,0)</f>
        <v>5 KG</v>
      </c>
      <c r="I18" s="513" t="str">
        <f>VLOOKUP(C18,'Sales Master'!$B$3:$E$3179,4,0)</f>
        <v>DO!</v>
      </c>
      <c r="J18" s="513"/>
      <c r="K18" s="98">
        <f>VLOOKUP(C18,'Sales Master'!B$3:I$581,8,0)</f>
        <v>8.5</v>
      </c>
      <c r="L18" s="99">
        <f>K18*G18</f>
        <v>136</v>
      </c>
      <c r="N18" s="225">
        <f>VLOOKUP(C18,'Sales Master'!$B$3:$DA$3038,104,0)</f>
        <v>5.5</v>
      </c>
      <c r="O18" s="225">
        <f>K18-N18</f>
        <v>3</v>
      </c>
      <c r="P18" s="225">
        <f>O18*G18</f>
        <v>48</v>
      </c>
      <c r="Q18" s="354"/>
      <c r="R18" s="125">
        <v>1</v>
      </c>
      <c r="S18" s="125" t="s">
        <v>260</v>
      </c>
      <c r="T18" s="125" t="s">
        <v>709</v>
      </c>
      <c r="U18" s="125"/>
      <c r="V18" s="125">
        <v>32</v>
      </c>
    </row>
    <row r="19" spans="2:22" ht="20.149999999999999" customHeight="1" x14ac:dyDescent="0.45">
      <c r="B19" s="34"/>
      <c r="C19" s="22" t="s">
        <v>2044</v>
      </c>
      <c r="D19" s="508" t="str">
        <f>VLOOKUP(C19,'Sales Master'!B$3:D$499,2,)</f>
        <v xml:space="preserve">DRIED ROSELLE </v>
      </c>
      <c r="E19" s="508"/>
      <c r="F19" s="508"/>
      <c r="G19" s="90">
        <v>5</v>
      </c>
      <c r="H19" s="386" t="str">
        <f>VLOOKUP(C19,'Sales Master'!$B$3:$F$3179,5,0)</f>
        <v>1 KG</v>
      </c>
      <c r="I19" s="513" t="str">
        <f>VLOOKUP(C19,'Sales Master'!$B$3:$E$3179,4,0)</f>
        <v>China</v>
      </c>
      <c r="J19" s="513"/>
      <c r="K19" s="98">
        <f>VLOOKUP(C19,'Sales Master'!B$3:I$581,8,0)</f>
        <v>20</v>
      </c>
      <c r="L19" s="99">
        <f>K19*G19</f>
        <v>100</v>
      </c>
      <c r="N19" s="225">
        <f>VLOOKUP(C19,'Sales Master'!$B$3:$DA$3038,104,0)</f>
        <v>13.5</v>
      </c>
      <c r="O19" s="225">
        <f>K19-N19</f>
        <v>6.5</v>
      </c>
      <c r="P19" s="225">
        <f>O19*G19</f>
        <v>32.5</v>
      </c>
      <c r="Q19" s="354"/>
    </row>
    <row r="20" spans="2:22" ht="20.149999999999999" customHeight="1" x14ac:dyDescent="0.45">
      <c r="B20" s="34"/>
      <c r="C20" s="22"/>
      <c r="D20" s="508"/>
      <c r="E20" s="508"/>
      <c r="F20" s="508"/>
      <c r="G20" s="90"/>
      <c r="H20" s="386"/>
      <c r="I20" s="513"/>
      <c r="J20" s="513"/>
      <c r="K20" s="98"/>
      <c r="L20" s="99"/>
      <c r="N20" s="225"/>
      <c r="O20" s="225"/>
      <c r="P20" s="225"/>
    </row>
    <row r="21" spans="2:22" ht="20.149999999999999" customHeight="1" x14ac:dyDescent="0.45">
      <c r="B21" s="34"/>
      <c r="C21" s="22"/>
      <c r="G21" s="90"/>
      <c r="H21" s="68"/>
      <c r="I21" s="68"/>
      <c r="J21" s="68"/>
      <c r="K21" s="35"/>
      <c r="L21" s="36"/>
    </row>
    <row r="22" spans="2:22" ht="20.149999999999999" customHeight="1" x14ac:dyDescent="0.45">
      <c r="B22" s="34"/>
      <c r="C22" s="22"/>
      <c r="G22" s="90"/>
      <c r="H22" s="68"/>
      <c r="I22" s="68"/>
      <c r="J22" s="68"/>
      <c r="K22" s="35"/>
      <c r="L22" s="36"/>
    </row>
    <row r="23" spans="2:22" ht="20.149999999999999" customHeight="1" x14ac:dyDescent="0.45">
      <c r="B23" s="34"/>
      <c r="C23" s="22"/>
      <c r="D23" s="508"/>
      <c r="E23" s="508"/>
      <c r="F23" s="508"/>
      <c r="G23" s="90"/>
      <c r="H23" s="68"/>
      <c r="I23" s="481"/>
      <c r="J23" s="481"/>
      <c r="K23" s="35"/>
      <c r="L23" s="36"/>
    </row>
    <row r="24" spans="2:22" ht="20.149999999999999" customHeight="1" x14ac:dyDescent="0.45">
      <c r="B24" s="34"/>
      <c r="C24" s="22"/>
      <c r="D24" s="508"/>
      <c r="E24" s="508"/>
      <c r="F24" s="508"/>
      <c r="G24" s="90"/>
      <c r="H24" s="68"/>
      <c r="I24" s="481"/>
      <c r="J24" s="481"/>
      <c r="K24" s="35"/>
      <c r="L24" s="36"/>
    </row>
    <row r="25" spans="2:22" ht="20.149999999999999" customHeight="1" x14ac:dyDescent="0.45">
      <c r="B25" s="34"/>
      <c r="C25" s="22"/>
      <c r="D25" s="508"/>
      <c r="E25" s="508"/>
      <c r="F25" s="508"/>
      <c r="G25" s="90"/>
      <c r="H25" s="68"/>
      <c r="I25" s="481"/>
      <c r="J25" s="481"/>
      <c r="K25" s="35"/>
      <c r="L25" s="36"/>
    </row>
    <row r="26" spans="2:22" ht="20.149999999999999" customHeight="1" x14ac:dyDescent="0.45">
      <c r="B26" s="34"/>
      <c r="C26" s="22"/>
      <c r="D26" s="508"/>
      <c r="E26" s="508"/>
      <c r="F26" s="508"/>
      <c r="G26" s="90"/>
      <c r="H26" s="68"/>
      <c r="I26" s="481"/>
      <c r="J26" s="481"/>
      <c r="K26" s="35"/>
      <c r="L26" s="36"/>
    </row>
    <row r="27" spans="2:22" ht="20.149999999999999" customHeight="1" x14ac:dyDescent="0.45">
      <c r="B27" s="34"/>
      <c r="C27" s="22"/>
      <c r="D27" s="508"/>
      <c r="E27" s="508"/>
      <c r="F27" s="508"/>
      <c r="G27" s="90"/>
      <c r="H27" s="68"/>
      <c r="I27" s="481"/>
      <c r="J27" s="481"/>
      <c r="K27" s="35"/>
      <c r="L27" s="36"/>
    </row>
    <row r="28" spans="2:22" ht="20.149999999999999" customHeight="1" x14ac:dyDescent="0.45">
      <c r="B28" s="34"/>
      <c r="C28" s="22"/>
      <c r="D28" s="508"/>
      <c r="E28" s="508"/>
      <c r="F28" s="508"/>
      <c r="G28" s="90"/>
      <c r="H28" s="68"/>
      <c r="I28" s="481"/>
      <c r="J28" s="481"/>
      <c r="K28" s="35"/>
      <c r="L28" s="36"/>
    </row>
    <row r="29" spans="2:22" ht="20.149999999999999" customHeight="1" x14ac:dyDescent="0.45">
      <c r="B29" s="34"/>
      <c r="C29" s="22"/>
      <c r="D29" s="508"/>
      <c r="E29" s="508"/>
      <c r="F29" s="508"/>
      <c r="G29" s="90"/>
      <c r="H29" s="68"/>
      <c r="I29" s="481"/>
      <c r="J29" s="481"/>
      <c r="K29" s="35"/>
      <c r="L29" s="36"/>
    </row>
    <row r="30" spans="2:22" ht="20.149999999999999" customHeight="1" x14ac:dyDescent="0.45">
      <c r="B30" s="34"/>
      <c r="C30" s="22"/>
      <c r="G30" s="90"/>
      <c r="H30" s="68"/>
      <c r="I30" s="68"/>
      <c r="J30" s="68"/>
      <c r="K30" s="35"/>
      <c r="L30" s="36"/>
    </row>
    <row r="31" spans="2:22" ht="20.149999999999999" customHeight="1" x14ac:dyDescent="0.45">
      <c r="B31" s="155"/>
      <c r="C31" s="156"/>
      <c r="D31" s="556"/>
      <c r="E31" s="556"/>
      <c r="F31" s="556"/>
      <c r="G31" s="156"/>
      <c r="H31" s="156"/>
      <c r="I31" s="189"/>
      <c r="J31" s="189"/>
      <c r="K31" s="163"/>
      <c r="L31" s="190"/>
    </row>
    <row r="32" spans="2:22" ht="20.149999999999999" customHeight="1" thickBot="1" x14ac:dyDescent="0.5">
      <c r="B32" s="41"/>
      <c r="L32" s="42"/>
    </row>
    <row r="33" spans="2:14" ht="20.149999999999999" customHeight="1" x14ac:dyDescent="0.45">
      <c r="B33" s="11" t="s">
        <v>18</v>
      </c>
      <c r="C33" s="7"/>
      <c r="D33" s="7"/>
      <c r="E33" s="7"/>
      <c r="F33" s="7"/>
      <c r="G33" s="7"/>
      <c r="H33" s="7"/>
      <c r="I33" s="7"/>
      <c r="J33" s="510" t="s">
        <v>15</v>
      </c>
      <c r="K33" s="511"/>
      <c r="L33" s="43">
        <f>SUM(L18:L32)</f>
        <v>236</v>
      </c>
      <c r="M33" s="76">
        <f>SUM(P18:P19)</f>
        <v>80.5</v>
      </c>
      <c r="N33" s="201">
        <f>M33/L33</f>
        <v>0.34110169491525422</v>
      </c>
    </row>
    <row r="34" spans="2:14" ht="20.149999999999999" customHeight="1" x14ac:dyDescent="0.45">
      <c r="B34" s="11" t="s">
        <v>19</v>
      </c>
      <c r="C34" s="7"/>
      <c r="D34" s="7"/>
      <c r="E34" s="7"/>
      <c r="F34" s="7"/>
      <c r="G34" s="7"/>
      <c r="H34" s="7"/>
      <c r="I34" s="7"/>
      <c r="J34" s="44" t="s">
        <v>22</v>
      </c>
      <c r="K34" s="45"/>
      <c r="L34" s="46">
        <f>L33*K34</f>
        <v>0</v>
      </c>
    </row>
    <row r="35" spans="2:14" ht="20.149999999999999" customHeight="1" x14ac:dyDescent="0.45">
      <c r="B35" s="11" t="s">
        <v>20</v>
      </c>
      <c r="C35" s="7"/>
      <c r="D35" s="7"/>
      <c r="E35" s="7"/>
      <c r="F35" s="7"/>
      <c r="G35" s="7"/>
      <c r="H35" s="7"/>
      <c r="I35" s="7"/>
      <c r="J35" s="486" t="s">
        <v>21</v>
      </c>
      <c r="K35" s="487"/>
      <c r="L35" s="46">
        <f>L33-L34</f>
        <v>236</v>
      </c>
    </row>
    <row r="36" spans="2:14" ht="20.149999999999999" customHeight="1" x14ac:dyDescent="0.45">
      <c r="B36" s="11" t="s">
        <v>24</v>
      </c>
      <c r="C36" s="7"/>
      <c r="D36" s="7"/>
      <c r="E36" s="7"/>
      <c r="F36" s="7"/>
      <c r="G36" s="7"/>
      <c r="H36" s="7"/>
      <c r="I36" s="7"/>
      <c r="J36" s="150" t="s">
        <v>17</v>
      </c>
      <c r="K36" s="151">
        <v>7.0000000000000007E-2</v>
      </c>
      <c r="L36" s="47">
        <f>L35*K36</f>
        <v>16.520000000000003</v>
      </c>
    </row>
    <row r="37" spans="2:14" ht="20.149999999999999" customHeight="1" thickBot="1" x14ac:dyDescent="0.5">
      <c r="B37" s="11" t="s">
        <v>1400</v>
      </c>
      <c r="C37" s="7"/>
      <c r="D37" s="7"/>
      <c r="E37" s="7"/>
      <c r="F37" s="7"/>
      <c r="G37" s="7"/>
      <c r="H37" s="7"/>
      <c r="I37" s="7"/>
      <c r="J37" s="488" t="s">
        <v>23</v>
      </c>
      <c r="K37" s="489"/>
      <c r="L37" s="48">
        <f>L35+L36</f>
        <v>252.52</v>
      </c>
    </row>
    <row r="38" spans="2:14" ht="20.149999999999999" customHeight="1" x14ac:dyDescent="0.45">
      <c r="B38" s="11" t="s">
        <v>26</v>
      </c>
      <c r="C38" s="7"/>
      <c r="D38" s="7"/>
      <c r="E38" s="7"/>
      <c r="F38" s="7"/>
      <c r="G38" s="7"/>
      <c r="H38" s="7"/>
      <c r="I38" s="7"/>
      <c r="L38" s="42"/>
    </row>
    <row r="39" spans="2:14" ht="20.149999999999999" customHeight="1" x14ac:dyDescent="0.45">
      <c r="B39" s="224" t="s">
        <v>1379</v>
      </c>
      <c r="L39" s="42"/>
    </row>
    <row r="40" spans="2:14" ht="20.149999999999999" customHeight="1" x14ac:dyDescent="0.45">
      <c r="B40" s="41"/>
      <c r="L40" s="42"/>
    </row>
    <row r="41" spans="2:14" ht="20.149999999999999" customHeight="1" x14ac:dyDescent="0.45">
      <c r="B41" s="41"/>
      <c r="L41" s="42"/>
    </row>
    <row r="42" spans="2:14" ht="20.149999999999999" customHeight="1" x14ac:dyDescent="0.45">
      <c r="B42" s="41"/>
      <c r="L42" s="42"/>
    </row>
    <row r="43" spans="2:14" ht="20.149999999999999" customHeight="1" x14ac:dyDescent="0.45">
      <c r="B43" s="49"/>
      <c r="C43" s="50"/>
      <c r="D43" s="50"/>
      <c r="J43" s="50"/>
      <c r="K43" s="50"/>
      <c r="L43" s="51"/>
    </row>
    <row r="44" spans="2:14" ht="20.149999999999999" customHeight="1" x14ac:dyDescent="0.45">
      <c r="B44" s="41" t="s">
        <v>27</v>
      </c>
      <c r="J44" s="24" t="s">
        <v>28</v>
      </c>
      <c r="L44" s="42"/>
    </row>
    <row r="45" spans="2:14" ht="19" thickBot="1" x14ac:dyDescent="0.5">
      <c r="B45" s="52"/>
      <c r="C45" s="53"/>
      <c r="D45" s="53"/>
      <c r="E45" s="53"/>
      <c r="F45" s="53"/>
      <c r="G45" s="53"/>
      <c r="H45" s="53"/>
      <c r="I45" s="53"/>
      <c r="J45" s="53"/>
      <c r="K45" s="53"/>
      <c r="L45" s="54"/>
    </row>
    <row r="46" spans="2:14" ht="20.5" x14ac:dyDescent="0.45">
      <c r="F46" s="427"/>
    </row>
  </sheetData>
  <mergeCells count="40">
    <mergeCell ref="O15:Q15"/>
    <mergeCell ref="D25:F25"/>
    <mergeCell ref="I25:J25"/>
    <mergeCell ref="J37:K37"/>
    <mergeCell ref="D26:F26"/>
    <mergeCell ref="I26:J26"/>
    <mergeCell ref="D27:F27"/>
    <mergeCell ref="I27:J27"/>
    <mergeCell ref="D28:F28"/>
    <mergeCell ref="I28:J28"/>
    <mergeCell ref="D29:F29"/>
    <mergeCell ref="I29:J29"/>
    <mergeCell ref="D31:F31"/>
    <mergeCell ref="J33:K33"/>
    <mergeCell ref="J35:K35"/>
    <mergeCell ref="D20:F20"/>
    <mergeCell ref="I20:J20"/>
    <mergeCell ref="D23:F23"/>
    <mergeCell ref="I23:J23"/>
    <mergeCell ref="D24:F24"/>
    <mergeCell ref="I24:J24"/>
    <mergeCell ref="I17:J17"/>
    <mergeCell ref="D19:F19"/>
    <mergeCell ref="I19:J19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">
    <cfRule type="duplicateValues" dxfId="108" priority="4"/>
  </conditionalFormatting>
  <conditionalFormatting sqref="C20:C22">
    <cfRule type="duplicateValues" dxfId="107" priority="6"/>
  </conditionalFormatting>
  <conditionalFormatting sqref="C23">
    <cfRule type="duplicateValues" dxfId="106" priority="3"/>
  </conditionalFormatting>
  <conditionalFormatting sqref="C19">
    <cfRule type="duplicateValues" dxfId="105" priority="7"/>
  </conditionalFormatting>
  <conditionalFormatting sqref="C26">
    <cfRule type="duplicateValues" dxfId="104" priority="8"/>
  </conditionalFormatting>
  <conditionalFormatting sqref="C24">
    <cfRule type="duplicateValues" dxfId="103" priority="2"/>
  </conditionalFormatting>
  <conditionalFormatting sqref="N15">
    <cfRule type="duplicateValues" dxfId="102" priority="1"/>
  </conditionalFormatting>
  <pageMargins left="0.70866141732283472" right="0.31496062992125984" top="0.59055118110236227" bottom="0" header="0.31496062992125984" footer="0.31496062992125984"/>
  <pageSetup paperSize="9" scale="76" orientation="portrait" horizontalDpi="300" verticalDpi="3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B2333-18A8-4AF4-A6AC-4765DC5FB48F}">
  <sheetPr codeName="Sheet22">
    <tabColor rgb="FFFFC000"/>
    <pageSetUpPr fitToPage="1"/>
  </sheetPr>
  <dimension ref="B1:Q39"/>
  <sheetViews>
    <sheetView workbookViewId="0">
      <selection activeCell="B1" sqref="B1:L39"/>
    </sheetView>
  </sheetViews>
  <sheetFormatPr defaultColWidth="12.54296875" defaultRowHeight="18.5" x14ac:dyDescent="0.45"/>
  <cols>
    <col min="1" max="1" width="12.54296875" style="24"/>
    <col min="2" max="2" width="15.54296875" style="24" customWidth="1"/>
    <col min="3" max="4" width="12.54296875" style="24" customWidth="1"/>
    <col min="5" max="5" width="1.54296875" style="24" customWidth="1"/>
    <col min="6" max="6" width="16.54296875" style="24" customWidth="1"/>
    <col min="7" max="7" width="8.54296875" style="24" customWidth="1"/>
    <col min="8" max="8" width="12.54296875" style="24" customWidth="1"/>
    <col min="9" max="9" width="2.54296875" style="24" customWidth="1"/>
    <col min="10" max="10" width="15.54296875" style="24" customWidth="1"/>
    <col min="11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191"/>
      <c r="C9" s="191"/>
      <c r="D9" s="191"/>
      <c r="E9" s="191"/>
      <c r="F9" s="191"/>
      <c r="G9" s="191"/>
      <c r="H9" s="191"/>
      <c r="I9" s="191"/>
      <c r="J9" s="191"/>
      <c r="K9" s="191"/>
      <c r="L9" s="191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2111</v>
      </c>
      <c r="J10" s="29" t="s">
        <v>29</v>
      </c>
      <c r="K10" s="452">
        <v>202209420</v>
      </c>
      <c r="L10" s="453"/>
    </row>
    <row r="11" spans="2:12" ht="20.149999999999999" customHeight="1" x14ac:dyDescent="0.45">
      <c r="B11" s="454" t="s">
        <v>2112</v>
      </c>
      <c r="C11" s="455"/>
      <c r="D11" s="456"/>
      <c r="E11" s="30"/>
      <c r="F11" s="457" t="str">
        <f>VLOOKUP(H10,'Delivery Location'!A$4:N$416,2,0)</f>
        <v xml:space="preserve"> FMD CENTRAL KITCHEN HOT                           10, SENOKO WAY                                LEVEL3    SINGAPORE 758031                  </v>
      </c>
      <c r="G11" s="458"/>
      <c r="H11" s="459"/>
      <c r="J11" s="31" t="s">
        <v>11</v>
      </c>
      <c r="K11" s="466">
        <v>44831</v>
      </c>
      <c r="L11" s="467"/>
    </row>
    <row r="12" spans="2:12" ht="20.149999999999999" customHeight="1" x14ac:dyDescent="0.45">
      <c r="B12" s="468" t="s">
        <v>2113</v>
      </c>
      <c r="C12" s="469"/>
      <c r="D12" s="470"/>
      <c r="E12" s="30"/>
      <c r="F12" s="460"/>
      <c r="G12" s="461"/>
      <c r="H12" s="462"/>
      <c r="J12" s="31" t="s">
        <v>171</v>
      </c>
      <c r="K12" s="471">
        <v>4080303246</v>
      </c>
      <c r="L12" s="472"/>
    </row>
    <row r="13" spans="2:12" ht="20.149999999999999" customHeight="1" x14ac:dyDescent="0.45">
      <c r="B13" s="468" t="s">
        <v>2114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2118</v>
      </c>
      <c r="L13" s="472"/>
    </row>
    <row r="14" spans="2:12" ht="20.149999999999999" customHeight="1" x14ac:dyDescent="0.45">
      <c r="B14" s="468" t="s">
        <v>2115</v>
      </c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552" t="s">
        <v>2116</v>
      </c>
      <c r="C15" s="474"/>
      <c r="D15" s="475"/>
      <c r="E15" s="26"/>
      <c r="F15" s="463"/>
      <c r="G15" s="464"/>
      <c r="H15" s="465"/>
      <c r="J15" s="32" t="s">
        <v>1405</v>
      </c>
      <c r="K15" s="476">
        <v>10122506</v>
      </c>
      <c r="L15" s="477"/>
    </row>
    <row r="16" spans="2:12" ht="19" thickBot="1" x14ac:dyDescent="0.5">
      <c r="J16" s="22"/>
    </row>
    <row r="17" spans="2:17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8" t="s">
        <v>622</v>
      </c>
      <c r="I17" s="478" t="s">
        <v>621</v>
      </c>
      <c r="J17" s="479"/>
      <c r="K17" s="9" t="s">
        <v>6</v>
      </c>
      <c r="L17" s="10" t="s">
        <v>7</v>
      </c>
      <c r="N17" s="383" t="s">
        <v>2138</v>
      </c>
      <c r="O17" s="383" t="s">
        <v>2141</v>
      </c>
      <c r="P17" s="383" t="s">
        <v>2142</v>
      </c>
    </row>
    <row r="18" spans="2:17" ht="20.149999999999999" customHeight="1" x14ac:dyDescent="0.45">
      <c r="B18" s="34">
        <v>4000005592</v>
      </c>
      <c r="C18" s="22" t="str">
        <f>VLOOKUP(B18,'Sales Master'!A$3:B$581,2,0)</f>
        <v>P3013</v>
      </c>
      <c r="D18" s="508" t="str">
        <f>VLOOKUP(C18,'Sales Master'!B$3:D$499,2,)</f>
        <v>Black Glutinous Rice 黑糯米</v>
      </c>
      <c r="E18" s="508"/>
      <c r="F18" s="508"/>
      <c r="G18" s="22">
        <v>1</v>
      </c>
      <c r="H18" s="438" t="str">
        <f>VLOOKUP(C18,'Sales Master'!$B$3:$E$590,4,0)</f>
        <v>INDONESIA</v>
      </c>
      <c r="I18" s="512" t="str">
        <f>VLOOKUP(C18,'Sales Master'!$B$3:F$590,5,0)</f>
        <v>25 kgs/Bag</v>
      </c>
      <c r="J18" s="512"/>
      <c r="K18" s="94">
        <f>VLOOKUP(C18,'Sales Master'!$B$3:$K$3161,10,0)</f>
        <v>77</v>
      </c>
      <c r="L18" s="77">
        <f>K18*G18</f>
        <v>77</v>
      </c>
      <c r="N18" s="225">
        <f>VLOOKUP(C18,'Sales Master'!$B$3:$DA$3038,104,0)</f>
        <v>60</v>
      </c>
      <c r="O18" s="225">
        <f>K18-N18</f>
        <v>17</v>
      </c>
      <c r="P18" s="225">
        <f>O18*G18</f>
        <v>17</v>
      </c>
      <c r="Q18" s="76"/>
    </row>
    <row r="19" spans="2:17" ht="20.149999999999999" customHeight="1" x14ac:dyDescent="0.45">
      <c r="B19" s="34"/>
      <c r="C19" s="22"/>
      <c r="D19" s="508"/>
      <c r="E19" s="508"/>
      <c r="F19" s="508"/>
      <c r="G19" s="22"/>
      <c r="H19" s="68"/>
      <c r="I19" s="481"/>
      <c r="J19" s="481"/>
      <c r="K19" s="94"/>
      <c r="L19" s="77"/>
      <c r="N19" s="225"/>
      <c r="O19" s="225"/>
      <c r="P19" s="225"/>
    </row>
    <row r="20" spans="2:17" ht="20.149999999999999" customHeight="1" x14ac:dyDescent="0.45">
      <c r="B20" s="34"/>
      <c r="C20" s="22"/>
      <c r="D20" s="508"/>
      <c r="E20" s="508"/>
      <c r="F20" s="508"/>
      <c r="G20" s="22"/>
      <c r="H20" s="68"/>
      <c r="I20" s="481"/>
      <c r="J20" s="481"/>
      <c r="K20" s="94"/>
      <c r="L20" s="77"/>
    </row>
    <row r="21" spans="2:17" ht="20.149999999999999" customHeight="1" x14ac:dyDescent="0.45">
      <c r="B21" s="34"/>
      <c r="C21" s="22"/>
      <c r="D21" s="508"/>
      <c r="E21" s="508"/>
      <c r="F21" s="508"/>
      <c r="G21" s="22"/>
      <c r="H21" s="68"/>
      <c r="I21" s="481"/>
      <c r="J21" s="481"/>
      <c r="K21" s="94"/>
      <c r="L21" s="77"/>
    </row>
    <row r="22" spans="2:17" ht="20.149999999999999" customHeight="1" x14ac:dyDescent="0.45">
      <c r="B22" s="34"/>
      <c r="C22" s="22"/>
      <c r="G22" s="22"/>
      <c r="H22" s="68"/>
      <c r="I22" s="68"/>
      <c r="J22" s="68"/>
      <c r="K22" s="94"/>
      <c r="L22" s="77"/>
    </row>
    <row r="23" spans="2:17" ht="20.149999999999999" customHeight="1" x14ac:dyDescent="0.45">
      <c r="B23" s="34"/>
      <c r="C23" s="22"/>
      <c r="G23" s="22"/>
      <c r="H23" s="68"/>
      <c r="I23" s="68"/>
      <c r="J23" s="68"/>
      <c r="K23" s="94"/>
      <c r="L23" s="77"/>
    </row>
    <row r="24" spans="2:17" ht="20.149999999999999" customHeight="1" x14ac:dyDescent="0.45">
      <c r="B24" s="34"/>
      <c r="C24" s="22"/>
      <c r="D24" s="508"/>
      <c r="E24" s="508"/>
      <c r="F24" s="508"/>
      <c r="G24" s="22"/>
      <c r="H24" s="68"/>
      <c r="I24" s="481"/>
      <c r="J24" s="481"/>
      <c r="K24" s="94"/>
      <c r="L24" s="77"/>
    </row>
    <row r="25" spans="2:17" ht="20.149999999999999" customHeight="1" thickBot="1" x14ac:dyDescent="0.5">
      <c r="B25" s="37"/>
      <c r="C25" s="38"/>
      <c r="D25" s="509"/>
      <c r="E25" s="509"/>
      <c r="F25" s="509"/>
      <c r="G25" s="38"/>
      <c r="H25" s="69"/>
      <c r="I25" s="451"/>
      <c r="J25" s="451"/>
      <c r="K25" s="39"/>
      <c r="L25" s="40"/>
    </row>
    <row r="26" spans="2:17" ht="20.149999999999999" customHeight="1" thickBot="1" x14ac:dyDescent="0.5">
      <c r="B26" s="41"/>
      <c r="L26" s="42"/>
    </row>
    <row r="27" spans="2:17" ht="20.149999999999999" customHeight="1" x14ac:dyDescent="0.45">
      <c r="B27" s="11" t="s">
        <v>18</v>
      </c>
      <c r="C27" s="7"/>
      <c r="D27" s="7"/>
      <c r="E27" s="7"/>
      <c r="F27" s="7"/>
      <c r="G27" s="7"/>
      <c r="H27" s="7"/>
      <c r="I27" s="7"/>
      <c r="J27" s="510" t="s">
        <v>15</v>
      </c>
      <c r="K27" s="511"/>
      <c r="L27" s="43">
        <f>SUM(L17:L26)</f>
        <v>77</v>
      </c>
      <c r="M27" s="76">
        <f>SUM(P18:P25)</f>
        <v>17</v>
      </c>
      <c r="N27" s="201">
        <f>M27/L27</f>
        <v>0.22077922077922077</v>
      </c>
    </row>
    <row r="28" spans="2:17" ht="20.149999999999999" customHeight="1" x14ac:dyDescent="0.45">
      <c r="B28" s="11" t="s">
        <v>19</v>
      </c>
      <c r="C28" s="7"/>
      <c r="D28" s="7"/>
      <c r="E28" s="7"/>
      <c r="F28" s="7"/>
      <c r="G28" s="7"/>
      <c r="H28" s="7"/>
      <c r="I28" s="7"/>
      <c r="J28" s="44" t="s">
        <v>22</v>
      </c>
      <c r="K28" s="45"/>
      <c r="L28" s="46">
        <f>L27*K28</f>
        <v>0</v>
      </c>
    </row>
    <row r="29" spans="2:17" ht="20.149999999999999" customHeight="1" x14ac:dyDescent="0.45">
      <c r="B29" s="11" t="s">
        <v>20</v>
      </c>
      <c r="C29" s="7"/>
      <c r="D29" s="7"/>
      <c r="E29" s="7"/>
      <c r="F29" s="7"/>
      <c r="G29" s="7"/>
      <c r="H29" s="7"/>
      <c r="I29" s="7"/>
      <c r="J29" s="486" t="s">
        <v>21</v>
      </c>
      <c r="K29" s="487"/>
      <c r="L29" s="46">
        <f>L27-L28</f>
        <v>77</v>
      </c>
    </row>
    <row r="30" spans="2:17" ht="20.149999999999999" customHeight="1" x14ac:dyDescent="0.45">
      <c r="B30" s="11" t="s">
        <v>24</v>
      </c>
      <c r="C30" s="7"/>
      <c r="D30" s="7"/>
      <c r="E30" s="7"/>
      <c r="F30" s="7"/>
      <c r="G30" s="7"/>
      <c r="H30" s="7"/>
      <c r="I30" s="7"/>
      <c r="J30" s="150" t="s">
        <v>17</v>
      </c>
      <c r="K30" s="151">
        <v>7.0000000000000007E-2</v>
      </c>
      <c r="L30" s="47">
        <f>L29*K30</f>
        <v>5.3900000000000006</v>
      </c>
    </row>
    <row r="31" spans="2:17" ht="20.149999999999999" customHeight="1" thickBot="1" x14ac:dyDescent="0.5">
      <c r="B31" s="11" t="s">
        <v>1400</v>
      </c>
      <c r="C31" s="7"/>
      <c r="D31" s="7"/>
      <c r="E31" s="7"/>
      <c r="F31" s="7"/>
      <c r="G31" s="7"/>
      <c r="H31" s="7"/>
      <c r="I31" s="7"/>
      <c r="J31" s="488" t="s">
        <v>23</v>
      </c>
      <c r="K31" s="489"/>
      <c r="L31" s="48">
        <f>L29+L30</f>
        <v>82.39</v>
      </c>
    </row>
    <row r="32" spans="2:17" ht="20.149999999999999" customHeight="1" x14ac:dyDescent="0.45">
      <c r="B32" s="11" t="s">
        <v>26</v>
      </c>
      <c r="C32" s="7"/>
      <c r="D32" s="7"/>
      <c r="E32" s="7"/>
      <c r="F32" s="7"/>
      <c r="G32" s="7"/>
      <c r="H32" s="7"/>
      <c r="I32" s="7"/>
      <c r="L32" s="42" t="s">
        <v>720</v>
      </c>
    </row>
    <row r="33" spans="2:12" ht="20.149999999999999" customHeight="1" x14ac:dyDescent="0.45">
      <c r="B33" s="224" t="s">
        <v>1379</v>
      </c>
      <c r="L33" s="42"/>
    </row>
    <row r="34" spans="2:12" ht="20.149999999999999" customHeight="1" x14ac:dyDescent="0.45">
      <c r="B34" s="41"/>
      <c r="L34" s="42"/>
    </row>
    <row r="35" spans="2:12" ht="20.149999999999999" customHeight="1" x14ac:dyDescent="0.45">
      <c r="B35" s="41"/>
      <c r="J35" s="50"/>
      <c r="K35" s="50"/>
      <c r="L35" s="51"/>
    </row>
    <row r="36" spans="2:12" ht="20.149999999999999" customHeight="1" x14ac:dyDescent="0.45">
      <c r="B36" s="41"/>
      <c r="J36" s="24" t="s">
        <v>28</v>
      </c>
      <c r="L36" s="42"/>
    </row>
    <row r="37" spans="2:12" ht="20.149999999999999" customHeight="1" x14ac:dyDescent="0.45">
      <c r="B37" s="49"/>
      <c r="C37" s="50"/>
      <c r="D37" s="50"/>
      <c r="J37" s="24" t="s">
        <v>1419</v>
      </c>
      <c r="L37" s="42"/>
    </row>
    <row r="38" spans="2:12" ht="20.149999999999999" customHeight="1" x14ac:dyDescent="0.45">
      <c r="B38" s="41" t="s">
        <v>27</v>
      </c>
      <c r="J38" s="24" t="s">
        <v>1420</v>
      </c>
      <c r="L38" s="42"/>
    </row>
    <row r="39" spans="2:12" ht="19" thickBot="1" x14ac:dyDescent="0.5">
      <c r="B39" s="52"/>
      <c r="C39" s="53"/>
      <c r="D39" s="53"/>
      <c r="E39" s="53"/>
      <c r="F39" s="53"/>
      <c r="G39" s="53"/>
      <c r="H39" s="53"/>
      <c r="I39" s="53"/>
      <c r="J39" s="53"/>
      <c r="K39" s="53"/>
      <c r="L39" s="54"/>
    </row>
  </sheetData>
  <mergeCells count="30">
    <mergeCell ref="I21:J21"/>
    <mergeCell ref="D17:F17"/>
    <mergeCell ref="I17:J17"/>
    <mergeCell ref="D18:F18"/>
    <mergeCell ref="I18:J18"/>
    <mergeCell ref="D19:F19"/>
    <mergeCell ref="I19:J19"/>
    <mergeCell ref="D20:F20"/>
    <mergeCell ref="I20:J20"/>
    <mergeCell ref="D21:F21"/>
    <mergeCell ref="J31:K31"/>
    <mergeCell ref="D24:F24"/>
    <mergeCell ref="I24:J24"/>
    <mergeCell ref="D25:F25"/>
    <mergeCell ref="I25:J25"/>
    <mergeCell ref="J27:K27"/>
    <mergeCell ref="J29:K2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</mergeCells>
  <pageMargins left="0.70866141732283505" right="0.31496062992126" top="0.59055118110236204" bottom="0" header="0.31496062992126" footer="0.31496062992126"/>
  <pageSetup paperSize="9" scale="76" orientation="portrait" horizontalDpi="300" verticalDpi="30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DC981D-9A7D-469E-A664-D24D47531C29}">
  <sheetPr>
    <tabColor rgb="FFFFC000"/>
    <pageSetUpPr fitToPage="1"/>
  </sheetPr>
  <dimension ref="B1:Q39"/>
  <sheetViews>
    <sheetView topLeftCell="A6" workbookViewId="0">
      <selection activeCell="I21" sqref="I21:J21"/>
    </sheetView>
  </sheetViews>
  <sheetFormatPr defaultColWidth="12.54296875" defaultRowHeight="18.5" x14ac:dyDescent="0.45"/>
  <cols>
    <col min="1" max="1" width="12.54296875" style="24"/>
    <col min="2" max="2" width="15.54296875" style="24" customWidth="1"/>
    <col min="3" max="4" width="12.54296875" style="24" customWidth="1"/>
    <col min="5" max="5" width="1.54296875" style="24" customWidth="1"/>
    <col min="6" max="6" width="16.54296875" style="24" customWidth="1"/>
    <col min="7" max="7" width="8.54296875" style="24" customWidth="1"/>
    <col min="8" max="8" width="12.54296875" style="24" customWidth="1"/>
    <col min="9" max="9" width="2.54296875" style="24" customWidth="1"/>
    <col min="10" max="10" width="15.54296875" style="24" customWidth="1"/>
    <col min="11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191"/>
      <c r="C9" s="191"/>
      <c r="D9" s="191"/>
      <c r="E9" s="191"/>
      <c r="F9" s="191"/>
      <c r="G9" s="191"/>
      <c r="H9" s="191"/>
      <c r="I9" s="191"/>
      <c r="J9" s="191"/>
      <c r="K9" s="191"/>
      <c r="L9" s="191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2111</v>
      </c>
      <c r="J10" s="29" t="s">
        <v>29</v>
      </c>
      <c r="K10" s="452">
        <v>202209342</v>
      </c>
      <c r="L10" s="453"/>
    </row>
    <row r="11" spans="2:12" ht="20.149999999999999" customHeight="1" x14ac:dyDescent="0.45">
      <c r="B11" s="454" t="s">
        <v>2112</v>
      </c>
      <c r="C11" s="455"/>
      <c r="D11" s="456"/>
      <c r="E11" s="30"/>
      <c r="F11" s="457" t="str">
        <f>VLOOKUP(H10,'Delivery Location'!A$4:N$416,2,0)</f>
        <v xml:space="preserve"> FMD CENTRAL KITCHEN HOT                           10, SENOKO WAY                                LEVEL3    SINGAPORE 758031                  </v>
      </c>
      <c r="G11" s="458"/>
      <c r="H11" s="459"/>
      <c r="J11" s="31" t="s">
        <v>11</v>
      </c>
      <c r="K11" s="466">
        <v>44826</v>
      </c>
      <c r="L11" s="467"/>
    </row>
    <row r="12" spans="2:12" ht="20.149999999999999" customHeight="1" x14ac:dyDescent="0.45">
      <c r="B12" s="468" t="s">
        <v>2113</v>
      </c>
      <c r="C12" s="469"/>
      <c r="D12" s="470"/>
      <c r="E12" s="30"/>
      <c r="F12" s="460"/>
      <c r="G12" s="461"/>
      <c r="H12" s="462"/>
      <c r="J12" s="31" t="s">
        <v>171</v>
      </c>
      <c r="K12" s="471">
        <v>4080302579</v>
      </c>
      <c r="L12" s="472"/>
    </row>
    <row r="13" spans="2:12" ht="20.149999999999999" customHeight="1" x14ac:dyDescent="0.45">
      <c r="B13" s="468" t="s">
        <v>2114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2118</v>
      </c>
      <c r="L13" s="472"/>
    </row>
    <row r="14" spans="2:12" ht="20.149999999999999" customHeight="1" x14ac:dyDescent="0.45">
      <c r="B14" s="468" t="s">
        <v>2115</v>
      </c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552" t="s">
        <v>2116</v>
      </c>
      <c r="C15" s="474"/>
      <c r="D15" s="475"/>
      <c r="E15" s="26"/>
      <c r="F15" s="463"/>
      <c r="G15" s="464"/>
      <c r="H15" s="465"/>
      <c r="J15" s="32" t="s">
        <v>1405</v>
      </c>
      <c r="K15" s="476">
        <v>10122506</v>
      </c>
      <c r="L15" s="477"/>
    </row>
    <row r="16" spans="2:12" ht="19" thickBot="1" x14ac:dyDescent="0.5">
      <c r="J16" s="22"/>
    </row>
    <row r="17" spans="2:17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8" t="s">
        <v>622</v>
      </c>
      <c r="I17" s="478" t="s">
        <v>621</v>
      </c>
      <c r="J17" s="479"/>
      <c r="K17" s="9" t="s">
        <v>6</v>
      </c>
      <c r="L17" s="10" t="s">
        <v>7</v>
      </c>
      <c r="N17" s="383" t="s">
        <v>2138</v>
      </c>
      <c r="O17" s="383" t="s">
        <v>2141</v>
      </c>
      <c r="P17" s="383" t="s">
        <v>2142</v>
      </c>
    </row>
    <row r="18" spans="2:17" ht="20.149999999999999" customHeight="1" x14ac:dyDescent="0.45">
      <c r="B18" s="34">
        <v>4000005592</v>
      </c>
      <c r="C18" s="22" t="str">
        <f>VLOOKUP(B18,'Sales Master'!A$3:B$581,2,0)</f>
        <v>P3013</v>
      </c>
      <c r="D18" s="508" t="str">
        <f>VLOOKUP(C18,'Sales Master'!B$3:D$499,2,)</f>
        <v>Black Glutinous Rice 黑糯米</v>
      </c>
      <c r="E18" s="508"/>
      <c r="F18" s="508"/>
      <c r="G18" s="22">
        <v>3</v>
      </c>
      <c r="H18" s="438" t="str">
        <f>VLOOKUP(C18,'Sales Master'!$B$3:$E$590,4,0)</f>
        <v>INDONESIA</v>
      </c>
      <c r="I18" s="560" t="str">
        <f>VLOOKUP(C18,'Sales Master'!$B$3:F$590,5,0)</f>
        <v>25 kgs/Bag</v>
      </c>
      <c r="J18" s="560"/>
      <c r="K18" s="94">
        <f>VLOOKUP(C18,'Sales Master'!$B$3:$K$3161,10,0)</f>
        <v>77</v>
      </c>
      <c r="L18" s="77">
        <f>K18*G18</f>
        <v>231</v>
      </c>
      <c r="N18" s="225">
        <f>VLOOKUP(C18,'Sales Master'!$B$3:$DA$3038,104,0)</f>
        <v>60</v>
      </c>
      <c r="O18" s="225">
        <f>K18-N18</f>
        <v>17</v>
      </c>
      <c r="P18" s="225">
        <f>O18*G18</f>
        <v>51</v>
      </c>
      <c r="Q18" s="76"/>
    </row>
    <row r="19" spans="2:17" ht="20.149999999999999" customHeight="1" x14ac:dyDescent="0.45">
      <c r="B19" s="34"/>
      <c r="C19" s="22"/>
      <c r="D19" s="508"/>
      <c r="E19" s="508"/>
      <c r="F19" s="508"/>
      <c r="G19" s="22"/>
      <c r="H19" s="68"/>
      <c r="I19" s="481"/>
      <c r="J19" s="481"/>
      <c r="K19" s="94"/>
      <c r="L19" s="77"/>
      <c r="N19" s="225"/>
      <c r="O19" s="225"/>
      <c r="P19" s="225"/>
    </row>
    <row r="20" spans="2:17" ht="20.149999999999999" customHeight="1" x14ac:dyDescent="0.45">
      <c r="B20" s="34"/>
      <c r="C20" s="22"/>
      <c r="D20" s="508"/>
      <c r="E20" s="508"/>
      <c r="F20" s="508"/>
      <c r="G20" s="22"/>
      <c r="H20" s="68"/>
      <c r="I20" s="481"/>
      <c r="J20" s="481"/>
      <c r="K20" s="94"/>
      <c r="L20" s="77"/>
    </row>
    <row r="21" spans="2:17" ht="20.149999999999999" customHeight="1" x14ac:dyDescent="0.45">
      <c r="B21" s="34"/>
      <c r="C21" s="22"/>
      <c r="D21" s="508"/>
      <c r="E21" s="508"/>
      <c r="F21" s="508"/>
      <c r="G21" s="22"/>
      <c r="H21" s="68"/>
      <c r="I21" s="481"/>
      <c r="J21" s="481"/>
      <c r="K21" s="94"/>
      <c r="L21" s="77"/>
    </row>
    <row r="22" spans="2:17" ht="20.149999999999999" customHeight="1" x14ac:dyDescent="0.45">
      <c r="B22" s="34"/>
      <c r="C22" s="22"/>
      <c r="G22" s="22"/>
      <c r="H22" s="68"/>
      <c r="I22" s="68"/>
      <c r="J22" s="68"/>
      <c r="K22" s="94"/>
      <c r="L22" s="77"/>
    </row>
    <row r="23" spans="2:17" ht="20.149999999999999" customHeight="1" x14ac:dyDescent="0.45">
      <c r="B23" s="34"/>
      <c r="C23" s="22"/>
      <c r="G23" s="22"/>
      <c r="H23" s="68"/>
      <c r="I23" s="68"/>
      <c r="J23" s="68"/>
      <c r="K23" s="94"/>
      <c r="L23" s="77"/>
    </row>
    <row r="24" spans="2:17" ht="20.149999999999999" customHeight="1" x14ac:dyDescent="0.45">
      <c r="B24" s="34"/>
      <c r="C24" s="22"/>
      <c r="D24" s="508"/>
      <c r="E24" s="508"/>
      <c r="F24" s="508"/>
      <c r="G24" s="22"/>
      <c r="H24" s="68"/>
      <c r="I24" s="481"/>
      <c r="J24" s="481"/>
      <c r="K24" s="94"/>
      <c r="L24" s="77"/>
    </row>
    <row r="25" spans="2:17" ht="20.149999999999999" customHeight="1" thickBot="1" x14ac:dyDescent="0.5">
      <c r="B25" s="37"/>
      <c r="C25" s="38"/>
      <c r="D25" s="509"/>
      <c r="E25" s="509"/>
      <c r="F25" s="509"/>
      <c r="G25" s="38"/>
      <c r="H25" s="69"/>
      <c r="I25" s="451"/>
      <c r="J25" s="451"/>
      <c r="K25" s="39"/>
      <c r="L25" s="40"/>
    </row>
    <row r="26" spans="2:17" ht="20.149999999999999" customHeight="1" thickBot="1" x14ac:dyDescent="0.5">
      <c r="B26" s="41"/>
      <c r="L26" s="42"/>
    </row>
    <row r="27" spans="2:17" ht="20.149999999999999" customHeight="1" x14ac:dyDescent="0.45">
      <c r="B27" s="11" t="s">
        <v>18</v>
      </c>
      <c r="C27" s="7"/>
      <c r="D27" s="7"/>
      <c r="E27" s="7"/>
      <c r="F27" s="7"/>
      <c r="G27" s="7"/>
      <c r="H27" s="7"/>
      <c r="I27" s="7"/>
      <c r="J27" s="510" t="s">
        <v>15</v>
      </c>
      <c r="K27" s="511"/>
      <c r="L27" s="43">
        <f>SUM(L17:L26)</f>
        <v>231</v>
      </c>
      <c r="M27" s="76">
        <f>SUM(P18:P25)</f>
        <v>51</v>
      </c>
      <c r="N27" s="201">
        <f>M27/L27</f>
        <v>0.22077922077922077</v>
      </c>
    </row>
    <row r="28" spans="2:17" ht="20.149999999999999" customHeight="1" x14ac:dyDescent="0.45">
      <c r="B28" s="11" t="s">
        <v>19</v>
      </c>
      <c r="C28" s="7"/>
      <c r="D28" s="7"/>
      <c r="E28" s="7"/>
      <c r="F28" s="7"/>
      <c r="G28" s="7"/>
      <c r="H28" s="7"/>
      <c r="I28" s="7"/>
      <c r="J28" s="44" t="s">
        <v>22</v>
      </c>
      <c r="K28" s="45"/>
      <c r="L28" s="46">
        <f>L27*K28</f>
        <v>0</v>
      </c>
    </row>
    <row r="29" spans="2:17" ht="20.149999999999999" customHeight="1" x14ac:dyDescent="0.45">
      <c r="B29" s="11" t="s">
        <v>20</v>
      </c>
      <c r="C29" s="7"/>
      <c r="D29" s="7"/>
      <c r="E29" s="7"/>
      <c r="F29" s="7"/>
      <c r="G29" s="7"/>
      <c r="H29" s="7"/>
      <c r="I29" s="7"/>
      <c r="J29" s="486" t="s">
        <v>21</v>
      </c>
      <c r="K29" s="487"/>
      <c r="L29" s="46">
        <f>L27-L28</f>
        <v>231</v>
      </c>
    </row>
    <row r="30" spans="2:17" ht="20.149999999999999" customHeight="1" x14ac:dyDescent="0.45">
      <c r="B30" s="11" t="s">
        <v>24</v>
      </c>
      <c r="C30" s="7"/>
      <c r="D30" s="7"/>
      <c r="E30" s="7"/>
      <c r="F30" s="7"/>
      <c r="G30" s="7"/>
      <c r="H30" s="7"/>
      <c r="I30" s="7"/>
      <c r="J30" s="150" t="s">
        <v>17</v>
      </c>
      <c r="K30" s="151">
        <v>7.0000000000000007E-2</v>
      </c>
      <c r="L30" s="47">
        <f>L29*K30</f>
        <v>16.170000000000002</v>
      </c>
    </row>
    <row r="31" spans="2:17" ht="20.149999999999999" customHeight="1" thickBot="1" x14ac:dyDescent="0.5">
      <c r="B31" s="11" t="s">
        <v>1400</v>
      </c>
      <c r="C31" s="7"/>
      <c r="D31" s="7"/>
      <c r="E31" s="7"/>
      <c r="F31" s="7"/>
      <c r="G31" s="7"/>
      <c r="H31" s="7"/>
      <c r="I31" s="7"/>
      <c r="J31" s="488" t="s">
        <v>23</v>
      </c>
      <c r="K31" s="489"/>
      <c r="L31" s="48">
        <f>L29+L30</f>
        <v>247.17000000000002</v>
      </c>
    </row>
    <row r="32" spans="2:17" ht="20.149999999999999" customHeight="1" x14ac:dyDescent="0.45">
      <c r="B32" s="11" t="s">
        <v>26</v>
      </c>
      <c r="C32" s="7"/>
      <c r="D32" s="7"/>
      <c r="E32" s="7"/>
      <c r="F32" s="7"/>
      <c r="G32" s="7"/>
      <c r="H32" s="7"/>
      <c r="I32" s="7"/>
      <c r="L32" s="42" t="s">
        <v>720</v>
      </c>
    </row>
    <row r="33" spans="2:12" ht="20.149999999999999" customHeight="1" x14ac:dyDescent="0.45">
      <c r="B33" s="224" t="s">
        <v>1379</v>
      </c>
      <c r="L33" s="42"/>
    </row>
    <row r="34" spans="2:12" ht="20.149999999999999" customHeight="1" x14ac:dyDescent="0.45">
      <c r="B34" s="41"/>
      <c r="L34" s="42"/>
    </row>
    <row r="35" spans="2:12" ht="20.149999999999999" customHeight="1" x14ac:dyDescent="0.45">
      <c r="B35" s="41"/>
      <c r="J35" s="50"/>
      <c r="K35" s="50"/>
      <c r="L35" s="51"/>
    </row>
    <row r="36" spans="2:12" ht="20.149999999999999" customHeight="1" x14ac:dyDescent="0.45">
      <c r="B36" s="41"/>
      <c r="J36" s="24" t="s">
        <v>28</v>
      </c>
      <c r="L36" s="42"/>
    </row>
    <row r="37" spans="2:12" ht="20.149999999999999" customHeight="1" x14ac:dyDescent="0.45">
      <c r="B37" s="49"/>
      <c r="C37" s="50"/>
      <c r="D37" s="50"/>
      <c r="J37" s="24" t="s">
        <v>1419</v>
      </c>
      <c r="L37" s="42"/>
    </row>
    <row r="38" spans="2:12" ht="20.149999999999999" customHeight="1" x14ac:dyDescent="0.45">
      <c r="B38" s="41" t="s">
        <v>27</v>
      </c>
      <c r="J38" s="24" t="s">
        <v>1420</v>
      </c>
      <c r="L38" s="42"/>
    </row>
    <row r="39" spans="2:12" ht="19" thickBot="1" x14ac:dyDescent="0.5">
      <c r="B39" s="52"/>
      <c r="C39" s="53"/>
      <c r="D39" s="53"/>
      <c r="E39" s="53"/>
      <c r="F39" s="53"/>
      <c r="G39" s="53"/>
      <c r="H39" s="53"/>
      <c r="I39" s="53"/>
      <c r="J39" s="53"/>
      <c r="K39" s="53"/>
      <c r="L39" s="54"/>
    </row>
  </sheetData>
  <mergeCells count="30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J31:K31"/>
    <mergeCell ref="D24:F24"/>
    <mergeCell ref="I24:J24"/>
    <mergeCell ref="D25:F25"/>
    <mergeCell ref="I25:J25"/>
    <mergeCell ref="J27:K27"/>
    <mergeCell ref="J29:K29"/>
  </mergeCells>
  <pageMargins left="0.70866141732283472" right="0.31496062992125984" top="0.59055118110236227" bottom="0" header="0.31496062992125984" footer="0.31496062992125984"/>
  <pageSetup paperSize="9" scale="76" orientation="portrait" horizontalDpi="300" verticalDpi="30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AE8D4-DFDC-4D61-8FEF-8202E5DDC087}">
  <sheetPr codeName="Sheet23">
    <tabColor rgb="FF996600"/>
    <pageSetUpPr fitToPage="1"/>
  </sheetPr>
  <dimension ref="B1:V39"/>
  <sheetViews>
    <sheetView topLeftCell="A9" workbookViewId="0">
      <selection activeCell="I20" sqref="I20:J20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7.453125" style="24" customWidth="1"/>
    <col min="7" max="7" width="8.54296875" style="24" customWidth="1"/>
    <col min="8" max="8" width="15.54296875" style="24" customWidth="1"/>
    <col min="9" max="9" width="2.54296875" style="24" customWidth="1"/>
    <col min="10" max="10" width="15.54296875" style="24" customWidth="1"/>
    <col min="11" max="11" width="11.81640625" style="24" customWidth="1"/>
    <col min="12" max="12" width="14.81640625" style="24" customWidth="1"/>
    <col min="13" max="13" width="12.54296875" style="24"/>
    <col min="14" max="16" width="12.6328125" style="24" customWidth="1"/>
    <col min="17" max="16384" width="12.54296875" style="24"/>
  </cols>
  <sheetData>
    <row r="1" spans="2:14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4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4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4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4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4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4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4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4" ht="19" thickBot="1" x14ac:dyDescent="0.5">
      <c r="B9" s="23"/>
    </row>
    <row r="10" spans="2:14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2090</v>
      </c>
      <c r="J10" s="29" t="s">
        <v>29</v>
      </c>
      <c r="K10" s="452">
        <v>202201333</v>
      </c>
      <c r="L10" s="453"/>
    </row>
    <row r="11" spans="2:14" ht="20.149999999999999" customHeight="1" x14ac:dyDescent="0.45">
      <c r="B11" s="454"/>
      <c r="C11" s="455"/>
      <c r="D11" s="456"/>
      <c r="E11" s="30"/>
      <c r="F11" s="457" t="str">
        <f>VLOOKUP(H10,'Delivery Location'!A$4:N$416,2,0)</f>
        <v>KEN HONG SENG PTE LTD                                   15, WOODLANDS LOOP #01-58/60 SINGAPORE 738322</v>
      </c>
      <c r="G11" s="458"/>
      <c r="H11" s="459"/>
      <c r="J11" s="31" t="s">
        <v>11</v>
      </c>
      <c r="K11" s="551" t="s">
        <v>2105</v>
      </c>
      <c r="L11" s="472"/>
    </row>
    <row r="12" spans="2:14" ht="20.149999999999999" customHeight="1" x14ac:dyDescent="0.45">
      <c r="B12" s="468"/>
      <c r="C12" s="469"/>
      <c r="D12" s="470"/>
      <c r="E12" s="30"/>
      <c r="F12" s="460"/>
      <c r="G12" s="461"/>
      <c r="H12" s="462"/>
      <c r="J12" s="31" t="s">
        <v>171</v>
      </c>
      <c r="K12" s="551" t="s">
        <v>36</v>
      </c>
      <c r="L12" s="472"/>
    </row>
    <row r="13" spans="2:14" ht="20.149999999999999" customHeight="1" x14ac:dyDescent="0.45">
      <c r="B13" s="468"/>
      <c r="C13" s="469"/>
      <c r="D13" s="470"/>
      <c r="E13" s="30"/>
      <c r="F13" s="460"/>
      <c r="G13" s="461"/>
      <c r="H13" s="462"/>
      <c r="J13" s="31" t="s">
        <v>12</v>
      </c>
      <c r="K13" s="471" t="s">
        <v>750</v>
      </c>
      <c r="L13" s="472"/>
    </row>
    <row r="14" spans="2:14" ht="20.149999999999999" customHeight="1" x14ac:dyDescent="0.45">
      <c r="B14" s="468"/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4" ht="18" customHeight="1" thickBot="1" x14ac:dyDescent="0.5">
      <c r="B15" s="552"/>
      <c r="C15" s="474"/>
      <c r="D15" s="475"/>
      <c r="E15" s="26"/>
      <c r="F15" s="463"/>
      <c r="G15" s="464"/>
      <c r="H15" s="465"/>
      <c r="J15" s="32" t="s">
        <v>13</v>
      </c>
      <c r="K15" s="182" t="s">
        <v>997</v>
      </c>
      <c r="L15" s="181"/>
    </row>
    <row r="16" spans="2:14" ht="19" thickBot="1" x14ac:dyDescent="0.5">
      <c r="J16" s="22"/>
      <c r="N16" s="125"/>
    </row>
    <row r="17" spans="2:22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22" ht="20.149999999999999" customHeight="1" x14ac:dyDescent="0.45">
      <c r="B18" s="70"/>
      <c r="C18" s="22" t="s">
        <v>1766</v>
      </c>
      <c r="D18" s="508" t="str">
        <f>VLOOKUP(C18,'Sales Master'!B$3:D$499,2,)</f>
        <v>Brown Sugar 黑糖</v>
      </c>
      <c r="E18" s="508"/>
      <c r="F18" s="508"/>
      <c r="G18" s="90">
        <v>144</v>
      </c>
      <c r="H18" s="386" t="str">
        <f>VLOOKUP(C18,'Sales Master'!$B$3:$F$3179,5,0)</f>
        <v>6 kgs</v>
      </c>
      <c r="I18" s="513" t="str">
        <f>VLOOKUP(C18,'Sales Master'!$B$3:$E$3179,4,0)</f>
        <v>Star</v>
      </c>
      <c r="J18" s="513"/>
      <c r="K18" s="98">
        <v>10.5</v>
      </c>
      <c r="L18" s="133">
        <f>K18*G18</f>
        <v>1512</v>
      </c>
      <c r="M18" s="78"/>
      <c r="N18" s="225">
        <f>VLOOKUP(C18,'Sales Master'!$B$3:$DA$3038,104,0)</f>
        <v>10.5</v>
      </c>
      <c r="O18" s="225">
        <f>K18-N18</f>
        <v>0</v>
      </c>
      <c r="P18" s="225">
        <f>O18*G18</f>
        <v>0</v>
      </c>
      <c r="R18" s="24">
        <v>2</v>
      </c>
      <c r="S18" s="24" t="s">
        <v>36</v>
      </c>
      <c r="T18" s="24" t="s">
        <v>71</v>
      </c>
      <c r="V18" s="24">
        <v>6</v>
      </c>
    </row>
    <row r="19" spans="2:22" ht="20.149999999999999" customHeight="1" x14ac:dyDescent="0.45">
      <c r="B19" s="70"/>
      <c r="C19" s="22" t="s">
        <v>2106</v>
      </c>
      <c r="D19" s="508" t="str">
        <f>VLOOKUP(C19,'Sales Master'!B$3:D$499,2,)</f>
        <v>Rock Sugar冰糖</v>
      </c>
      <c r="E19" s="508"/>
      <c r="F19" s="508"/>
      <c r="G19" s="90">
        <v>120</v>
      </c>
      <c r="H19" s="386" t="str">
        <f>VLOOKUP(C19,'Sales Master'!$B$3:$F$3179,5,0)</f>
        <v>3 KGS/PKT</v>
      </c>
      <c r="I19" s="513" t="str">
        <f>VLOOKUP(C19,'Sales Master'!$B$3:$E$3179,4,0)</f>
        <v>-</v>
      </c>
      <c r="J19" s="513"/>
      <c r="K19" s="98">
        <v>4.2</v>
      </c>
      <c r="L19" s="133">
        <f>K19*G19</f>
        <v>504</v>
      </c>
      <c r="M19" s="78"/>
      <c r="N19" s="225">
        <f>VLOOKUP(C19,'Sales Master'!$B$3:$DA$3038,104,0)</f>
        <v>4.666666666666667</v>
      </c>
      <c r="O19" s="225">
        <f>K19-N19</f>
        <v>-0.46666666666666679</v>
      </c>
      <c r="P19" s="225">
        <f>O19*G19</f>
        <v>-56.000000000000014</v>
      </c>
      <c r="R19" s="24">
        <v>2</v>
      </c>
      <c r="S19" s="24" t="s">
        <v>260</v>
      </c>
      <c r="T19" s="24" t="s">
        <v>709</v>
      </c>
      <c r="V19" s="24">
        <v>30</v>
      </c>
    </row>
    <row r="20" spans="2:22" ht="20.149999999999999" customHeight="1" x14ac:dyDescent="0.45">
      <c r="B20" s="70"/>
      <c r="C20" s="22"/>
      <c r="D20" s="508"/>
      <c r="E20" s="508"/>
      <c r="F20" s="508"/>
      <c r="G20" s="90"/>
      <c r="H20" s="97"/>
      <c r="I20" s="506"/>
      <c r="J20" s="506"/>
      <c r="K20" s="98"/>
      <c r="L20" s="133"/>
      <c r="M20" s="78"/>
      <c r="N20" s="225"/>
      <c r="O20" s="225"/>
      <c r="P20" s="225"/>
    </row>
    <row r="21" spans="2:22" ht="20.149999999999999" customHeight="1" x14ac:dyDescent="0.45">
      <c r="B21" s="70"/>
      <c r="C21" s="22"/>
      <c r="D21" s="508"/>
      <c r="E21" s="508"/>
      <c r="F21" s="508"/>
      <c r="G21" s="90"/>
      <c r="H21" s="68"/>
      <c r="I21" s="481"/>
      <c r="J21" s="481"/>
      <c r="K21" s="98"/>
      <c r="L21" s="99"/>
      <c r="N21" s="225"/>
      <c r="O21" s="225"/>
      <c r="P21" s="225"/>
    </row>
    <row r="22" spans="2:22" ht="20.149999999999999" customHeight="1" x14ac:dyDescent="0.45">
      <c r="B22" s="70"/>
      <c r="C22" s="22"/>
      <c r="D22" s="508"/>
      <c r="E22" s="508"/>
      <c r="F22" s="508"/>
      <c r="G22" s="90"/>
      <c r="H22" s="68"/>
      <c r="I22" s="481"/>
      <c r="J22" s="481"/>
      <c r="K22" s="98"/>
      <c r="L22" s="99"/>
      <c r="N22" s="225"/>
      <c r="O22" s="225"/>
      <c r="P22" s="225"/>
    </row>
    <row r="23" spans="2:22" ht="20.149999999999999" customHeight="1" x14ac:dyDescent="0.45">
      <c r="B23" s="70"/>
      <c r="C23" s="22"/>
      <c r="D23" s="508"/>
      <c r="E23" s="508"/>
      <c r="F23" s="508"/>
      <c r="G23" s="90"/>
      <c r="H23" s="68"/>
      <c r="I23" s="481"/>
      <c r="J23" s="481"/>
      <c r="K23" s="98"/>
      <c r="L23" s="99"/>
      <c r="N23" s="225"/>
      <c r="O23" s="225"/>
      <c r="P23" s="225"/>
    </row>
    <row r="24" spans="2:22" ht="20.149999999999999" customHeight="1" x14ac:dyDescent="0.45">
      <c r="B24" s="70"/>
      <c r="C24" s="22"/>
      <c r="D24" s="508"/>
      <c r="E24" s="508"/>
      <c r="F24" s="508"/>
      <c r="G24" s="90"/>
      <c r="H24" s="68"/>
      <c r="I24" s="481"/>
      <c r="J24" s="481"/>
      <c r="K24" s="98"/>
      <c r="L24" s="99"/>
      <c r="N24" s="225"/>
      <c r="O24" s="225"/>
      <c r="P24" s="225"/>
    </row>
    <row r="25" spans="2:22" ht="20.149999999999999" customHeight="1" x14ac:dyDescent="0.45">
      <c r="B25" s="70"/>
      <c r="C25" s="22"/>
      <c r="D25" s="508"/>
      <c r="E25" s="508"/>
      <c r="F25" s="508"/>
      <c r="G25" s="90"/>
      <c r="H25" s="68"/>
      <c r="I25" s="481"/>
      <c r="J25" s="481"/>
      <c r="K25" s="98"/>
      <c r="L25" s="99"/>
      <c r="N25" s="225"/>
      <c r="O25" s="225"/>
      <c r="P25" s="225"/>
    </row>
    <row r="26" spans="2:22" ht="20.149999999999999" customHeight="1" thickBot="1" x14ac:dyDescent="0.5">
      <c r="B26" s="52"/>
      <c r="C26" s="53"/>
      <c r="D26" s="53"/>
      <c r="E26" s="53"/>
      <c r="F26" s="53"/>
      <c r="G26" s="53"/>
      <c r="H26" s="53"/>
      <c r="I26" s="53"/>
      <c r="J26" s="53"/>
      <c r="K26" s="53"/>
      <c r="L26" s="54"/>
    </row>
    <row r="27" spans="2:22" ht="20.149999999999999" customHeight="1" x14ac:dyDescent="0.45">
      <c r="B27" s="11" t="s">
        <v>18</v>
      </c>
      <c r="C27" s="7"/>
      <c r="D27" s="7"/>
      <c r="E27" s="7"/>
      <c r="F27" s="7"/>
      <c r="G27" s="7"/>
      <c r="H27" s="7"/>
      <c r="I27" s="7"/>
      <c r="J27" s="510" t="s">
        <v>15</v>
      </c>
      <c r="K27" s="511"/>
      <c r="L27" s="43">
        <f>SUM(L17:L26)</f>
        <v>2016</v>
      </c>
      <c r="M27" s="76">
        <f>SUM(P18:P19)</f>
        <v>-56.000000000000014</v>
      </c>
      <c r="N27" s="24">
        <f>M27/L27</f>
        <v>-2.7777777777777783E-2</v>
      </c>
    </row>
    <row r="28" spans="2:22" ht="20.149999999999999" customHeight="1" x14ac:dyDescent="0.45">
      <c r="B28" s="11" t="s">
        <v>19</v>
      </c>
      <c r="C28" s="7"/>
      <c r="D28" s="7"/>
      <c r="E28" s="7"/>
      <c r="F28" s="7"/>
      <c r="G28" s="7"/>
      <c r="H28" s="7"/>
      <c r="I28" s="7"/>
      <c r="J28" s="44" t="s">
        <v>22</v>
      </c>
      <c r="K28" s="45"/>
      <c r="L28" s="46">
        <v>0</v>
      </c>
    </row>
    <row r="29" spans="2:22" ht="20.149999999999999" customHeight="1" x14ac:dyDescent="0.45">
      <c r="B29" s="11" t="s">
        <v>20</v>
      </c>
      <c r="C29" s="7"/>
      <c r="D29" s="7"/>
      <c r="E29" s="7"/>
      <c r="F29" s="7"/>
      <c r="G29" s="7"/>
      <c r="H29" s="7"/>
      <c r="I29" s="7"/>
      <c r="J29" s="486" t="s">
        <v>21</v>
      </c>
      <c r="K29" s="487"/>
      <c r="L29" s="46">
        <f>L27-L28</f>
        <v>2016</v>
      </c>
    </row>
    <row r="30" spans="2:22" ht="20.149999999999999" customHeight="1" x14ac:dyDescent="0.45">
      <c r="B30" s="11" t="s">
        <v>24</v>
      </c>
      <c r="C30" s="7"/>
      <c r="D30" s="7"/>
      <c r="E30" s="7"/>
      <c r="F30" s="7"/>
      <c r="G30" s="7"/>
      <c r="H30" s="7"/>
      <c r="I30" s="7"/>
      <c r="J30" s="150" t="s">
        <v>17</v>
      </c>
      <c r="K30" s="151">
        <v>7.0000000000000007E-2</v>
      </c>
      <c r="L30" s="47">
        <f>L29*K30</f>
        <v>141.12</v>
      </c>
    </row>
    <row r="31" spans="2:22" ht="20.149999999999999" customHeight="1" thickBot="1" x14ac:dyDescent="0.5">
      <c r="B31" s="11" t="s">
        <v>1400</v>
      </c>
      <c r="C31" s="7"/>
      <c r="D31" s="7"/>
      <c r="E31" s="7"/>
      <c r="F31" s="7"/>
      <c r="G31" s="7"/>
      <c r="H31" s="7"/>
      <c r="I31" s="7"/>
      <c r="J31" s="488" t="s">
        <v>23</v>
      </c>
      <c r="K31" s="489"/>
      <c r="L31" s="48">
        <f>L29+L30</f>
        <v>2157.12</v>
      </c>
    </row>
    <row r="32" spans="2:22" ht="20.149999999999999" customHeight="1" x14ac:dyDescent="0.45">
      <c r="B32" s="11" t="s">
        <v>26</v>
      </c>
      <c r="C32" s="7"/>
      <c r="D32" s="7"/>
      <c r="E32" s="7"/>
      <c r="F32" s="7"/>
      <c r="G32" s="7"/>
      <c r="H32" s="7"/>
      <c r="I32" s="7"/>
      <c r="L32" s="42"/>
    </row>
    <row r="33" spans="2:12" ht="20.149999999999999" customHeight="1" x14ac:dyDescent="0.45">
      <c r="B33" s="224" t="s">
        <v>1379</v>
      </c>
      <c r="L33" s="42"/>
    </row>
    <row r="34" spans="2:12" ht="20.149999999999999" customHeight="1" x14ac:dyDescent="0.45">
      <c r="B34" s="41"/>
      <c r="L34" s="42"/>
    </row>
    <row r="35" spans="2:12" ht="20.149999999999999" customHeight="1" x14ac:dyDescent="0.45">
      <c r="B35" s="41"/>
      <c r="L35" s="42"/>
    </row>
    <row r="36" spans="2:12" ht="20.149999999999999" customHeight="1" x14ac:dyDescent="0.45">
      <c r="B36" s="41"/>
      <c r="L36" s="42"/>
    </row>
    <row r="37" spans="2:12" ht="20.149999999999999" customHeight="1" x14ac:dyDescent="0.45">
      <c r="B37" s="49"/>
      <c r="C37" s="50"/>
      <c r="D37" s="50"/>
      <c r="J37" s="50"/>
      <c r="K37" s="50"/>
      <c r="L37" s="51"/>
    </row>
    <row r="38" spans="2:12" ht="20.149999999999999" customHeight="1" x14ac:dyDescent="0.45">
      <c r="B38" s="41" t="s">
        <v>27</v>
      </c>
      <c r="J38" s="24" t="s">
        <v>28</v>
      </c>
      <c r="L38" s="42"/>
    </row>
    <row r="39" spans="2:12" ht="19" thickBot="1" x14ac:dyDescent="0.5">
      <c r="B39" s="52"/>
      <c r="C39" s="53"/>
      <c r="D39" s="53"/>
      <c r="E39" s="53"/>
      <c r="F39" s="53"/>
      <c r="G39" s="53"/>
      <c r="H39" s="53"/>
      <c r="I39" s="53"/>
      <c r="J39" s="53"/>
      <c r="K39" s="53"/>
      <c r="L39" s="54"/>
    </row>
  </sheetData>
  <mergeCells count="33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D17:F17"/>
    <mergeCell ref="I17:J17"/>
    <mergeCell ref="D18:F18"/>
    <mergeCell ref="I18:J18"/>
    <mergeCell ref="D21:F21"/>
    <mergeCell ref="I21:J21"/>
    <mergeCell ref="D22:F22"/>
    <mergeCell ref="I22:J22"/>
    <mergeCell ref="D19:F19"/>
    <mergeCell ref="I19:J19"/>
    <mergeCell ref="D20:F20"/>
    <mergeCell ref="I20:J20"/>
    <mergeCell ref="J27:K27"/>
    <mergeCell ref="J29:K29"/>
    <mergeCell ref="J31:K31"/>
    <mergeCell ref="D23:F23"/>
    <mergeCell ref="I23:J23"/>
    <mergeCell ref="D24:F24"/>
    <mergeCell ref="I24:J24"/>
    <mergeCell ref="D25:F25"/>
    <mergeCell ref="I25:J25"/>
  </mergeCells>
  <pageMargins left="0.70866141732283505" right="0.31496062992126" top="0.59055118110236204" bottom="0" header="0.31496062992126" footer="0.31496062992126"/>
  <pageSetup paperSize="9" scale="74" orientation="portrait" horizontalDpi="300" verticalDpi="30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FA4297-DFCB-4518-B27E-8716EBA557BF}">
  <sheetPr codeName="Sheet24">
    <tabColor rgb="FF996600"/>
    <pageSetUpPr fitToPage="1"/>
  </sheetPr>
  <dimension ref="B1:V49"/>
  <sheetViews>
    <sheetView workbookViewId="0">
      <selection activeCell="K12" sqref="K12:L12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7.453125" style="24" customWidth="1"/>
    <col min="7" max="7" width="8.54296875" style="24" customWidth="1"/>
    <col min="8" max="8" width="15.54296875" style="24" customWidth="1"/>
    <col min="9" max="9" width="2.54296875" style="24" customWidth="1"/>
    <col min="10" max="10" width="15.54296875" style="24" customWidth="1"/>
    <col min="11" max="11" width="11.81640625" style="24" customWidth="1"/>
    <col min="12" max="12" width="12.54296875" style="24" customWidth="1"/>
    <col min="13" max="13" width="12.54296875" style="24"/>
    <col min="14" max="16" width="14.6328125" style="24" customWidth="1"/>
    <col min="17" max="16384" width="12.54296875" style="24"/>
  </cols>
  <sheetData>
    <row r="1" spans="2:14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4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4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4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4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4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4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4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4" ht="19" thickBot="1" x14ac:dyDescent="0.5">
      <c r="B9" s="23"/>
    </row>
    <row r="10" spans="2:14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2076</v>
      </c>
      <c r="J10" s="29" t="s">
        <v>29</v>
      </c>
      <c r="K10" s="452">
        <v>202209419</v>
      </c>
      <c r="L10" s="453"/>
    </row>
    <row r="11" spans="2:14" ht="20.149999999999999" customHeight="1" x14ac:dyDescent="0.45">
      <c r="B11" s="454" t="s">
        <v>2078</v>
      </c>
      <c r="C11" s="455"/>
      <c r="D11" s="456"/>
      <c r="E11" s="30"/>
      <c r="F11" s="457" t="str">
        <f>VLOOKUP(H10,'Delivery Location'!A$4:N$416,2,0)</f>
        <v>SELETAR COUNTRY CLUB                                   101, Seletar Club Road. Singapore 798273</v>
      </c>
      <c r="G11" s="458"/>
      <c r="H11" s="459"/>
      <c r="J11" s="31" t="s">
        <v>11</v>
      </c>
      <c r="K11" s="466">
        <v>44831</v>
      </c>
      <c r="L11" s="467"/>
    </row>
    <row r="12" spans="2:14" ht="20.149999999999999" customHeight="1" x14ac:dyDescent="0.45">
      <c r="B12" s="468" t="s">
        <v>2079</v>
      </c>
      <c r="C12" s="469"/>
      <c r="D12" s="470"/>
      <c r="E12" s="30"/>
      <c r="F12" s="460"/>
      <c r="G12" s="461"/>
      <c r="H12" s="462"/>
      <c r="J12" s="31" t="s">
        <v>171</v>
      </c>
      <c r="K12" s="551" t="s">
        <v>2334</v>
      </c>
      <c r="L12" s="472"/>
    </row>
    <row r="13" spans="2:14" ht="20.149999999999999" customHeight="1" x14ac:dyDescent="0.45">
      <c r="B13" s="468" t="s">
        <v>2080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14</v>
      </c>
      <c r="L13" s="472"/>
    </row>
    <row r="14" spans="2:14" ht="20.149999999999999" customHeight="1" x14ac:dyDescent="0.45">
      <c r="B14" s="468"/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4" ht="18" customHeight="1" thickBot="1" x14ac:dyDescent="0.5">
      <c r="B15" s="552"/>
      <c r="C15" s="474"/>
      <c r="D15" s="475"/>
      <c r="E15" s="26"/>
      <c r="F15" s="463"/>
      <c r="G15" s="464"/>
      <c r="H15" s="465"/>
      <c r="J15" s="32" t="s">
        <v>13</v>
      </c>
      <c r="K15" s="182" t="s">
        <v>997</v>
      </c>
      <c r="L15" s="181"/>
    </row>
    <row r="16" spans="2:14" ht="19" thickBot="1" x14ac:dyDescent="0.5">
      <c r="J16" s="22"/>
      <c r="N16" s="125"/>
    </row>
    <row r="17" spans="2:22" ht="48.65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22" ht="20.149999999999999" hidden="1" customHeight="1" x14ac:dyDescent="0.45">
      <c r="B18" s="70" t="s">
        <v>2081</v>
      </c>
      <c r="C18" s="22" t="str">
        <f>VLOOKUP(B18,'Sales Master'!A$3:B$581,2,0)</f>
        <v>P4006A</v>
      </c>
      <c r="D18" s="508" t="str">
        <f>VLOOKUP(C18,'Sales Master'!B$3:D$499,2,)</f>
        <v>Aloe Vera芦荟 10mm</v>
      </c>
      <c r="E18" s="508"/>
      <c r="F18" s="508"/>
      <c r="G18" s="90"/>
      <c r="H18" s="97" t="str">
        <f>VLOOKUP(C18,'Sales Master'!$B$3:$F$3179,5,0)</f>
        <v>1 Can X A10</v>
      </c>
      <c r="I18" s="506" t="str">
        <f>VLOOKUP(C18,'Sales Master'!$B$3:$E$3179,4,0)</f>
        <v>Chefs</v>
      </c>
      <c r="J18" s="506"/>
      <c r="K18" s="98">
        <f>VLOOKUP(C18,'Sales Master'!$B$3:$CF$3052,83,0)</f>
        <v>10</v>
      </c>
      <c r="L18" s="133">
        <f>K18*G18</f>
        <v>0</v>
      </c>
      <c r="M18" s="78"/>
      <c r="N18" s="225">
        <f>VLOOKUP(C18,'Sales Master'!$B$3:$DA$3038,104,0)</f>
        <v>7</v>
      </c>
      <c r="O18" s="225">
        <f>K18-N18</f>
        <v>3</v>
      </c>
      <c r="P18" s="225">
        <f>O18*G18</f>
        <v>0</v>
      </c>
      <c r="R18" s="24">
        <v>2</v>
      </c>
      <c r="S18" s="24" t="s">
        <v>36</v>
      </c>
      <c r="T18" s="24" t="s">
        <v>71</v>
      </c>
      <c r="V18" s="24">
        <v>6</v>
      </c>
    </row>
    <row r="19" spans="2:22" ht="20.149999999999999" hidden="1" customHeight="1" x14ac:dyDescent="0.45">
      <c r="B19" s="70" t="s">
        <v>2082</v>
      </c>
      <c r="C19" s="22" t="str">
        <f>VLOOKUP(B19,'Sales Master'!A$3:B$581,2,0)</f>
        <v>P1005</v>
      </c>
      <c r="D19" s="508" t="str">
        <f>VLOOKUP(C19,'Sales Master'!B$3:D$499,2,)</f>
        <v>Honey Pearl - GOLDEN 蜜糖珍珠</v>
      </c>
      <c r="E19" s="508"/>
      <c r="F19" s="508"/>
      <c r="G19" s="90"/>
      <c r="H19" s="97" t="str">
        <f>VLOOKUP(C19,'Sales Master'!$B$3:$F$3179,5,0)</f>
        <v>1 kg/Bag</v>
      </c>
      <c r="I19" s="506" t="str">
        <f>VLOOKUP(C19,'Sales Master'!$B$3:$E$3179,4,0)</f>
        <v>AD</v>
      </c>
      <c r="J19" s="506"/>
      <c r="K19" s="98">
        <f>VLOOKUP(C19,'Sales Master'!$B$3:$CF$3052,83,0)</f>
        <v>7</v>
      </c>
      <c r="L19" s="133">
        <f>K19*G19</f>
        <v>0</v>
      </c>
      <c r="M19" s="78"/>
      <c r="N19" s="225">
        <f>VLOOKUP(C19,'Sales Master'!$B$3:$DA$3038,104,0)</f>
        <v>5</v>
      </c>
      <c r="O19" s="225">
        <f>K19-N19</f>
        <v>2</v>
      </c>
      <c r="P19" s="225">
        <f>O19*G19</f>
        <v>0</v>
      </c>
      <c r="R19" s="24">
        <v>2</v>
      </c>
      <c r="S19" s="24" t="s">
        <v>260</v>
      </c>
      <c r="T19" s="24" t="s">
        <v>709</v>
      </c>
      <c r="V19" s="24">
        <v>30</v>
      </c>
    </row>
    <row r="20" spans="2:22" ht="20.149999999999999" hidden="1" customHeight="1" x14ac:dyDescent="0.45">
      <c r="B20" s="70" t="s">
        <v>2083</v>
      </c>
      <c r="C20" s="22" t="str">
        <f>VLOOKUP(B20,'Sales Master'!A$3:B$581,2,0)</f>
        <v>P1003</v>
      </c>
      <c r="D20" s="508" t="str">
        <f>VLOOKUP(C20,'Sales Master'!B$3:D$499,2,)</f>
        <v>Q Ball Q圆</v>
      </c>
      <c r="E20" s="508"/>
      <c r="F20" s="508"/>
      <c r="G20" s="90"/>
      <c r="H20" s="97" t="str">
        <f>VLOOKUP(C20,'Sales Master'!$B$3:$F$3179,5,0)</f>
        <v>1 kg/Bag</v>
      </c>
      <c r="I20" s="506" t="str">
        <f>VLOOKUP(C20,'Sales Master'!$B$3:$E$3179,4,0)</f>
        <v>FJ</v>
      </c>
      <c r="J20" s="506"/>
      <c r="K20" s="98">
        <f>VLOOKUP(C20,'Sales Master'!$B$3:$CF$3052,83,0)</f>
        <v>6</v>
      </c>
      <c r="L20" s="133">
        <f>K20*G20</f>
        <v>0</v>
      </c>
      <c r="M20" s="78"/>
      <c r="N20" s="225"/>
      <c r="O20" s="225"/>
      <c r="P20" s="225"/>
    </row>
    <row r="21" spans="2:22" ht="20.149999999999999" hidden="1" customHeight="1" x14ac:dyDescent="0.45">
      <c r="B21" s="70" t="s">
        <v>2084</v>
      </c>
      <c r="C21" s="22" t="str">
        <f>VLOOKUP(B21,'Sales Master'!A$3:B$581,2,0)</f>
        <v>P1002</v>
      </c>
      <c r="D21" s="508" t="str">
        <f>VLOOKUP(C21,'Sales Master'!B$3:D$499,2,)</f>
        <v>Tadpole蝌蚪</v>
      </c>
      <c r="E21" s="508"/>
      <c r="F21" s="508"/>
      <c r="G21" s="90"/>
      <c r="H21" s="97" t="str">
        <f>VLOOKUP(C21,'Sales Master'!$B$3:$F$3179,5,0)</f>
        <v>1 kg/Bag</v>
      </c>
      <c r="I21" s="506" t="str">
        <f>VLOOKUP(C21,'Sales Master'!$B$3:$E$3179,4,0)</f>
        <v>FJ</v>
      </c>
      <c r="J21" s="506"/>
      <c r="K21" s="98">
        <f>VLOOKUP(C21,'Sales Master'!$B$3:$CF$3052,83,0)</f>
        <v>6.5</v>
      </c>
      <c r="L21" s="133">
        <f>K21*G21</f>
        <v>0</v>
      </c>
      <c r="M21" s="78"/>
    </row>
    <row r="22" spans="2:22" ht="20.149999999999999" hidden="1" customHeight="1" x14ac:dyDescent="0.45">
      <c r="B22" s="70"/>
      <c r="C22" s="22"/>
      <c r="D22" s="508"/>
      <c r="E22" s="508"/>
      <c r="F22" s="508"/>
      <c r="G22" s="90"/>
      <c r="H22" s="68"/>
      <c r="I22" s="481"/>
      <c r="J22" s="481"/>
      <c r="K22" s="98"/>
      <c r="L22" s="99"/>
      <c r="M22" s="78"/>
    </row>
    <row r="23" spans="2:22" ht="20.149999999999999" hidden="1" customHeight="1" x14ac:dyDescent="0.45">
      <c r="B23" s="70" t="s">
        <v>2082</v>
      </c>
      <c r="C23" s="22" t="s">
        <v>1485</v>
      </c>
      <c r="D23" s="508" t="str">
        <f>VLOOKUP(C23,'Sales Master'!B$3:D$499,2,)</f>
        <v>Honey Pearl - GOLDEN 蜜糖珍珠</v>
      </c>
      <c r="E23" s="508"/>
      <c r="F23" s="508"/>
      <c r="G23" s="90"/>
      <c r="H23" s="97" t="str">
        <f>VLOOKUP(C23,'Sales Master'!$B$3:$F$3179,5,0)</f>
        <v>1 kg/Bag</v>
      </c>
      <c r="I23" s="506" t="str">
        <f>VLOOKUP(C23,'Sales Master'!$B$3:$E$3179,4,0)</f>
        <v>AD</v>
      </c>
      <c r="J23" s="506"/>
      <c r="K23" s="359" t="s">
        <v>2009</v>
      </c>
      <c r="L23" s="360"/>
      <c r="M23" s="78"/>
    </row>
    <row r="24" spans="2:22" ht="20.149999999999999" hidden="1" customHeight="1" x14ac:dyDescent="0.45">
      <c r="B24" s="70"/>
      <c r="C24" s="22"/>
      <c r="D24" s="508"/>
      <c r="E24" s="508"/>
      <c r="F24" s="508"/>
      <c r="G24" s="90"/>
      <c r="H24" s="68"/>
      <c r="I24" s="481"/>
      <c r="J24" s="481"/>
      <c r="K24" s="98"/>
      <c r="L24" s="99"/>
    </row>
    <row r="25" spans="2:22" ht="20.149999999999999" customHeight="1" x14ac:dyDescent="0.45">
      <c r="B25" s="421" t="s">
        <v>2184</v>
      </c>
      <c r="C25" s="22" t="str">
        <f>VLOOKUP(B25,'Sales Master'!A$3:B$581,2,0)</f>
        <v>M1036B</v>
      </c>
      <c r="D25" s="508" t="str">
        <f>VLOOKUP(C25,'Sales Master'!B$3:D$599,2,0)</f>
        <v>SNOW ICE - MANGO</v>
      </c>
      <c r="E25" s="508"/>
      <c r="F25" s="508"/>
      <c r="G25" s="22">
        <v>5</v>
      </c>
      <c r="H25" s="389" t="str">
        <f>VLOOKUP(C25,'Sales Master'!$B$3:$E$590,4,0)</f>
        <v>T1</v>
      </c>
      <c r="I25" s="482" t="str">
        <f>VLOOKUP(C25,'Sales Master'!$B$3:F$590,5,0)</f>
        <v>2 KG</v>
      </c>
      <c r="J25" s="482"/>
      <c r="K25" s="98">
        <f>VLOOKUP(C25,'Sales Master'!B$3:$CF$331,83,0)</f>
        <v>12.8</v>
      </c>
      <c r="L25" s="99">
        <f>G25*K25</f>
        <v>64</v>
      </c>
      <c r="N25" s="225">
        <f>VLOOKUP(C25,'Sales Master'!$B$3:$DA$3038,104,0)</f>
        <v>9</v>
      </c>
      <c r="O25" s="225">
        <f>K25-N25</f>
        <v>3.8000000000000007</v>
      </c>
      <c r="P25" s="225">
        <f>O25*G25</f>
        <v>19.000000000000004</v>
      </c>
    </row>
    <row r="26" spans="2:22" ht="20.149999999999999" customHeight="1" x14ac:dyDescent="0.45">
      <c r="B26" s="70" t="s">
        <v>2082</v>
      </c>
      <c r="C26" s="22" t="str">
        <f>VLOOKUP(B26,'Sales Master'!A$3:B$581,2,0)</f>
        <v>P1005</v>
      </c>
      <c r="D26" s="508" t="str">
        <f>VLOOKUP(C26,'Sales Master'!B$3:D$499,2,)</f>
        <v>Honey Pearl - GOLDEN 蜜糖珍珠</v>
      </c>
      <c r="E26" s="508"/>
      <c r="F26" s="508"/>
      <c r="G26" s="22">
        <v>2</v>
      </c>
      <c r="H26" s="389" t="str">
        <f>VLOOKUP(C26,'Sales Master'!$B$3:$E$590,4,0)</f>
        <v>AD</v>
      </c>
      <c r="I26" s="482" t="str">
        <f>VLOOKUP(C26,'Sales Master'!$B$3:F$590,5,0)</f>
        <v>1 kg/Bag</v>
      </c>
      <c r="J26" s="482"/>
      <c r="K26" s="98">
        <f>VLOOKUP(C26,'Sales Master'!B$3:$CF$331,83,0)</f>
        <v>7</v>
      </c>
      <c r="L26" s="99">
        <f>G26*K26</f>
        <v>14</v>
      </c>
      <c r="N26" s="225">
        <f>VLOOKUP(C26,'Sales Master'!$B$3:$DA$3038,104,0)</f>
        <v>5</v>
      </c>
      <c r="O26" s="225">
        <f>K26-N26</f>
        <v>2</v>
      </c>
      <c r="P26" s="225">
        <f>O26*G26</f>
        <v>4</v>
      </c>
    </row>
    <row r="27" spans="2:22" ht="20.149999999999999" customHeight="1" x14ac:dyDescent="0.45">
      <c r="B27" s="70" t="s">
        <v>2084</v>
      </c>
      <c r="C27" s="22" t="str">
        <f>VLOOKUP(B27,'Sales Master'!A$3:B$581,2,0)</f>
        <v>P1002</v>
      </c>
      <c r="D27" s="508" t="str">
        <f>VLOOKUP(C27,'Sales Master'!B$3:D$499,2,)</f>
        <v>Tadpole蝌蚪</v>
      </c>
      <c r="E27" s="508"/>
      <c r="F27" s="508"/>
      <c r="G27" s="22">
        <v>6</v>
      </c>
      <c r="H27" s="389" t="str">
        <f>VLOOKUP(C27,'Sales Master'!$B$3:$E$590,4,0)</f>
        <v>FJ</v>
      </c>
      <c r="I27" s="482" t="str">
        <f>VLOOKUP(C27,'Sales Master'!$B$3:F$590,5,0)</f>
        <v>1 kg/Bag</v>
      </c>
      <c r="J27" s="482"/>
      <c r="K27" s="98">
        <f>VLOOKUP(C27,'Sales Master'!B$3:$CF$331,83,0)</f>
        <v>6.5</v>
      </c>
      <c r="L27" s="99">
        <f>G27*K27</f>
        <v>39</v>
      </c>
      <c r="N27" s="225">
        <f>VLOOKUP(C27,'Sales Master'!$B$3:$DA$3038,104,0)</f>
        <v>5</v>
      </c>
      <c r="O27" s="225">
        <f>K27-N27</f>
        <v>1.5</v>
      </c>
      <c r="P27" s="225">
        <f>O27*G27</f>
        <v>9</v>
      </c>
    </row>
    <row r="28" spans="2:22" ht="20.149999999999999" customHeight="1" x14ac:dyDescent="0.45">
      <c r="B28" s="70"/>
      <c r="C28" s="22"/>
      <c r="D28" s="508"/>
      <c r="E28" s="508"/>
      <c r="F28" s="508"/>
      <c r="G28" s="22"/>
      <c r="H28" s="68"/>
      <c r="I28" s="481"/>
      <c r="J28" s="481"/>
      <c r="K28" s="98"/>
      <c r="L28" s="99"/>
      <c r="N28" s="225"/>
      <c r="O28" s="225"/>
      <c r="P28" s="225"/>
    </row>
    <row r="29" spans="2:22" ht="20.149999999999999" customHeight="1" x14ac:dyDescent="0.45">
      <c r="B29" s="70"/>
      <c r="C29" s="22"/>
      <c r="G29" s="22"/>
      <c r="H29" s="68"/>
      <c r="I29" s="68"/>
      <c r="J29" s="68"/>
      <c r="K29" s="98"/>
      <c r="L29" s="99"/>
      <c r="N29" s="225"/>
      <c r="O29" s="225"/>
      <c r="P29" s="225"/>
    </row>
    <row r="30" spans="2:22" ht="20.149999999999999" customHeight="1" x14ac:dyDescent="0.45">
      <c r="B30" s="70"/>
      <c r="C30" s="22"/>
      <c r="G30" s="22"/>
      <c r="H30" s="68"/>
      <c r="I30" s="68"/>
      <c r="J30" s="68"/>
      <c r="K30" s="98"/>
      <c r="L30" s="99"/>
      <c r="N30" s="225"/>
      <c r="O30" s="225"/>
      <c r="P30" s="225"/>
    </row>
    <row r="31" spans="2:22" ht="20.149999999999999" customHeight="1" x14ac:dyDescent="0.45">
      <c r="B31" s="70"/>
      <c r="C31" s="22"/>
      <c r="D31" s="508"/>
      <c r="E31" s="508"/>
      <c r="F31" s="508"/>
      <c r="G31" s="90"/>
      <c r="H31" s="68"/>
      <c r="I31" s="481"/>
      <c r="J31" s="481"/>
      <c r="K31" s="98"/>
      <c r="L31" s="99"/>
    </row>
    <row r="32" spans="2:22" ht="20.149999999999999" customHeight="1" x14ac:dyDescent="0.45">
      <c r="B32" s="70"/>
      <c r="C32" s="22"/>
      <c r="D32" s="508"/>
      <c r="E32" s="508"/>
      <c r="F32" s="508"/>
      <c r="G32" s="90"/>
      <c r="H32" s="68"/>
      <c r="I32" s="481"/>
      <c r="J32" s="481"/>
      <c r="K32" s="98"/>
      <c r="L32" s="99"/>
    </row>
    <row r="33" spans="2:14" ht="20.149999999999999" customHeight="1" x14ac:dyDescent="0.45">
      <c r="B33" s="70"/>
      <c r="C33" s="22"/>
      <c r="D33" s="508"/>
      <c r="E33" s="508"/>
      <c r="F33" s="508"/>
      <c r="G33" s="90"/>
      <c r="H33" s="68"/>
      <c r="I33" s="481"/>
      <c r="J33" s="481"/>
      <c r="K33" s="98"/>
      <c r="L33" s="99"/>
    </row>
    <row r="34" spans="2:14" ht="20.149999999999999" customHeight="1" x14ac:dyDescent="0.45">
      <c r="B34" s="70"/>
      <c r="C34" s="22"/>
      <c r="D34" s="508"/>
      <c r="E34" s="508"/>
      <c r="F34" s="508"/>
      <c r="G34" s="90"/>
      <c r="H34" s="68"/>
      <c r="I34" s="481"/>
      <c r="J34" s="481"/>
      <c r="K34" s="98"/>
      <c r="L34" s="99"/>
    </row>
    <row r="35" spans="2:14" ht="20.149999999999999" customHeight="1" x14ac:dyDescent="0.45">
      <c r="B35" s="70"/>
      <c r="C35" s="22"/>
      <c r="D35" s="508"/>
      <c r="E35" s="508"/>
      <c r="F35" s="508"/>
      <c r="G35" s="90"/>
      <c r="H35" s="68"/>
      <c r="I35" s="481"/>
      <c r="J35" s="481"/>
      <c r="K35" s="98"/>
      <c r="L35" s="99"/>
    </row>
    <row r="36" spans="2:14" ht="20.149999999999999" customHeight="1" thickBot="1" x14ac:dyDescent="0.5">
      <c r="B36" s="52"/>
      <c r="C36" s="53"/>
      <c r="D36" s="53"/>
      <c r="E36" s="53"/>
      <c r="F36" s="53"/>
      <c r="G36" s="53"/>
      <c r="H36" s="53"/>
      <c r="I36" s="53"/>
      <c r="J36" s="53"/>
      <c r="K36" s="53"/>
      <c r="L36" s="54"/>
    </row>
    <row r="37" spans="2:14" ht="20.149999999999999" customHeight="1" x14ac:dyDescent="0.45">
      <c r="B37" s="11" t="s">
        <v>18</v>
      </c>
      <c r="C37" s="7"/>
      <c r="D37" s="7"/>
      <c r="E37" s="7"/>
      <c r="F37" s="7"/>
      <c r="G37" s="7"/>
      <c r="H37" s="7"/>
      <c r="I37" s="7"/>
      <c r="J37" s="510" t="s">
        <v>15</v>
      </c>
      <c r="K37" s="511"/>
      <c r="L37" s="43">
        <f>SUM(L17:L36)</f>
        <v>117</v>
      </c>
      <c r="M37" s="76">
        <f>SUM(P25:P27)</f>
        <v>32</v>
      </c>
      <c r="N37" s="201">
        <f>M37/L37</f>
        <v>0.27350427350427353</v>
      </c>
    </row>
    <row r="38" spans="2:14" ht="20.149999999999999" customHeight="1" x14ac:dyDescent="0.45">
      <c r="B38" s="11" t="s">
        <v>19</v>
      </c>
      <c r="C38" s="7"/>
      <c r="D38" s="7"/>
      <c r="E38" s="7"/>
      <c r="F38" s="7"/>
      <c r="G38" s="7"/>
      <c r="H38" s="7"/>
      <c r="I38" s="7"/>
      <c r="J38" s="44" t="s">
        <v>22</v>
      </c>
      <c r="K38" s="45"/>
      <c r="L38" s="46">
        <v>0</v>
      </c>
    </row>
    <row r="39" spans="2:14" ht="20.149999999999999" customHeight="1" x14ac:dyDescent="0.45">
      <c r="B39" s="11" t="s">
        <v>20</v>
      </c>
      <c r="C39" s="7"/>
      <c r="D39" s="7"/>
      <c r="E39" s="7"/>
      <c r="F39" s="7"/>
      <c r="G39" s="7"/>
      <c r="H39" s="7"/>
      <c r="I39" s="7"/>
      <c r="J39" s="486" t="s">
        <v>21</v>
      </c>
      <c r="K39" s="487"/>
      <c r="L39" s="46">
        <f>L37-L38</f>
        <v>117</v>
      </c>
    </row>
    <row r="40" spans="2:14" ht="20.149999999999999" customHeight="1" x14ac:dyDescent="0.45">
      <c r="B40" s="11" t="s">
        <v>24</v>
      </c>
      <c r="C40" s="7"/>
      <c r="D40" s="7"/>
      <c r="E40" s="7"/>
      <c r="F40" s="7"/>
      <c r="G40" s="7"/>
      <c r="H40" s="7"/>
      <c r="I40" s="7"/>
      <c r="J40" s="150" t="s">
        <v>17</v>
      </c>
      <c r="K40" s="151">
        <v>7.0000000000000007E-2</v>
      </c>
      <c r="L40" s="47">
        <f>L39*K40</f>
        <v>8.1900000000000013</v>
      </c>
    </row>
    <row r="41" spans="2:14" ht="20.149999999999999" customHeight="1" thickBot="1" x14ac:dyDescent="0.5">
      <c r="B41" s="11" t="s">
        <v>1400</v>
      </c>
      <c r="C41" s="7"/>
      <c r="D41" s="7"/>
      <c r="E41" s="7"/>
      <c r="F41" s="7"/>
      <c r="G41" s="7"/>
      <c r="H41" s="7"/>
      <c r="I41" s="7"/>
      <c r="J41" s="488" t="s">
        <v>23</v>
      </c>
      <c r="K41" s="489"/>
      <c r="L41" s="48">
        <f>L39+L40</f>
        <v>125.19</v>
      </c>
    </row>
    <row r="42" spans="2:14" ht="20.149999999999999" customHeight="1" x14ac:dyDescent="0.45">
      <c r="B42" s="11" t="s">
        <v>26</v>
      </c>
      <c r="C42" s="7"/>
      <c r="D42" s="7"/>
      <c r="E42" s="7"/>
      <c r="F42" s="7"/>
      <c r="G42" s="7"/>
      <c r="H42" s="7"/>
      <c r="I42" s="7"/>
      <c r="L42" s="42"/>
    </row>
    <row r="43" spans="2:14" ht="20.149999999999999" customHeight="1" x14ac:dyDescent="0.45">
      <c r="B43" s="224" t="s">
        <v>1379</v>
      </c>
      <c r="L43" s="42"/>
    </row>
    <row r="44" spans="2:14" ht="20.149999999999999" customHeight="1" x14ac:dyDescent="0.45">
      <c r="B44" s="41"/>
      <c r="L44" s="42"/>
    </row>
    <row r="45" spans="2:14" ht="20.149999999999999" customHeight="1" x14ac:dyDescent="0.45">
      <c r="B45" s="41"/>
      <c r="L45" s="42"/>
    </row>
    <row r="46" spans="2:14" ht="20.149999999999999" customHeight="1" x14ac:dyDescent="0.45">
      <c r="B46" s="41"/>
      <c r="L46" s="42"/>
    </row>
    <row r="47" spans="2:14" ht="20.149999999999999" customHeight="1" x14ac:dyDescent="0.45">
      <c r="B47" s="49"/>
      <c r="C47" s="50"/>
      <c r="D47" s="50"/>
      <c r="J47" s="50"/>
      <c r="K47" s="50"/>
      <c r="L47" s="51"/>
    </row>
    <row r="48" spans="2:14" ht="20.149999999999999" customHeight="1" x14ac:dyDescent="0.45">
      <c r="B48" s="41" t="s">
        <v>27</v>
      </c>
      <c r="J48" s="24" t="s">
        <v>28</v>
      </c>
      <c r="L48" s="42"/>
    </row>
    <row r="49" spans="2:12" ht="19" thickBot="1" x14ac:dyDescent="0.5">
      <c r="B49" s="52"/>
      <c r="C49" s="53"/>
      <c r="D49" s="53"/>
      <c r="E49" s="53"/>
      <c r="F49" s="53"/>
      <c r="G49" s="53"/>
      <c r="H49" s="53"/>
      <c r="I49" s="53"/>
      <c r="J49" s="53"/>
      <c r="K49" s="53"/>
      <c r="L49" s="54"/>
    </row>
  </sheetData>
  <mergeCells count="49">
    <mergeCell ref="D31:F31"/>
    <mergeCell ref="I31:J31"/>
    <mergeCell ref="D32:F32"/>
    <mergeCell ref="I32:J32"/>
    <mergeCell ref="J41:K41"/>
    <mergeCell ref="J37:K37"/>
    <mergeCell ref="J39:K39"/>
    <mergeCell ref="D33:F33"/>
    <mergeCell ref="I33:J33"/>
    <mergeCell ref="D34:F34"/>
    <mergeCell ref="I34:J34"/>
    <mergeCell ref="D35:F35"/>
    <mergeCell ref="I35:J35"/>
    <mergeCell ref="D26:F26"/>
    <mergeCell ref="I26:J26"/>
    <mergeCell ref="D27:F27"/>
    <mergeCell ref="I27:J27"/>
    <mergeCell ref="D28:F28"/>
    <mergeCell ref="I28:J28"/>
    <mergeCell ref="D23:F23"/>
    <mergeCell ref="I23:J23"/>
    <mergeCell ref="D24:F24"/>
    <mergeCell ref="I24:J24"/>
    <mergeCell ref="D25:F25"/>
    <mergeCell ref="I25:J25"/>
    <mergeCell ref="D20:F20"/>
    <mergeCell ref="I20:J20"/>
    <mergeCell ref="D21:F21"/>
    <mergeCell ref="I21:J21"/>
    <mergeCell ref="D22:F22"/>
    <mergeCell ref="I22:J22"/>
    <mergeCell ref="D17:F17"/>
    <mergeCell ref="I17:J17"/>
    <mergeCell ref="D18:F18"/>
    <mergeCell ref="I18:J18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</mergeCells>
  <pageMargins left="0.70866141732283505" right="0.31496062992126" top="0.59055118110236204" bottom="0" header="0.31496062992126" footer="0.31496062992126"/>
  <pageSetup paperSize="9" scale="76" orientation="portrait" horizontalDpi="300" verticalDpi="300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439F25-AFB1-42DC-A596-81DE980B65CC}">
  <sheetPr codeName="Sheet25">
    <tabColor rgb="FFFF0000"/>
    <pageSetUpPr fitToPage="1"/>
  </sheetPr>
  <dimension ref="A1:Q48"/>
  <sheetViews>
    <sheetView zoomScaleNormal="100" workbookViewId="0">
      <selection activeCell="M30" sqref="M30"/>
    </sheetView>
  </sheetViews>
  <sheetFormatPr defaultColWidth="12.54296875" defaultRowHeight="18.5" x14ac:dyDescent="0.45"/>
  <cols>
    <col min="1" max="1" width="12.54296875" style="24"/>
    <col min="2" max="3" width="12.54296875" style="24" customWidth="1"/>
    <col min="4" max="4" width="14.453125" style="24" customWidth="1"/>
    <col min="5" max="5" width="1.54296875" style="24" customWidth="1"/>
    <col min="6" max="6" width="17.26953125" style="24" customWidth="1"/>
    <col min="7" max="7" width="8.54296875" style="24" customWidth="1"/>
    <col min="8" max="8" width="18.81640625" style="24" customWidth="1"/>
    <col min="9" max="9" width="2.54296875" style="24" customWidth="1"/>
    <col min="10" max="10" width="15.54296875" style="24" customWidth="1"/>
    <col min="11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652</v>
      </c>
      <c r="J10" s="29" t="s">
        <v>29</v>
      </c>
      <c r="K10" s="452">
        <v>202210038</v>
      </c>
      <c r="L10" s="453"/>
    </row>
    <row r="11" spans="2:12" ht="20.149999999999999" customHeight="1" x14ac:dyDescent="0.45">
      <c r="B11" s="454" t="s">
        <v>1403</v>
      </c>
      <c r="C11" s="455"/>
      <c r="D11" s="456"/>
      <c r="E11" s="30"/>
      <c r="F11" s="457" t="str">
        <f>VLOOKUP(H10,'Delivery Location'!A$4:N$416,2,0)</f>
        <v>DRINK &amp; DESSERT STALL                                                     Nex 23 Serangoon Central                                   #04-16. Nex Shopping Mall. Singapore 556083</v>
      </c>
      <c r="G11" s="458"/>
      <c r="H11" s="459"/>
      <c r="J11" s="31" t="s">
        <v>11</v>
      </c>
      <c r="K11" s="466">
        <v>44837</v>
      </c>
      <c r="L11" s="467"/>
    </row>
    <row r="12" spans="2:12" ht="20.149999999999999" customHeight="1" x14ac:dyDescent="0.45">
      <c r="B12" s="468" t="s">
        <v>869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2388</v>
      </c>
      <c r="L12" s="472"/>
    </row>
    <row r="13" spans="2:12" ht="20.149999999999999" customHeight="1" x14ac:dyDescent="0.45">
      <c r="B13" s="468" t="s">
        <v>870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1149</v>
      </c>
      <c r="L13" s="472"/>
    </row>
    <row r="14" spans="2:12" ht="20.149999999999999" customHeight="1" x14ac:dyDescent="0.45">
      <c r="B14" s="468" t="s">
        <v>871</v>
      </c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473" t="s">
        <v>872</v>
      </c>
      <c r="C15" s="474"/>
      <c r="D15" s="475"/>
      <c r="E15" s="26"/>
      <c r="F15" s="463"/>
      <c r="G15" s="464"/>
      <c r="H15" s="465"/>
      <c r="J15" s="32" t="s">
        <v>13</v>
      </c>
      <c r="K15" s="476"/>
      <c r="L15" s="477"/>
    </row>
    <row r="16" spans="2:12" ht="12" customHeight="1" thickBot="1" x14ac:dyDescent="0.5">
      <c r="J16" s="22"/>
    </row>
    <row r="17" spans="1:17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1:17" ht="20.149999999999999" customHeight="1" x14ac:dyDescent="0.45">
      <c r="A18" s="78"/>
      <c r="B18" s="70" t="s">
        <v>63</v>
      </c>
      <c r="C18" s="22" t="str">
        <f>VLOOKUP(B18,'Sales Master'!A$3:B$581,2,0)</f>
        <v>P3016A</v>
      </c>
      <c r="D18" s="508" t="str">
        <f>VLOOKUP(C18,'Sales Master'!B$3:D$499,2,)</f>
        <v>Pearl Barley 薏米</v>
      </c>
      <c r="E18" s="508"/>
      <c r="F18" s="508"/>
      <c r="G18" s="90">
        <v>1</v>
      </c>
      <c r="H18" s="386" t="str">
        <f>VLOOKUP(C18,'Sales Master'!$B$3:$F$3179,5,0)</f>
        <v>5 kgs</v>
      </c>
      <c r="I18" s="513" t="str">
        <f>VLOOKUP(C18,'Sales Master'!$B$3:$E$3179,4,0)</f>
        <v>-</v>
      </c>
      <c r="J18" s="513"/>
      <c r="K18" s="98">
        <f>VLOOKUP(C18,'Sales Master'!B$3:I$581,8,0)</f>
        <v>8.5</v>
      </c>
      <c r="L18" s="99">
        <f t="shared" ref="L18:L25" si="0">K18*G18</f>
        <v>8.5</v>
      </c>
      <c r="N18" s="225">
        <f>VLOOKUP(C18,'Sales Master'!$B$3:$DA$3038,104,0)</f>
        <v>6.8000000000000007</v>
      </c>
      <c r="O18" s="225">
        <f t="shared" ref="O18:O25" si="1">K18-N18</f>
        <v>1.6999999999999993</v>
      </c>
      <c r="P18" s="225">
        <f t="shared" ref="P18:P25" si="2">O18*G18</f>
        <v>1.6999999999999993</v>
      </c>
      <c r="Q18" s="76"/>
    </row>
    <row r="19" spans="1:17" ht="20.149999999999999" customHeight="1" x14ac:dyDescent="0.45">
      <c r="A19" s="78"/>
      <c r="B19" s="70" t="s">
        <v>82</v>
      </c>
      <c r="C19" s="22" t="str">
        <f>VLOOKUP(B19,'Sales Master'!A$3:B$581,2,0)</f>
        <v>P3019A</v>
      </c>
      <c r="D19" s="508" t="str">
        <f>VLOOKUP(C19,'Sales Master'!B$3:D$499,2,)</f>
        <v>Dried Longan 龙眼干</v>
      </c>
      <c r="E19" s="508"/>
      <c r="F19" s="508"/>
      <c r="G19" s="90">
        <v>3</v>
      </c>
      <c r="H19" s="386" t="str">
        <f>VLOOKUP(C19,'Sales Master'!$B$3:$F$3179,5,0)</f>
        <v>1 kg</v>
      </c>
      <c r="I19" s="513" t="str">
        <f>VLOOKUP(C19,'Sales Master'!$B$3:$E$3179,4,0)</f>
        <v>TL</v>
      </c>
      <c r="J19" s="513"/>
      <c r="K19" s="98">
        <f>VLOOKUP(C19,'Sales Master'!B$3:I$581,8,0)</f>
        <v>12</v>
      </c>
      <c r="L19" s="99">
        <f t="shared" si="0"/>
        <v>36</v>
      </c>
      <c r="N19" s="225">
        <f>VLOOKUP(C19,'Sales Master'!$B$3:$DA$3038,104,0)</f>
        <v>8.5</v>
      </c>
      <c r="O19" s="225">
        <f t="shared" si="1"/>
        <v>3.5</v>
      </c>
      <c r="P19" s="225">
        <f t="shared" si="2"/>
        <v>10.5</v>
      </c>
      <c r="Q19" s="76"/>
    </row>
    <row r="20" spans="1:17" ht="20.149999999999999" customHeight="1" x14ac:dyDescent="0.45">
      <c r="A20" s="78"/>
      <c r="B20" s="70" t="s">
        <v>83</v>
      </c>
      <c r="C20" s="22" t="str">
        <f>VLOOKUP(B20,'Sales Master'!A$3:B$581,2,0)</f>
        <v>P3009A</v>
      </c>
      <c r="D20" s="508" t="str">
        <f>VLOOKUP(C20,'Sales Master'!B$3:D$499,2,)</f>
        <v>Green Bean 绿豆</v>
      </c>
      <c r="E20" s="508"/>
      <c r="F20" s="508"/>
      <c r="G20" s="90">
        <v>1</v>
      </c>
      <c r="H20" s="386" t="str">
        <f>VLOOKUP(C20,'Sales Master'!$B$3:$F$3179,5,0)</f>
        <v>5 kgs</v>
      </c>
      <c r="I20" s="513" t="str">
        <f>VLOOKUP(C20,'Sales Master'!$B$3:$E$3179,4,0)</f>
        <v>-</v>
      </c>
      <c r="J20" s="513"/>
      <c r="K20" s="98">
        <f>VLOOKUP(C20,'Sales Master'!B$3:I$581,8,0)</f>
        <v>14</v>
      </c>
      <c r="L20" s="99">
        <f>K20*G20</f>
        <v>14</v>
      </c>
      <c r="N20" s="225">
        <f>VLOOKUP(C20,'Sales Master'!$B$3:$DA$3038,104,0)</f>
        <v>9.3999999999999986</v>
      </c>
      <c r="O20" s="225">
        <f>K20-N20</f>
        <v>4.6000000000000014</v>
      </c>
      <c r="P20" s="225">
        <f>O20*G20</f>
        <v>4.6000000000000014</v>
      </c>
      <c r="Q20" s="76"/>
    </row>
    <row r="21" spans="1:17" ht="20.149999999999999" customHeight="1" x14ac:dyDescent="0.45">
      <c r="A21" s="78"/>
      <c r="B21" s="70" t="s">
        <v>93</v>
      </c>
      <c r="C21" s="22" t="str">
        <f>VLOOKUP(B21,'Sales Master'!A$3:B$581,2,0)</f>
        <v>P3005A</v>
      </c>
      <c r="D21" s="508" t="str">
        <f>VLOOKUP(C21,'Sales Master'!B$3:D$499,2,)</f>
        <v>Red Bean红豆 (5.5 mm)</v>
      </c>
      <c r="E21" s="508"/>
      <c r="F21" s="508"/>
      <c r="G21" s="90">
        <v>2</v>
      </c>
      <c r="H21" s="386" t="str">
        <f>VLOOKUP(C21,'Sales Master'!$B$3:$F$3179,5,0)</f>
        <v>5 kgs</v>
      </c>
      <c r="I21" s="513" t="str">
        <f>VLOOKUP(C21,'Sales Master'!$B$3:$E$3179,4,0)</f>
        <v>-</v>
      </c>
      <c r="J21" s="513"/>
      <c r="K21" s="98">
        <f>VLOOKUP(C21,'Sales Master'!B$3:I$581,8,0)</f>
        <v>20</v>
      </c>
      <c r="L21" s="99">
        <f t="shared" si="0"/>
        <v>40</v>
      </c>
      <c r="N21" s="225">
        <f>VLOOKUP(C21,'Sales Master'!$B$3:$DA$3038,104,0)</f>
        <v>17</v>
      </c>
      <c r="O21" s="225">
        <f t="shared" si="1"/>
        <v>3</v>
      </c>
      <c r="P21" s="225">
        <f t="shared" si="2"/>
        <v>6</v>
      </c>
      <c r="Q21" s="76"/>
    </row>
    <row r="22" spans="1:17" ht="20.149999999999999" customHeight="1" x14ac:dyDescent="0.45">
      <c r="A22" s="78"/>
      <c r="B22" s="70" t="s">
        <v>94</v>
      </c>
      <c r="C22" s="22" t="str">
        <f>VLOOKUP(B22,'Sales Master'!A$3:B$581,2,0)</f>
        <v>P3012A</v>
      </c>
      <c r="D22" s="508" t="str">
        <f>VLOOKUP(C22,'Sales Master'!B$3:D$499,2,)</f>
        <v>Split Green Mung Bean豆畔</v>
      </c>
      <c r="E22" s="508"/>
      <c r="F22" s="508"/>
      <c r="G22" s="90">
        <v>1</v>
      </c>
      <c r="H22" s="386" t="str">
        <f>VLOOKUP(C22,'Sales Master'!$B$3:$F$3179,5,0)</f>
        <v>5 KG</v>
      </c>
      <c r="I22" s="513" t="str">
        <f>VLOOKUP(C22,'Sales Master'!$B$3:$E$3179,4,0)</f>
        <v>-</v>
      </c>
      <c r="J22" s="513"/>
      <c r="K22" s="98">
        <f>VLOOKUP(C22,'Sales Master'!B$3:I$581,8,0)</f>
        <v>17</v>
      </c>
      <c r="L22" s="99">
        <f t="shared" si="0"/>
        <v>17</v>
      </c>
      <c r="N22" s="225">
        <f>VLOOKUP(C22,'Sales Master'!$B$3:$DA$3038,104,0)</f>
        <v>12.166666666666666</v>
      </c>
      <c r="O22" s="225">
        <f t="shared" si="1"/>
        <v>4.8333333333333339</v>
      </c>
      <c r="P22" s="225">
        <f t="shared" si="2"/>
        <v>4.8333333333333339</v>
      </c>
      <c r="Q22" s="76"/>
    </row>
    <row r="23" spans="1:17" ht="20.149999999999999" customHeight="1" x14ac:dyDescent="0.45">
      <c r="A23" s="78"/>
      <c r="B23" s="70" t="s">
        <v>97</v>
      </c>
      <c r="C23" s="22" t="str">
        <f>VLOOKUP(B23,'Sales Master'!A$3:B$581,2,0)</f>
        <v>P3014A</v>
      </c>
      <c r="D23" s="508" t="str">
        <f>VLOOKUP(C23,'Sales Master'!B$3:D$499,2,)</f>
        <v>White Glutinous Rice白糯米</v>
      </c>
      <c r="E23" s="508"/>
      <c r="F23" s="508"/>
      <c r="G23" s="90">
        <v>1</v>
      </c>
      <c r="H23" s="386" t="str">
        <f>VLOOKUP(C23,'Sales Master'!$B$3:$F$3179,5,0)</f>
        <v>5 kgs</v>
      </c>
      <c r="I23" s="513" t="str">
        <f>VLOOKUP(C23,'Sales Master'!$B$3:$E$3179,4,0)</f>
        <v>-</v>
      </c>
      <c r="J23" s="513"/>
      <c r="K23" s="98">
        <f>VLOOKUP(C23,'Sales Master'!B$3:I$581,8,0)</f>
        <v>11</v>
      </c>
      <c r="L23" s="99">
        <f t="shared" si="0"/>
        <v>11</v>
      </c>
      <c r="N23" s="225">
        <f>VLOOKUP(C23,'Sales Master'!$B$3:$DA$3038,104,0)</f>
        <v>6</v>
      </c>
      <c r="O23" s="225">
        <f t="shared" si="1"/>
        <v>5</v>
      </c>
      <c r="P23" s="225">
        <f t="shared" si="2"/>
        <v>5</v>
      </c>
      <c r="Q23" s="76"/>
    </row>
    <row r="24" spans="1:17" ht="20.149999999999999" customHeight="1" x14ac:dyDescent="0.45">
      <c r="A24" s="78"/>
      <c r="B24" s="70" t="s">
        <v>70</v>
      </c>
      <c r="C24" s="22" t="str">
        <f>VLOOKUP(B24,'Sales Master'!A$3:B$581,2,0)</f>
        <v>M1014</v>
      </c>
      <c r="D24" s="508" t="str">
        <f>VLOOKUP(C24,'Sales Master'!B$3:D$499,2,)</f>
        <v>Chendol浆咯</v>
      </c>
      <c r="E24" s="508"/>
      <c r="F24" s="508"/>
      <c r="G24" s="90">
        <v>3</v>
      </c>
      <c r="H24" s="386" t="str">
        <f>VLOOKUP(C24,'Sales Master'!$B$3:$F$3179,5,0)</f>
        <v>NW(2.2:0.8) 3 KG/BAG</v>
      </c>
      <c r="I24" s="513" t="str">
        <f>VLOOKUP(C24,'Sales Master'!$B$3:$E$3179,4,0)</f>
        <v>DO!</v>
      </c>
      <c r="J24" s="513"/>
      <c r="K24" s="98">
        <f>VLOOKUP(C24,'Sales Master'!B$3:I$581,8,0)</f>
        <v>6.5</v>
      </c>
      <c r="L24" s="99">
        <f>K24*G24</f>
        <v>19.5</v>
      </c>
      <c r="N24" s="225">
        <f>VLOOKUP(C24,'Sales Master'!$B$3:$DA$3038,104,0)</f>
        <v>1.85</v>
      </c>
      <c r="O24" s="225">
        <f>K24-N24</f>
        <v>4.6500000000000004</v>
      </c>
      <c r="P24" s="225">
        <f>O24*G24</f>
        <v>13.950000000000001</v>
      </c>
      <c r="Q24" s="76"/>
    </row>
    <row r="25" spans="1:17" ht="20.149999999999999" customHeight="1" x14ac:dyDescent="0.45">
      <c r="A25" s="78"/>
      <c r="B25" s="70" t="s">
        <v>62</v>
      </c>
      <c r="C25" s="22" t="str">
        <f>VLOOKUP(B25,'Sales Master'!A$3:B$581,2,0)</f>
        <v>P5002B</v>
      </c>
      <c r="D25" s="508" t="str">
        <f>VLOOKUP(C25,'Sales Master'!B$3:D$499,2,)</f>
        <v>Brown Sugar 黑糖</v>
      </c>
      <c r="E25" s="508"/>
      <c r="F25" s="508"/>
      <c r="G25" s="90">
        <v>1</v>
      </c>
      <c r="H25" s="386" t="str">
        <f>VLOOKUP(C25,'Sales Master'!$B$3:$F$3179,5,0)</f>
        <v>6 kgs</v>
      </c>
      <c r="I25" s="513" t="str">
        <f>VLOOKUP(C25,'Sales Master'!$B$3:$E$3179,4,0)</f>
        <v>Thailand</v>
      </c>
      <c r="J25" s="513"/>
      <c r="K25" s="98">
        <f>VLOOKUP(C25,'Sales Master'!B$3:I$581,8,0)</f>
        <v>13</v>
      </c>
      <c r="L25" s="99">
        <f t="shared" si="0"/>
        <v>13</v>
      </c>
      <c r="N25" s="225">
        <f>VLOOKUP(C25,'Sales Master'!$B$3:$DA$3038,104,0)</f>
        <v>11.2</v>
      </c>
      <c r="O25" s="225">
        <f t="shared" si="1"/>
        <v>1.8000000000000007</v>
      </c>
      <c r="P25" s="225">
        <f t="shared" si="2"/>
        <v>1.8000000000000007</v>
      </c>
      <c r="Q25" s="76"/>
    </row>
    <row r="26" spans="1:17" ht="20.149999999999999" customHeight="1" x14ac:dyDescent="0.45">
      <c r="A26" s="78"/>
      <c r="B26" s="70" t="s">
        <v>104</v>
      </c>
      <c r="C26" s="22" t="str">
        <f>VLOOKUP(B26,'Sales Master'!A$3:B$581,2,0)</f>
        <v>P5008</v>
      </c>
      <c r="D26" s="508" t="str">
        <f>VLOOKUP(C26,'Sales Master'!B$3:D$499,2,)</f>
        <v>Coconut Sugar椰糖</v>
      </c>
      <c r="E26" s="508"/>
      <c r="F26" s="508"/>
      <c r="G26" s="90">
        <v>1</v>
      </c>
      <c r="H26" s="386" t="str">
        <f>VLOOKUP(C26,'Sales Master'!$B$3:$F$3179,5,0)</f>
        <v>10kgs/ctn</v>
      </c>
      <c r="I26" s="513" t="str">
        <f>VLOOKUP(C26,'Sales Master'!$B$3:$E$3179,4,0)</f>
        <v>BL BRAND</v>
      </c>
      <c r="J26" s="513"/>
      <c r="K26" s="98">
        <f>VLOOKUP(C26,'Sales Master'!B$3:I$581,8,0)</f>
        <v>32</v>
      </c>
      <c r="L26" s="99">
        <f t="shared" ref="L26:L31" si="3">K26*G26</f>
        <v>32</v>
      </c>
      <c r="N26" s="225">
        <f>VLOOKUP(C26,'Sales Master'!$B$3:$DA$3038,104,0)</f>
        <v>28</v>
      </c>
      <c r="O26" s="225">
        <f t="shared" ref="O26:O31" si="4">K26-N26</f>
        <v>4</v>
      </c>
      <c r="P26" s="225">
        <f t="shared" ref="P26:P31" si="5">O26*G26</f>
        <v>4</v>
      </c>
      <c r="Q26" s="76"/>
    </row>
    <row r="27" spans="1:17" ht="20.149999999999999" customHeight="1" x14ac:dyDescent="0.45">
      <c r="A27" s="78"/>
      <c r="B27" s="70" t="s">
        <v>78</v>
      </c>
      <c r="C27" s="22" t="str">
        <f>VLOOKUP(B27,'Sales Master'!A$3:B$581,2,0)</f>
        <v>P6014</v>
      </c>
      <c r="D27" s="508" t="str">
        <f>VLOOKUP(C27,'Sales Master'!B$3:D$499,2,)</f>
        <v>Yu Tiao 油条</v>
      </c>
      <c r="E27" s="508"/>
      <c r="F27" s="508"/>
      <c r="G27" s="90">
        <v>20</v>
      </c>
      <c r="H27" s="386" t="str">
        <f>VLOOKUP(C27,'Sales Master'!$B$3:$F$3179,5,0)</f>
        <v>1 pc</v>
      </c>
      <c r="I27" s="513" t="str">
        <f>VLOOKUP(C27,'Sales Master'!$B$3:$E$3179,4,0)</f>
        <v>-</v>
      </c>
      <c r="J27" s="513"/>
      <c r="K27" s="98">
        <f>VLOOKUP(C27,'Sales Master'!B$3:I$581,8,0)</f>
        <v>0.5</v>
      </c>
      <c r="L27" s="99">
        <f t="shared" si="3"/>
        <v>10</v>
      </c>
      <c r="N27" s="225">
        <f>VLOOKUP(C27,'Sales Master'!$B$3:$DA$3038,104,0)</f>
        <v>0.4</v>
      </c>
      <c r="O27" s="225">
        <f t="shared" si="4"/>
        <v>9.9999999999999978E-2</v>
      </c>
      <c r="P27" s="225">
        <f t="shared" si="5"/>
        <v>1.9999999999999996</v>
      </c>
      <c r="Q27" s="76"/>
    </row>
    <row r="28" spans="1:17" ht="20.149999999999999" customHeight="1" x14ac:dyDescent="0.45">
      <c r="A28" s="78"/>
      <c r="B28" s="70" t="s">
        <v>77</v>
      </c>
      <c r="C28" s="22" t="str">
        <f>VLOOKUP(B28,'Sales Master'!A$3:B$581,2,0)</f>
        <v>P6005</v>
      </c>
      <c r="D28" s="508" t="str">
        <f>VLOOKUP(C28,'Sales Master'!B$3:D$499,2,)</f>
        <v>Yam 芋头</v>
      </c>
      <c r="E28" s="508"/>
      <c r="F28" s="508"/>
      <c r="G28" s="90">
        <v>6</v>
      </c>
      <c r="H28" s="386" t="str">
        <f>VLOOKUP(C28,'Sales Master'!$B$3:$F$3179,5,0)</f>
        <v>1 KG</v>
      </c>
      <c r="I28" s="513" t="str">
        <f>VLOOKUP(C28,'Sales Master'!$B$3:$E$3179,4,0)</f>
        <v>Malaysia</v>
      </c>
      <c r="J28" s="513"/>
      <c r="K28" s="98">
        <f>VLOOKUP(C28,'Sales Master'!B$3:I$581,8,0)</f>
        <v>4</v>
      </c>
      <c r="L28" s="99">
        <f t="shared" si="3"/>
        <v>24</v>
      </c>
      <c r="N28" s="225">
        <f>VLOOKUP(C28,'Sales Master'!$B$3:$DA$3038,104,0)</f>
        <v>1.8</v>
      </c>
      <c r="O28" s="225">
        <f t="shared" si="4"/>
        <v>2.2000000000000002</v>
      </c>
      <c r="P28" s="225">
        <f t="shared" si="5"/>
        <v>13.200000000000001</v>
      </c>
      <c r="Q28" s="76"/>
    </row>
    <row r="29" spans="1:17" ht="20.149999999999999" customHeight="1" x14ac:dyDescent="0.45">
      <c r="A29" s="78"/>
      <c r="B29" s="70" t="s">
        <v>76</v>
      </c>
      <c r="C29" s="22" t="str">
        <f>VLOOKUP(B29,'Sales Master'!A$3:B$581,2,0)</f>
        <v>P6002</v>
      </c>
      <c r="D29" s="508" t="str">
        <f>VLOOKUP(C29,'Sales Master'!B$3:D$499,2,)</f>
        <v>Sweet Potato 番薯</v>
      </c>
      <c r="E29" s="508"/>
      <c r="F29" s="508"/>
      <c r="G29" s="90">
        <v>20</v>
      </c>
      <c r="H29" s="386" t="str">
        <f>VLOOKUP(C29,'Sales Master'!$B$3:$F$3179,5,0)</f>
        <v>1 KG</v>
      </c>
      <c r="I29" s="513" t="str">
        <f>VLOOKUP(C29,'Sales Master'!$B$3:$E$3179,4,0)</f>
        <v>Malaysia</v>
      </c>
      <c r="J29" s="513"/>
      <c r="K29" s="98">
        <f>VLOOKUP(C29,'Sales Master'!B$3:I$581,8,0)</f>
        <v>2.2000000000000002</v>
      </c>
      <c r="L29" s="99">
        <f t="shared" si="3"/>
        <v>44</v>
      </c>
      <c r="N29" s="225">
        <f>VLOOKUP(C29,'Sales Master'!$B$3:$DA$3038,104,0)</f>
        <v>1.8666666666666665</v>
      </c>
      <c r="O29" s="225">
        <f t="shared" si="4"/>
        <v>0.3333333333333337</v>
      </c>
      <c r="P29" s="225">
        <f t="shared" si="5"/>
        <v>6.6666666666666741</v>
      </c>
      <c r="Q29" s="76"/>
    </row>
    <row r="30" spans="1:17" ht="20.149999999999999" customHeight="1" x14ac:dyDescent="0.45">
      <c r="A30" s="78"/>
      <c r="B30" s="70" t="s">
        <v>74</v>
      </c>
      <c r="C30" s="22" t="str">
        <f>VLOOKUP(B30,'Sales Master'!A$3:B$581,2,0)</f>
        <v>P6007</v>
      </c>
      <c r="D30" s="508" t="str">
        <f>VLOOKUP(C30,'Sales Master'!B$3:D$499,2,)</f>
        <v>Pandan Leaf 班兰叶</v>
      </c>
      <c r="E30" s="508"/>
      <c r="F30" s="508"/>
      <c r="G30" s="90">
        <v>1</v>
      </c>
      <c r="H30" s="386" t="str">
        <f>VLOOKUP(C30,'Sales Master'!$B$3:$F$3179,5,0)</f>
        <v>1 kg</v>
      </c>
      <c r="I30" s="513" t="str">
        <f>VLOOKUP(C30,'Sales Master'!$B$3:$E$3179,4,0)</f>
        <v>-</v>
      </c>
      <c r="J30" s="513"/>
      <c r="K30" s="98">
        <f>VLOOKUP(C30,'Sales Master'!B$3:I$581,8,0)</f>
        <v>1.8</v>
      </c>
      <c r="L30" s="99">
        <f t="shared" si="3"/>
        <v>1.8</v>
      </c>
      <c r="N30" s="225">
        <f>VLOOKUP(C30,'Sales Master'!$B$3:$DA$3038,104,0)</f>
        <v>1</v>
      </c>
      <c r="O30" s="225">
        <f t="shared" si="4"/>
        <v>0.8</v>
      </c>
      <c r="P30" s="225">
        <f t="shared" si="5"/>
        <v>0.8</v>
      </c>
      <c r="Q30" s="76"/>
    </row>
    <row r="31" spans="1:17" ht="20.149999999999999" customHeight="1" x14ac:dyDescent="0.45">
      <c r="A31" s="78"/>
      <c r="B31" s="70" t="s">
        <v>86</v>
      </c>
      <c r="C31" s="22" t="str">
        <f>VLOOKUP(B31,'Sales Master'!A$3:B$581,2,0)</f>
        <v>P6008</v>
      </c>
      <c r="D31" s="508" t="str">
        <f>VLOOKUP(C31,'Sales Master'!B$3:D$499,2,)</f>
        <v>Lime 酸甘</v>
      </c>
      <c r="E31" s="508"/>
      <c r="F31" s="508"/>
      <c r="G31" s="90">
        <v>0.5</v>
      </c>
      <c r="H31" s="386" t="str">
        <f>VLOOKUP(C31,'Sales Master'!$B$3:$F$3179,5,0)</f>
        <v>1 kg</v>
      </c>
      <c r="I31" s="513" t="str">
        <f>VLOOKUP(C31,'Sales Master'!$B$3:$E$3179,4,0)</f>
        <v>-</v>
      </c>
      <c r="J31" s="513"/>
      <c r="K31" s="98">
        <f>VLOOKUP(C31,'Sales Master'!B$3:I$581,8,0)</f>
        <v>2.8</v>
      </c>
      <c r="L31" s="99">
        <f t="shared" si="3"/>
        <v>1.4</v>
      </c>
      <c r="N31" s="225">
        <f>VLOOKUP(C31,'Sales Master'!$B$3:$DA$3038,104,0)</f>
        <v>1.9</v>
      </c>
      <c r="O31" s="225">
        <f t="shared" si="4"/>
        <v>0.89999999999999991</v>
      </c>
      <c r="P31" s="225">
        <f t="shared" si="5"/>
        <v>0.44999999999999996</v>
      </c>
      <c r="Q31" s="76"/>
    </row>
    <row r="32" spans="1:17" ht="20.149999999999999" customHeight="1" x14ac:dyDescent="0.45">
      <c r="A32" s="78"/>
      <c r="B32" s="218"/>
      <c r="C32" s="196"/>
      <c r="D32" s="219"/>
      <c r="E32" s="219"/>
      <c r="F32" s="219"/>
      <c r="G32" s="196"/>
      <c r="H32" s="217"/>
      <c r="I32" s="563"/>
      <c r="J32" s="563"/>
      <c r="K32" s="128"/>
      <c r="L32" s="137"/>
      <c r="M32" s="76"/>
      <c r="N32" s="76"/>
      <c r="Q32" s="76"/>
    </row>
    <row r="33" spans="1:17" ht="20.149999999999999" customHeight="1" thickBot="1" x14ac:dyDescent="0.5">
      <c r="A33" s="78"/>
      <c r="B33" s="220"/>
      <c r="C33" s="90"/>
      <c r="D33" s="78"/>
      <c r="E33" s="78"/>
      <c r="F33" s="78"/>
      <c r="G33" s="90"/>
      <c r="H33" s="97"/>
      <c r="I33" s="90"/>
      <c r="J33" s="90"/>
      <c r="K33" s="98"/>
      <c r="L33" s="99"/>
    </row>
    <row r="34" spans="1:17" ht="20.149999999999999" customHeight="1" x14ac:dyDescent="0.45">
      <c r="A34" s="78"/>
      <c r="B34" s="221" t="s">
        <v>18</v>
      </c>
      <c r="C34" s="207"/>
      <c r="D34" s="207"/>
      <c r="E34" s="207"/>
      <c r="F34" s="207"/>
      <c r="G34" s="207"/>
      <c r="H34" s="207"/>
      <c r="I34" s="207"/>
      <c r="J34" s="561" t="s">
        <v>15</v>
      </c>
      <c r="K34" s="562"/>
      <c r="L34" s="222">
        <f>SUM(L16:L32)</f>
        <v>272.2</v>
      </c>
      <c r="M34" s="76">
        <f>SUM(P18:P32)</f>
        <v>75.500000000000014</v>
      </c>
      <c r="N34" s="201">
        <f>M34/L34</f>
        <v>0.27736958119030131</v>
      </c>
      <c r="Q34" s="201"/>
    </row>
    <row r="35" spans="1:17" ht="20.149999999999999" customHeight="1" x14ac:dyDescent="0.45">
      <c r="B35" s="11" t="s">
        <v>19</v>
      </c>
      <c r="C35" s="7"/>
      <c r="D35" s="7"/>
      <c r="E35" s="7"/>
      <c r="F35" s="7"/>
      <c r="G35" s="7"/>
      <c r="H35" s="7"/>
      <c r="I35" s="7"/>
      <c r="J35" s="44" t="s">
        <v>22</v>
      </c>
      <c r="K35" s="45"/>
      <c r="L35" s="46">
        <v>0</v>
      </c>
      <c r="M35" s="76"/>
    </row>
    <row r="36" spans="1:17" ht="20.149999999999999" customHeight="1" x14ac:dyDescent="0.45">
      <c r="B36" s="11" t="s">
        <v>20</v>
      </c>
      <c r="C36" s="7"/>
      <c r="D36" s="7"/>
      <c r="E36" s="7"/>
      <c r="F36" s="7"/>
      <c r="G36" s="7"/>
      <c r="H36" s="7"/>
      <c r="I36" s="7"/>
      <c r="J36" s="486" t="s">
        <v>21</v>
      </c>
      <c r="K36" s="487"/>
      <c r="L36" s="46">
        <f>L34-L35</f>
        <v>272.2</v>
      </c>
    </row>
    <row r="37" spans="1:17" ht="20.149999999999999" customHeight="1" x14ac:dyDescent="0.45">
      <c r="B37" s="11" t="s">
        <v>24</v>
      </c>
      <c r="C37" s="7"/>
      <c r="D37" s="7"/>
      <c r="E37" s="7"/>
      <c r="F37" s="7"/>
      <c r="G37" s="7"/>
      <c r="H37" s="7"/>
      <c r="I37" s="7"/>
      <c r="J37" s="150" t="s">
        <v>17</v>
      </c>
      <c r="K37" s="151">
        <v>7.0000000000000007E-2</v>
      </c>
      <c r="L37" s="47">
        <f>L36*K37</f>
        <v>19.054000000000002</v>
      </c>
    </row>
    <row r="38" spans="1:17" ht="20.149999999999999" customHeight="1" thickBot="1" x14ac:dyDescent="0.5">
      <c r="B38" s="11" t="s">
        <v>1400</v>
      </c>
      <c r="C38" s="7"/>
      <c r="D38" s="7"/>
      <c r="E38" s="7"/>
      <c r="F38" s="7"/>
      <c r="G38" s="7"/>
      <c r="H38" s="7"/>
      <c r="I38" s="7"/>
      <c r="J38" s="488" t="s">
        <v>23</v>
      </c>
      <c r="K38" s="489"/>
      <c r="L38" s="48">
        <f>L36+L37</f>
        <v>291.25400000000002</v>
      </c>
    </row>
    <row r="39" spans="1:17" ht="20.149999999999999" customHeight="1" x14ac:dyDescent="0.45">
      <c r="B39" s="11" t="s">
        <v>26</v>
      </c>
      <c r="C39" s="7"/>
      <c r="D39" s="7"/>
      <c r="E39" s="7"/>
      <c r="F39" s="7"/>
      <c r="G39" s="7"/>
      <c r="H39" s="7"/>
      <c r="I39" s="7"/>
      <c r="L39" s="42"/>
    </row>
    <row r="40" spans="1:17" ht="18" customHeight="1" x14ac:dyDescent="0.45">
      <c r="B40" s="224" t="s">
        <v>1379</v>
      </c>
      <c r="L40" s="42"/>
    </row>
    <row r="41" spans="1:17" ht="18" customHeight="1" x14ac:dyDescent="0.45">
      <c r="B41" s="41"/>
      <c r="L41" s="42"/>
      <c r="N41" s="373">
        <v>44641</v>
      </c>
      <c r="O41" s="24">
        <v>287.5</v>
      </c>
      <c r="P41" s="24">
        <v>54.36</v>
      </c>
      <c r="Q41" s="201">
        <f>P41/O41</f>
        <v>0.18907826086956522</v>
      </c>
    </row>
    <row r="42" spans="1:17" ht="18" customHeight="1" x14ac:dyDescent="0.45">
      <c r="B42" s="41"/>
      <c r="L42" s="42"/>
      <c r="N42" s="373"/>
      <c r="Q42" s="201"/>
    </row>
    <row r="43" spans="1:17" ht="18" customHeight="1" x14ac:dyDescent="0.45">
      <c r="B43" s="41"/>
      <c r="L43" s="42"/>
      <c r="N43" s="373"/>
      <c r="Q43" s="201"/>
    </row>
    <row r="44" spans="1:17" ht="18" customHeight="1" x14ac:dyDescent="0.45">
      <c r="B44" s="41"/>
      <c r="L44" s="42"/>
      <c r="N44" s="373"/>
      <c r="Q44" s="201"/>
    </row>
    <row r="45" spans="1:17" ht="18" customHeight="1" x14ac:dyDescent="0.45">
      <c r="B45" s="49"/>
      <c r="C45" s="50"/>
      <c r="D45" s="50"/>
      <c r="J45" s="50"/>
      <c r="K45" s="50"/>
      <c r="L45" s="51"/>
    </row>
    <row r="46" spans="1:17" ht="20.149999999999999" customHeight="1" x14ac:dyDescent="0.45">
      <c r="B46" s="41" t="s">
        <v>27</v>
      </c>
      <c r="J46" s="24" t="s">
        <v>28</v>
      </c>
      <c r="L46" s="42"/>
    </row>
    <row r="47" spans="1:17" ht="19" thickBot="1" x14ac:dyDescent="0.5">
      <c r="B47" s="52"/>
      <c r="C47" s="53"/>
      <c r="D47" s="53"/>
      <c r="E47" s="53"/>
      <c r="F47" s="53"/>
      <c r="G47" s="53"/>
      <c r="H47" s="53"/>
      <c r="I47" s="53"/>
      <c r="J47" s="53"/>
      <c r="K47" s="53"/>
      <c r="L47" s="54"/>
    </row>
    <row r="48" spans="1:17" ht="20.5" x14ac:dyDescent="0.45">
      <c r="F48" s="426"/>
    </row>
  </sheetData>
  <mergeCells count="47">
    <mergeCell ref="D23:F23"/>
    <mergeCell ref="D20:F20"/>
    <mergeCell ref="I20:J20"/>
    <mergeCell ref="I23:J23"/>
    <mergeCell ref="D31:F31"/>
    <mergeCell ref="D26:F26"/>
    <mergeCell ref="I26:J26"/>
    <mergeCell ref="I31:J31"/>
    <mergeCell ref="D24:F24"/>
    <mergeCell ref="D30:F30"/>
    <mergeCell ref="D27:F27"/>
    <mergeCell ref="D25:F25"/>
    <mergeCell ref="D28:F28"/>
    <mergeCell ref="D29:F29"/>
    <mergeCell ref="I17:J17"/>
    <mergeCell ref="D19:F19"/>
    <mergeCell ref="I19:J19"/>
    <mergeCell ref="D22:F22"/>
    <mergeCell ref="D17:F17"/>
    <mergeCell ref="D21:F21"/>
    <mergeCell ref="I21:J21"/>
    <mergeCell ref="I22:J22"/>
    <mergeCell ref="D18:F18"/>
    <mergeCell ref="I18:J18"/>
    <mergeCell ref="I24:J24"/>
    <mergeCell ref="I28:J28"/>
    <mergeCell ref="I29:J29"/>
    <mergeCell ref="I25:J25"/>
    <mergeCell ref="I27:J27"/>
    <mergeCell ref="J38:K38"/>
    <mergeCell ref="J34:K34"/>
    <mergeCell ref="J36:K36"/>
    <mergeCell ref="I32:J32"/>
    <mergeCell ref="I30:J30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K14:L14"/>
    <mergeCell ref="B14:D14"/>
    <mergeCell ref="K15:L15"/>
    <mergeCell ref="B15:D15"/>
  </mergeCells>
  <hyperlinks>
    <hyperlink ref="B15" r:id="rId1" xr:uid="{B75574D6-7B7F-4B69-8971-620E9BB76D3C}"/>
  </hyperlinks>
  <pageMargins left="0.70866141732283472" right="0.31496062992125984" top="0.59055118110236227" bottom="0" header="0.31496062992125984" footer="0.31496062992125984"/>
  <pageSetup paperSize="9" scale="73" orientation="portrait" horizontalDpi="300" verticalDpi="300" r:id="rId2"/>
  <drawing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94EFA7-3510-4838-BBE6-01AF520265AE}">
  <sheetPr codeName="Sheet203">
    <tabColor rgb="FFFF0000"/>
    <pageSetUpPr fitToPage="1"/>
  </sheetPr>
  <dimension ref="A1:Q45"/>
  <sheetViews>
    <sheetView zoomScaleNormal="100" workbookViewId="0">
      <selection activeCell="K11" sqref="K11:L11"/>
    </sheetView>
  </sheetViews>
  <sheetFormatPr defaultColWidth="12.54296875" defaultRowHeight="18.5" x14ac:dyDescent="0.45"/>
  <cols>
    <col min="1" max="1" width="12.54296875" style="24"/>
    <col min="2" max="3" width="12.54296875" style="24" customWidth="1"/>
    <col min="4" max="4" width="14.453125" style="24" customWidth="1"/>
    <col min="5" max="5" width="1.54296875" style="24" customWidth="1"/>
    <col min="6" max="6" width="17.26953125" style="24" customWidth="1"/>
    <col min="7" max="7" width="8.54296875" style="24" customWidth="1"/>
    <col min="8" max="8" width="18.81640625" style="24" customWidth="1"/>
    <col min="9" max="9" width="2.54296875" style="24" customWidth="1"/>
    <col min="10" max="10" width="15.54296875" style="24" customWidth="1"/>
    <col min="11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652</v>
      </c>
      <c r="J10" s="29" t="s">
        <v>29</v>
      </c>
      <c r="K10" s="452">
        <v>202209292</v>
      </c>
      <c r="L10" s="453"/>
    </row>
    <row r="11" spans="2:12" ht="20.149999999999999" customHeight="1" x14ac:dyDescent="0.45">
      <c r="B11" s="454" t="s">
        <v>1403</v>
      </c>
      <c r="C11" s="455"/>
      <c r="D11" s="456"/>
      <c r="E11" s="30"/>
      <c r="F11" s="457" t="str">
        <f>VLOOKUP(H10,'Delivery Location'!A$4:N$416,2,0)</f>
        <v>DRINK &amp; DESSERT STALL                                                     Nex 23 Serangoon Central                                   #04-16. Nex Shopping Mall. Singapore 556083</v>
      </c>
      <c r="G11" s="458"/>
      <c r="H11" s="459"/>
      <c r="J11" s="31" t="s">
        <v>11</v>
      </c>
      <c r="K11" s="466">
        <v>44823</v>
      </c>
      <c r="L11" s="467"/>
    </row>
    <row r="12" spans="2:12" ht="20.149999999999999" customHeight="1" x14ac:dyDescent="0.45">
      <c r="B12" s="468" t="s">
        <v>869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2319</v>
      </c>
      <c r="L12" s="472"/>
    </row>
    <row r="13" spans="2:12" ht="20.149999999999999" customHeight="1" x14ac:dyDescent="0.45">
      <c r="B13" s="468" t="s">
        <v>870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1149</v>
      </c>
      <c r="L13" s="472"/>
    </row>
    <row r="14" spans="2:12" ht="20.149999999999999" customHeight="1" x14ac:dyDescent="0.45">
      <c r="B14" s="468" t="s">
        <v>871</v>
      </c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473" t="s">
        <v>872</v>
      </c>
      <c r="C15" s="474"/>
      <c r="D15" s="475"/>
      <c r="E15" s="26"/>
      <c r="F15" s="463"/>
      <c r="G15" s="464"/>
      <c r="H15" s="465"/>
      <c r="J15" s="32" t="s">
        <v>13</v>
      </c>
      <c r="K15" s="476"/>
      <c r="L15" s="477"/>
    </row>
    <row r="16" spans="2:12" ht="12" customHeight="1" thickBot="1" x14ac:dyDescent="0.5">
      <c r="J16" s="22"/>
    </row>
    <row r="17" spans="1:17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1:17" ht="20.149999999999999" customHeight="1" x14ac:dyDescent="0.45">
      <c r="A18" s="78"/>
      <c r="B18" s="70" t="s">
        <v>94</v>
      </c>
      <c r="C18" s="22" t="str">
        <f>VLOOKUP(B18,'Sales Master'!A$3:B$581,2,0)</f>
        <v>P3012A</v>
      </c>
      <c r="D18" s="508" t="str">
        <f>VLOOKUP(C18,'Sales Master'!B$3:D$499,2,)</f>
        <v>Split Green Mung Bean豆畔</v>
      </c>
      <c r="E18" s="508"/>
      <c r="F18" s="508"/>
      <c r="G18" s="90">
        <v>2</v>
      </c>
      <c r="H18" s="386" t="str">
        <f>VLOOKUP(C18,'Sales Master'!$B$3:$F$3179,5,0)</f>
        <v>5 KG</v>
      </c>
      <c r="I18" s="513" t="str">
        <f>VLOOKUP(C18,'Sales Master'!$B$3:$E$3179,4,0)</f>
        <v>-</v>
      </c>
      <c r="J18" s="513"/>
      <c r="K18" s="98">
        <f>VLOOKUP(C18,'Sales Master'!B$3:I$581,8,0)</f>
        <v>17</v>
      </c>
      <c r="L18" s="99">
        <f>K18*G18</f>
        <v>34</v>
      </c>
      <c r="N18" s="225">
        <f>VLOOKUP(C18,'Sales Master'!$B$3:$DA$3038,104,0)</f>
        <v>12.166666666666666</v>
      </c>
      <c r="O18" s="225">
        <f>K18-N18</f>
        <v>4.8333333333333339</v>
      </c>
      <c r="P18" s="225">
        <f>O18*G18</f>
        <v>9.6666666666666679</v>
      </c>
      <c r="Q18" s="76"/>
    </row>
    <row r="19" spans="1:17" ht="20.149999999999999" customHeight="1" x14ac:dyDescent="0.45">
      <c r="A19" s="78"/>
      <c r="B19" s="70"/>
      <c r="C19" s="22"/>
      <c r="D19" s="508"/>
      <c r="E19" s="508"/>
      <c r="F19" s="508"/>
      <c r="G19" s="90"/>
      <c r="H19" s="386"/>
      <c r="I19" s="550"/>
      <c r="J19" s="550"/>
      <c r="K19" s="98"/>
      <c r="L19" s="99"/>
      <c r="N19" s="225"/>
      <c r="O19" s="225"/>
      <c r="P19" s="225"/>
      <c r="Q19" s="76"/>
    </row>
    <row r="20" spans="1:17" ht="20.149999999999999" customHeight="1" x14ac:dyDescent="0.45">
      <c r="A20" s="78"/>
      <c r="B20" s="70"/>
      <c r="C20" s="22"/>
      <c r="D20" s="508"/>
      <c r="E20" s="508"/>
      <c r="F20" s="508"/>
      <c r="G20" s="90"/>
      <c r="H20" s="386"/>
      <c r="I20" s="550"/>
      <c r="J20" s="550"/>
      <c r="K20" s="98"/>
      <c r="L20" s="99"/>
      <c r="N20" s="225"/>
      <c r="O20" s="225"/>
      <c r="P20" s="225"/>
      <c r="Q20" s="76"/>
    </row>
    <row r="21" spans="1:17" ht="20.149999999999999" customHeight="1" x14ac:dyDescent="0.45">
      <c r="A21" s="78"/>
      <c r="B21" s="70"/>
      <c r="C21" s="22"/>
      <c r="D21" s="508"/>
      <c r="E21" s="508"/>
      <c r="F21" s="508"/>
      <c r="G21" s="90"/>
      <c r="H21" s="386"/>
      <c r="I21" s="550"/>
      <c r="J21" s="550"/>
      <c r="K21" s="98"/>
      <c r="L21" s="99"/>
      <c r="N21" s="225"/>
      <c r="O21" s="225"/>
      <c r="P21" s="225"/>
      <c r="Q21" s="76"/>
    </row>
    <row r="22" spans="1:17" ht="20.149999999999999" customHeight="1" x14ac:dyDescent="0.45">
      <c r="A22" s="78"/>
      <c r="B22" s="70"/>
      <c r="C22" s="22"/>
      <c r="D22" s="508"/>
      <c r="E22" s="508"/>
      <c r="F22" s="508"/>
      <c r="G22" s="90"/>
      <c r="H22" s="386"/>
      <c r="I22" s="550"/>
      <c r="J22" s="550"/>
      <c r="K22" s="98"/>
      <c r="L22" s="99"/>
      <c r="N22" s="225"/>
      <c r="O22" s="225"/>
      <c r="P22" s="225"/>
      <c r="Q22" s="76"/>
    </row>
    <row r="23" spans="1:17" ht="20.149999999999999" customHeight="1" x14ac:dyDescent="0.45">
      <c r="A23" s="78"/>
      <c r="B23" s="70"/>
      <c r="C23" s="22"/>
      <c r="D23" s="508"/>
      <c r="E23" s="508"/>
      <c r="F23" s="508"/>
      <c r="G23" s="90"/>
      <c r="H23" s="386"/>
      <c r="I23" s="550"/>
      <c r="J23" s="550"/>
      <c r="K23" s="98"/>
      <c r="L23" s="99"/>
      <c r="N23" s="225"/>
      <c r="O23" s="225"/>
      <c r="P23" s="225"/>
      <c r="Q23" s="76"/>
    </row>
    <row r="24" spans="1:17" ht="20.149999999999999" customHeight="1" x14ac:dyDescent="0.45">
      <c r="A24" s="78"/>
      <c r="B24" s="70"/>
      <c r="C24" s="22"/>
      <c r="D24" s="508"/>
      <c r="E24" s="508"/>
      <c r="F24" s="508"/>
      <c r="G24" s="90"/>
      <c r="H24" s="386"/>
      <c r="I24" s="550"/>
      <c r="J24" s="550"/>
      <c r="K24" s="98"/>
      <c r="L24" s="99"/>
      <c r="N24" s="225"/>
      <c r="O24" s="225"/>
      <c r="P24" s="225"/>
      <c r="Q24" s="76"/>
    </row>
    <row r="25" spans="1:17" ht="20.149999999999999" customHeight="1" x14ac:dyDescent="0.45">
      <c r="A25" s="78"/>
      <c r="B25" s="70"/>
      <c r="C25" s="22"/>
      <c r="D25" s="508"/>
      <c r="E25" s="508"/>
      <c r="F25" s="508"/>
      <c r="G25" s="90"/>
      <c r="H25" s="386"/>
      <c r="I25" s="550"/>
      <c r="J25" s="550"/>
      <c r="K25" s="98"/>
      <c r="L25" s="99"/>
      <c r="N25" s="225"/>
      <c r="O25" s="225"/>
      <c r="P25" s="225"/>
      <c r="Q25" s="76"/>
    </row>
    <row r="26" spans="1:17" ht="20.149999999999999" customHeight="1" x14ac:dyDescent="0.45">
      <c r="A26" s="78"/>
      <c r="B26" s="70"/>
      <c r="C26" s="22"/>
      <c r="D26" s="508"/>
      <c r="E26" s="508"/>
      <c r="F26" s="508"/>
      <c r="G26" s="90"/>
      <c r="H26" s="386"/>
      <c r="I26" s="550"/>
      <c r="J26" s="550"/>
      <c r="K26" s="98"/>
      <c r="L26" s="99"/>
      <c r="N26" s="225"/>
      <c r="O26" s="225"/>
      <c r="P26" s="225"/>
      <c r="Q26" s="76"/>
    </row>
    <row r="27" spans="1:17" ht="20.149999999999999" customHeight="1" x14ac:dyDescent="0.45">
      <c r="A27" s="78"/>
      <c r="B27" s="70"/>
      <c r="C27" s="22"/>
      <c r="D27" s="508"/>
      <c r="E27" s="508"/>
      <c r="F27" s="508"/>
      <c r="G27" s="90"/>
      <c r="H27" s="386"/>
      <c r="I27" s="550"/>
      <c r="J27" s="550"/>
      <c r="K27" s="98"/>
      <c r="L27" s="99"/>
      <c r="N27" s="225"/>
      <c r="O27" s="225"/>
      <c r="P27" s="225"/>
      <c r="Q27" s="76"/>
    </row>
    <row r="28" spans="1:17" ht="20.149999999999999" customHeight="1" x14ac:dyDescent="0.45">
      <c r="A28" s="78"/>
      <c r="B28" s="70"/>
      <c r="C28" s="22"/>
      <c r="G28" s="90"/>
      <c r="H28" s="386"/>
      <c r="I28" s="386"/>
      <c r="J28" s="386"/>
      <c r="K28" s="98"/>
      <c r="L28" s="99"/>
      <c r="N28" s="225"/>
      <c r="O28" s="225"/>
      <c r="P28" s="225"/>
      <c r="Q28" s="76"/>
    </row>
    <row r="29" spans="1:17" ht="20.149999999999999" customHeight="1" x14ac:dyDescent="0.45">
      <c r="A29" s="78"/>
      <c r="B29" s="218"/>
      <c r="C29" s="196"/>
      <c r="D29" s="219"/>
      <c r="E29" s="219"/>
      <c r="F29" s="219"/>
      <c r="G29" s="196"/>
      <c r="H29" s="217"/>
      <c r="I29" s="563"/>
      <c r="J29" s="563"/>
      <c r="K29" s="128"/>
      <c r="L29" s="137"/>
      <c r="M29" s="76"/>
      <c r="N29" s="76"/>
      <c r="Q29" s="76"/>
    </row>
    <row r="30" spans="1:17" ht="20.149999999999999" customHeight="1" thickBot="1" x14ac:dyDescent="0.5">
      <c r="A30" s="78"/>
      <c r="B30" s="220"/>
      <c r="C30" s="90"/>
      <c r="D30" s="78"/>
      <c r="E30" s="78"/>
      <c r="F30" s="78"/>
      <c r="G30" s="90"/>
      <c r="H30" s="97"/>
      <c r="I30" s="90"/>
      <c r="J30" s="90"/>
      <c r="K30" s="98"/>
      <c r="L30" s="99"/>
    </row>
    <row r="31" spans="1:17" ht="20.149999999999999" customHeight="1" x14ac:dyDescent="0.45">
      <c r="A31" s="78"/>
      <c r="B31" s="221" t="s">
        <v>18</v>
      </c>
      <c r="C31" s="207"/>
      <c r="D31" s="207"/>
      <c r="E31" s="207"/>
      <c r="F31" s="207"/>
      <c r="G31" s="207"/>
      <c r="H31" s="207"/>
      <c r="I31" s="207"/>
      <c r="J31" s="561" t="s">
        <v>15</v>
      </c>
      <c r="K31" s="562"/>
      <c r="L31" s="222">
        <f>SUM(L16:L29)</f>
        <v>34</v>
      </c>
      <c r="M31" s="76">
        <f>SUM(P18:P27)</f>
        <v>9.6666666666666679</v>
      </c>
      <c r="N31" s="201">
        <f>M31/L31</f>
        <v>0.28431372549019612</v>
      </c>
      <c r="Q31" s="201"/>
    </row>
    <row r="32" spans="1:17" ht="20.149999999999999" customHeight="1" x14ac:dyDescent="0.45">
      <c r="B32" s="11" t="s">
        <v>19</v>
      </c>
      <c r="C32" s="7"/>
      <c r="D32" s="7"/>
      <c r="E32" s="7"/>
      <c r="F32" s="7"/>
      <c r="G32" s="7"/>
      <c r="H32" s="7"/>
      <c r="I32" s="7"/>
      <c r="J32" s="44" t="s">
        <v>22</v>
      </c>
      <c r="K32" s="45"/>
      <c r="L32" s="46">
        <v>0</v>
      </c>
      <c r="M32" s="76"/>
    </row>
    <row r="33" spans="2:17" ht="20.149999999999999" customHeight="1" x14ac:dyDescent="0.45">
      <c r="B33" s="11" t="s">
        <v>20</v>
      </c>
      <c r="C33" s="7"/>
      <c r="D33" s="7"/>
      <c r="E33" s="7"/>
      <c r="F33" s="7"/>
      <c r="G33" s="7"/>
      <c r="H33" s="7"/>
      <c r="I33" s="7"/>
      <c r="J33" s="486" t="s">
        <v>21</v>
      </c>
      <c r="K33" s="487"/>
      <c r="L33" s="46">
        <f>L31-L32</f>
        <v>34</v>
      </c>
    </row>
    <row r="34" spans="2:17" ht="20.149999999999999" customHeight="1" x14ac:dyDescent="0.45">
      <c r="B34" s="11" t="s">
        <v>24</v>
      </c>
      <c r="C34" s="7"/>
      <c r="D34" s="7"/>
      <c r="E34" s="7"/>
      <c r="F34" s="7"/>
      <c r="G34" s="7"/>
      <c r="H34" s="7"/>
      <c r="I34" s="7"/>
      <c r="J34" s="150" t="s">
        <v>17</v>
      </c>
      <c r="K34" s="151">
        <v>7.0000000000000007E-2</v>
      </c>
      <c r="L34" s="47">
        <f>L33*K34</f>
        <v>2.3800000000000003</v>
      </c>
    </row>
    <row r="35" spans="2:17" ht="20.149999999999999" customHeight="1" thickBot="1" x14ac:dyDescent="0.5">
      <c r="B35" s="11" t="s">
        <v>1400</v>
      </c>
      <c r="C35" s="7"/>
      <c r="D35" s="7"/>
      <c r="E35" s="7"/>
      <c r="F35" s="7"/>
      <c r="G35" s="7"/>
      <c r="H35" s="7"/>
      <c r="I35" s="7"/>
      <c r="J35" s="488" t="s">
        <v>23</v>
      </c>
      <c r="K35" s="489"/>
      <c r="L35" s="48">
        <f>L33+L34</f>
        <v>36.380000000000003</v>
      </c>
    </row>
    <row r="36" spans="2:17" ht="20.149999999999999" customHeight="1" x14ac:dyDescent="0.45">
      <c r="B36" s="11" t="s">
        <v>26</v>
      </c>
      <c r="C36" s="7"/>
      <c r="D36" s="7"/>
      <c r="E36" s="7"/>
      <c r="F36" s="7"/>
      <c r="G36" s="7"/>
      <c r="H36" s="7"/>
      <c r="I36" s="7"/>
      <c r="L36" s="42"/>
    </row>
    <row r="37" spans="2:17" ht="18" customHeight="1" x14ac:dyDescent="0.45">
      <c r="B37" s="224" t="s">
        <v>1379</v>
      </c>
      <c r="L37" s="42"/>
    </row>
    <row r="38" spans="2:17" ht="18" customHeight="1" x14ac:dyDescent="0.45">
      <c r="B38" s="41"/>
      <c r="L38" s="42"/>
      <c r="N38" s="373">
        <v>44641</v>
      </c>
      <c r="O38" s="24">
        <v>287.5</v>
      </c>
      <c r="P38" s="24">
        <v>54.36</v>
      </c>
      <c r="Q38" s="201">
        <f>P38/O38</f>
        <v>0.18907826086956522</v>
      </c>
    </row>
    <row r="39" spans="2:17" ht="18" customHeight="1" x14ac:dyDescent="0.45">
      <c r="B39" s="41"/>
      <c r="L39" s="42"/>
      <c r="N39" s="373"/>
      <c r="Q39" s="201"/>
    </row>
    <row r="40" spans="2:17" ht="18" customHeight="1" x14ac:dyDescent="0.45">
      <c r="B40" s="41"/>
      <c r="L40" s="42"/>
      <c r="N40" s="373"/>
      <c r="Q40" s="201"/>
    </row>
    <row r="41" spans="2:17" ht="18" customHeight="1" x14ac:dyDescent="0.45">
      <c r="B41" s="41"/>
      <c r="L41" s="42"/>
      <c r="N41" s="373"/>
      <c r="Q41" s="201"/>
    </row>
    <row r="42" spans="2:17" ht="18" customHeight="1" x14ac:dyDescent="0.45">
      <c r="B42" s="49"/>
      <c r="C42" s="50"/>
      <c r="D42" s="50"/>
      <c r="J42" s="50"/>
      <c r="K42" s="50"/>
      <c r="L42" s="51"/>
    </row>
    <row r="43" spans="2:17" ht="20.149999999999999" customHeight="1" x14ac:dyDescent="0.45">
      <c r="B43" s="41" t="s">
        <v>27</v>
      </c>
      <c r="J43" s="24" t="s">
        <v>28</v>
      </c>
      <c r="L43" s="42"/>
    </row>
    <row r="44" spans="2:17" ht="19" thickBot="1" x14ac:dyDescent="0.5">
      <c r="B44" s="52"/>
      <c r="C44" s="53"/>
      <c r="D44" s="53"/>
      <c r="E44" s="53"/>
      <c r="F44" s="53"/>
      <c r="G44" s="53"/>
      <c r="H44" s="53"/>
      <c r="I44" s="53"/>
      <c r="J44" s="53"/>
      <c r="K44" s="53"/>
      <c r="L44" s="54"/>
    </row>
    <row r="45" spans="2:17" ht="20.5" x14ac:dyDescent="0.45">
      <c r="F45" s="426"/>
    </row>
  </sheetData>
  <mergeCells count="39">
    <mergeCell ref="J35:K35"/>
    <mergeCell ref="D25:F25"/>
    <mergeCell ref="I25:J25"/>
    <mergeCell ref="D26:F26"/>
    <mergeCell ref="I26:J26"/>
    <mergeCell ref="D27:F27"/>
    <mergeCell ref="I27:J27"/>
    <mergeCell ref="D24:F24"/>
    <mergeCell ref="I24:J24"/>
    <mergeCell ref="I29:J29"/>
    <mergeCell ref="J31:K31"/>
    <mergeCell ref="J33:K33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hyperlinks>
    <hyperlink ref="B15" r:id="rId1" xr:uid="{A8AA35A8-B0FE-443A-8DF4-1F721137FDD5}"/>
  </hyperlinks>
  <pageMargins left="0.70866141732283472" right="0.31496062992125984" top="0.59055118110236227" bottom="0" header="0.31496062992125984" footer="0.31496062992125984"/>
  <pageSetup paperSize="9" scale="73" orientation="portrait" horizontalDpi="300" verticalDpi="300" r:id="rId2"/>
  <drawing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287A0A-1BE5-4B64-A4D6-8A3A52986521}">
  <sheetPr codeName="Sheet26">
    <tabColor rgb="FF7030A0"/>
    <pageSetUpPr fitToPage="1"/>
  </sheetPr>
  <dimension ref="B1:Y46"/>
  <sheetViews>
    <sheetView topLeftCell="B1" workbookViewId="0">
      <selection activeCell="J25" sqref="J25"/>
    </sheetView>
  </sheetViews>
  <sheetFormatPr defaultColWidth="12.54296875" defaultRowHeight="18.5" x14ac:dyDescent="0.45"/>
  <cols>
    <col min="1" max="1" width="12.54296875" style="24"/>
    <col min="2" max="3" width="12.54296875" style="24" customWidth="1"/>
    <col min="4" max="4" width="13.81640625" style="24" customWidth="1"/>
    <col min="5" max="5" width="1.54296875" style="24" customWidth="1"/>
    <col min="6" max="6" width="15.54296875" style="24" customWidth="1"/>
    <col min="7" max="7" width="8.54296875" style="24" customWidth="1"/>
    <col min="8" max="8" width="12.54296875" style="24" customWidth="1"/>
    <col min="9" max="9" width="2.54296875" style="24" customWidth="1"/>
    <col min="10" max="10" width="15.54296875" style="24" customWidth="1"/>
    <col min="11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365</v>
      </c>
      <c r="J10" s="29" t="s">
        <v>29</v>
      </c>
      <c r="K10" s="452">
        <v>202207508</v>
      </c>
      <c r="L10" s="453"/>
    </row>
    <row r="11" spans="2:12" ht="20.149999999999999" customHeight="1" x14ac:dyDescent="0.45">
      <c r="B11" s="454" t="s">
        <v>769</v>
      </c>
      <c r="C11" s="455"/>
      <c r="D11" s="456"/>
      <c r="E11" s="30"/>
      <c r="F11" s="457" t="str">
        <f>VLOOKUP(H10,'Delivery Location'!A$4:N$416,2,0)</f>
        <v>Block 15, Woodlands Loop                #04-36. Singapore 738322.</v>
      </c>
      <c r="G11" s="458"/>
      <c r="H11" s="459"/>
      <c r="J11" s="31" t="s">
        <v>11</v>
      </c>
      <c r="K11" s="551">
        <v>44773</v>
      </c>
      <c r="L11" s="472"/>
    </row>
    <row r="12" spans="2:12" ht="20.149999999999999" customHeight="1" x14ac:dyDescent="0.45">
      <c r="B12" s="468" t="s">
        <v>715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36</v>
      </c>
      <c r="L12" s="472"/>
    </row>
    <row r="13" spans="2:12" ht="20.149999999999999" customHeight="1" x14ac:dyDescent="0.45">
      <c r="B13" s="468" t="s">
        <v>770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14</v>
      </c>
      <c r="L13" s="472"/>
    </row>
    <row r="14" spans="2:12" ht="20.149999999999999" customHeight="1" x14ac:dyDescent="0.45">
      <c r="B14" s="468"/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55"/>
      <c r="C15" s="56"/>
      <c r="D15" s="57"/>
      <c r="E15" s="26"/>
      <c r="F15" s="463"/>
      <c r="G15" s="464"/>
      <c r="H15" s="465"/>
      <c r="J15" s="32" t="s">
        <v>13</v>
      </c>
      <c r="K15" s="476" t="s">
        <v>762</v>
      </c>
      <c r="L15" s="477"/>
    </row>
    <row r="16" spans="2:12" ht="19" thickBot="1" x14ac:dyDescent="0.5">
      <c r="J16" s="22"/>
    </row>
    <row r="17" spans="2:25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8" t="s">
        <v>622</v>
      </c>
      <c r="I17" s="478" t="s">
        <v>621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25" ht="20.149999999999999" customHeight="1" x14ac:dyDescent="0.45">
      <c r="B18" s="34"/>
      <c r="C18" s="22" t="s">
        <v>1566</v>
      </c>
      <c r="D18" s="508" t="str">
        <f>VLOOKUP(C18,'Sales Master'!B$3:D$499,2,)</f>
        <v>Chin Chow  仙草</v>
      </c>
      <c r="E18" s="508"/>
      <c r="F18" s="508"/>
      <c r="G18" s="22">
        <v>4</v>
      </c>
      <c r="H18" s="438" t="str">
        <f>VLOOKUP(C18,'Sales Master'!$B$3:$E$590,4,0)</f>
        <v>TSM</v>
      </c>
      <c r="I18" s="512" t="str">
        <f>VLOOKUP(C18,'Sales Master'!$B$3:F$590,5,0)</f>
        <v>5KGS/PKT</v>
      </c>
      <c r="J18" s="512"/>
      <c r="K18" s="35">
        <f>VLOOKUP(C18,'Sales Master'!B$3:AM$499,38,0)</f>
        <v>5</v>
      </c>
      <c r="L18" s="77">
        <f>K18*G18</f>
        <v>20</v>
      </c>
      <c r="M18" s="78"/>
      <c r="N18" s="225">
        <f>VLOOKUP(C18,'Sales Master'!$B$3:$DA$3038,104,0)</f>
        <v>4</v>
      </c>
      <c r="O18" s="225">
        <f>K18-N18</f>
        <v>1</v>
      </c>
      <c r="P18" s="225">
        <f>O18*G18</f>
        <v>4</v>
      </c>
      <c r="R18" s="24">
        <v>5</v>
      </c>
      <c r="S18" s="24" t="s">
        <v>61</v>
      </c>
      <c r="T18" s="24" t="s">
        <v>658</v>
      </c>
      <c r="V18" s="24">
        <v>6</v>
      </c>
      <c r="Y18" s="24">
        <v>6</v>
      </c>
    </row>
    <row r="19" spans="2:25" ht="20.149999999999999" customHeight="1" x14ac:dyDescent="0.45">
      <c r="B19" s="34"/>
      <c r="C19" s="22" t="s">
        <v>1794</v>
      </c>
      <c r="D19" s="508" t="str">
        <f>VLOOKUP(C19,'Sales Master'!B$3:D$499,2,)</f>
        <v>Pandan Leaf 班兰叶</v>
      </c>
      <c r="E19" s="508"/>
      <c r="F19" s="508"/>
      <c r="G19" s="22">
        <v>3</v>
      </c>
      <c r="H19" s="438" t="str">
        <f>VLOOKUP(C19,'Sales Master'!$B$3:$E$590,4,0)</f>
        <v>-</v>
      </c>
      <c r="I19" s="512" t="str">
        <f>VLOOKUP(C19,'Sales Master'!$B$3:F$590,5,0)</f>
        <v>1 kg</v>
      </c>
      <c r="J19" s="512"/>
      <c r="K19" s="35">
        <f>VLOOKUP(C19,'Sales Master'!B$3:AM$499,38,0)</f>
        <v>1.8</v>
      </c>
      <c r="L19" s="77">
        <f>K19*G19</f>
        <v>5.4</v>
      </c>
      <c r="M19" s="78"/>
      <c r="N19" s="225">
        <f>VLOOKUP(C19,'Sales Master'!$B$3:$DA$3038,104,0)</f>
        <v>1</v>
      </c>
      <c r="O19" s="225">
        <f>K19-N19</f>
        <v>0.8</v>
      </c>
      <c r="P19" s="225">
        <f>O19*G19</f>
        <v>2.4000000000000004</v>
      </c>
    </row>
    <row r="20" spans="2:25" ht="20.149999999999999" customHeight="1" x14ac:dyDescent="0.45">
      <c r="B20" s="34"/>
      <c r="C20" s="22" t="s">
        <v>1741</v>
      </c>
      <c r="D20" s="508" t="str">
        <f>VLOOKUP(C20,'Sales Master'!B$3:D$499,2,)</f>
        <v>Coconut Milk 椰浆</v>
      </c>
      <c r="E20" s="508"/>
      <c r="F20" s="508"/>
      <c r="G20" s="22">
        <v>11</v>
      </c>
      <c r="H20" s="438" t="str">
        <f>VLOOKUP(C20,'Sales Master'!$B$3:$E$590,4,0)</f>
        <v>Sin-ind</v>
      </c>
      <c r="I20" s="512" t="str">
        <f>VLOOKUP(C20,'Sales Master'!$B$3:F$590,5,0)</f>
        <v>(1L x 12bag)/箱</v>
      </c>
      <c r="J20" s="512"/>
      <c r="K20" s="35">
        <f>VLOOKUP(C20,'Sales Master'!B$3:AM$499,38,0)</f>
        <v>38</v>
      </c>
      <c r="L20" s="77">
        <f>K20*G20</f>
        <v>418</v>
      </c>
      <c r="M20" s="78"/>
      <c r="N20" s="225">
        <f>VLOOKUP(C20,'Sales Master'!$B$3:$DA$3038,104,0)</f>
        <v>30.530973451327434</v>
      </c>
      <c r="O20" s="225">
        <f>K20-N20</f>
        <v>7.4690265486725664</v>
      </c>
      <c r="P20" s="225">
        <f>O20*G20</f>
        <v>82.159292035398238</v>
      </c>
      <c r="R20" s="24">
        <v>2</v>
      </c>
      <c r="S20" s="24" t="s">
        <v>36</v>
      </c>
      <c r="T20" s="24" t="s">
        <v>34</v>
      </c>
      <c r="V20" s="24">
        <v>6</v>
      </c>
      <c r="Y20" s="24">
        <v>20</v>
      </c>
    </row>
    <row r="21" spans="2:25" ht="20.149999999999999" customHeight="1" x14ac:dyDescent="0.45">
      <c r="B21" s="34"/>
      <c r="C21" s="22" t="s">
        <v>1715</v>
      </c>
      <c r="D21" s="508" t="str">
        <f>VLOOKUP(C21,'Sales Master'!B$3:D$499,2,)</f>
        <v>Carnation Milk三花淡奶水</v>
      </c>
      <c r="E21" s="508"/>
      <c r="F21" s="508"/>
      <c r="G21" s="22">
        <v>1</v>
      </c>
      <c r="H21" s="441" t="str">
        <f>VLOOKUP(C21,'Sales Master'!$B$3:$E$590,4,0)</f>
        <v>Threeflower</v>
      </c>
      <c r="I21" s="512" t="str">
        <f>VLOOKUP(C21,'Sales Master'!$B$3:F$590,5,0)</f>
        <v>405 gm x48 can/Ctn</v>
      </c>
      <c r="J21" s="512"/>
      <c r="K21" s="35">
        <f>VLOOKUP(C21,'Sales Master'!B$3:AM$499,38,0)</f>
        <v>55</v>
      </c>
      <c r="L21" s="77">
        <f t="shared" ref="L21:L24" si="0">K21*G21</f>
        <v>55</v>
      </c>
      <c r="M21" s="78"/>
      <c r="N21" s="225">
        <f>VLOOKUP(C21,'Sales Master'!$B$3:$DA$3038,104,0)</f>
        <v>50</v>
      </c>
      <c r="O21" s="225">
        <f t="shared" ref="O21:O24" si="1">K21-N21</f>
        <v>5</v>
      </c>
      <c r="P21" s="225">
        <f t="shared" ref="P21:P24" si="2">O21*G21</f>
        <v>5</v>
      </c>
      <c r="R21" s="24">
        <v>2</v>
      </c>
      <c r="S21" s="24" t="s">
        <v>61</v>
      </c>
      <c r="T21" s="24" t="s">
        <v>34</v>
      </c>
      <c r="V21" s="24">
        <v>5</v>
      </c>
      <c r="Y21" s="24">
        <v>228</v>
      </c>
    </row>
    <row r="22" spans="2:25" ht="20.149999999999999" customHeight="1" x14ac:dyDescent="0.45">
      <c r="B22" s="34"/>
      <c r="C22" s="22" t="s">
        <v>1462</v>
      </c>
      <c r="D22" s="508" t="str">
        <f>VLOOKUP(C22,'Sales Master'!B$3:D$499,2,)</f>
        <v>Pong Thai Hai (Wet) 碰大海</v>
      </c>
      <c r="E22" s="508"/>
      <c r="F22" s="508"/>
      <c r="G22" s="22">
        <v>2</v>
      </c>
      <c r="H22" s="438" t="str">
        <f>VLOOKUP(C22,'Sales Master'!$B$3:$E$590,4,0)</f>
        <v>DO!</v>
      </c>
      <c r="I22" s="512" t="str">
        <f>VLOOKUP(C22,'Sales Master'!$B$3:F$590,5,0)</f>
        <v>1KG</v>
      </c>
      <c r="J22" s="512"/>
      <c r="K22" s="35">
        <f>VLOOKUP(C22,'Sales Master'!B$3:AM$499,38,0)</f>
        <v>6</v>
      </c>
      <c r="L22" s="77">
        <f t="shared" si="0"/>
        <v>12</v>
      </c>
      <c r="M22" s="78"/>
      <c r="N22" s="225">
        <f>VLOOKUP(C22,'Sales Master'!$B$3:$DA$3038,104,0)</f>
        <v>0.85</v>
      </c>
      <c r="O22" s="225">
        <f t="shared" si="1"/>
        <v>5.15</v>
      </c>
      <c r="P22" s="225">
        <f t="shared" si="2"/>
        <v>10.3</v>
      </c>
    </row>
    <row r="23" spans="2:25" ht="20.149999999999999" customHeight="1" x14ac:dyDescent="0.45">
      <c r="B23" s="34"/>
      <c r="C23" s="22" t="s">
        <v>1618</v>
      </c>
      <c r="D23" s="508" t="str">
        <f>VLOOKUP(C23,'Sales Master'!B$3:D$499,2,)</f>
        <v>Dried Longan 龙眼干</v>
      </c>
      <c r="E23" s="508"/>
      <c r="F23" s="508"/>
      <c r="G23" s="22">
        <v>4</v>
      </c>
      <c r="H23" s="438" t="str">
        <f>VLOOKUP(C23,'Sales Master'!$B$3:$E$590,4,0)</f>
        <v>TL</v>
      </c>
      <c r="I23" s="512" t="str">
        <f>VLOOKUP(C23,'Sales Master'!$B$3:F$590,5,0)</f>
        <v>1 kg</v>
      </c>
      <c r="J23" s="512"/>
      <c r="K23" s="35">
        <f>VLOOKUP(C23,'Sales Master'!B$3:AM$499,38,0)</f>
        <v>12</v>
      </c>
      <c r="L23" s="77">
        <f t="shared" si="0"/>
        <v>48</v>
      </c>
      <c r="M23" s="78"/>
      <c r="N23" s="225">
        <f>VLOOKUP(C23,'Sales Master'!$B$3:$DA$3038,104,0)</f>
        <v>8.5</v>
      </c>
      <c r="O23" s="225">
        <f t="shared" si="1"/>
        <v>3.5</v>
      </c>
      <c r="P23" s="225">
        <f t="shared" si="2"/>
        <v>14</v>
      </c>
      <c r="R23" s="24">
        <v>1</v>
      </c>
      <c r="S23" s="24" t="s">
        <v>61</v>
      </c>
      <c r="T23" s="24" t="s">
        <v>657</v>
      </c>
      <c r="V23" s="24">
        <v>30</v>
      </c>
      <c r="Y23" s="24">
        <v>20</v>
      </c>
    </row>
    <row r="24" spans="2:25" ht="20.149999999999999" customHeight="1" x14ac:dyDescent="0.45">
      <c r="B24" s="34"/>
      <c r="C24" s="22" t="s">
        <v>1458</v>
      </c>
      <c r="D24" s="508" t="str">
        <f>VLOOKUP(C24,'Sales Master'!B$3:D$499,2,)</f>
        <v>Chendol浆咯</v>
      </c>
      <c r="E24" s="508"/>
      <c r="F24" s="508"/>
      <c r="G24" s="22">
        <v>1</v>
      </c>
      <c r="H24" s="438" t="str">
        <f>VLOOKUP(C24,'Sales Master'!$B$3:$E$590,4,0)</f>
        <v>DO!</v>
      </c>
      <c r="I24" s="512" t="str">
        <f>VLOOKUP(C24,'Sales Master'!$B$3:F$590,5,0)</f>
        <v>NW(2.2:0.8) 3 KG/BAG</v>
      </c>
      <c r="J24" s="512"/>
      <c r="K24" s="35">
        <f>VLOOKUP(C24,'Sales Master'!B$3:AM$499,38,0)</f>
        <v>7</v>
      </c>
      <c r="L24" s="77">
        <f t="shared" si="0"/>
        <v>7</v>
      </c>
      <c r="M24" s="78"/>
      <c r="N24" s="225">
        <f>VLOOKUP(C24,'Sales Master'!$B$3:$DA$3038,104,0)</f>
        <v>1.85</v>
      </c>
      <c r="O24" s="225">
        <f t="shared" si="1"/>
        <v>5.15</v>
      </c>
      <c r="P24" s="225">
        <f t="shared" si="2"/>
        <v>5.15</v>
      </c>
      <c r="R24" s="24">
        <v>2</v>
      </c>
      <c r="S24" s="24" t="s">
        <v>643</v>
      </c>
      <c r="T24" s="24" t="s">
        <v>34</v>
      </c>
      <c r="V24" s="24">
        <v>12</v>
      </c>
      <c r="Y24" s="24">
        <v>266</v>
      </c>
    </row>
    <row r="25" spans="2:25" ht="20.149999999999999" customHeight="1" x14ac:dyDescent="0.45">
      <c r="B25" s="34"/>
      <c r="C25" s="22"/>
      <c r="G25" s="22"/>
      <c r="H25" s="68"/>
      <c r="I25" s="22"/>
      <c r="J25" s="22"/>
      <c r="K25" s="35"/>
      <c r="L25" s="77"/>
      <c r="M25" s="78"/>
    </row>
    <row r="26" spans="2:25" ht="20.149999999999999" customHeight="1" x14ac:dyDescent="0.45">
      <c r="B26" s="34"/>
      <c r="C26" s="22"/>
      <c r="G26" s="22"/>
      <c r="H26" s="68"/>
      <c r="I26" s="22"/>
      <c r="J26" s="22"/>
      <c r="K26" s="35"/>
      <c r="L26" s="77"/>
      <c r="M26" s="78"/>
      <c r="R26" s="24">
        <v>1</v>
      </c>
      <c r="S26" s="24" t="s">
        <v>36</v>
      </c>
      <c r="T26" s="24" t="s">
        <v>671</v>
      </c>
      <c r="V26" s="24">
        <v>30</v>
      </c>
      <c r="Y26" s="24">
        <v>30</v>
      </c>
    </row>
    <row r="27" spans="2:25" ht="20.149999999999999" customHeight="1" x14ac:dyDescent="0.45">
      <c r="B27" s="34"/>
      <c r="C27" s="22"/>
      <c r="G27" s="22"/>
      <c r="H27" s="68"/>
      <c r="I27" s="22"/>
      <c r="J27" s="22"/>
      <c r="K27" s="35"/>
      <c r="L27" s="77"/>
      <c r="M27" s="78"/>
      <c r="R27" s="24">
        <v>4</v>
      </c>
      <c r="S27" s="24" t="s">
        <v>36</v>
      </c>
      <c r="T27" s="24" t="s">
        <v>34</v>
      </c>
      <c r="V27" s="24">
        <v>1.5</v>
      </c>
      <c r="Y27" s="24">
        <v>228</v>
      </c>
    </row>
    <row r="28" spans="2:25" ht="20.149999999999999" customHeight="1" x14ac:dyDescent="0.45">
      <c r="B28" s="34"/>
      <c r="C28" s="22"/>
      <c r="G28" s="22"/>
      <c r="H28" s="68"/>
      <c r="I28" s="22"/>
      <c r="J28" s="22"/>
      <c r="K28" s="35"/>
      <c r="L28" s="77"/>
      <c r="M28" s="78"/>
    </row>
    <row r="29" spans="2:25" ht="20.149999999999999" customHeight="1" x14ac:dyDescent="0.45">
      <c r="B29" s="34"/>
      <c r="C29" s="22"/>
      <c r="D29" s="508"/>
      <c r="E29" s="508"/>
      <c r="F29" s="508"/>
      <c r="G29" s="22"/>
      <c r="H29" s="68"/>
      <c r="I29" s="450"/>
      <c r="J29" s="450"/>
      <c r="K29" s="35"/>
      <c r="L29" s="77"/>
      <c r="M29" s="78"/>
    </row>
    <row r="30" spans="2:25" ht="20.149999999999999" customHeight="1" x14ac:dyDescent="0.45">
      <c r="B30" s="34"/>
      <c r="C30" s="22"/>
      <c r="D30" s="508"/>
      <c r="E30" s="508"/>
      <c r="F30" s="508"/>
      <c r="G30" s="22"/>
      <c r="H30" s="68"/>
      <c r="I30" s="450"/>
      <c r="J30" s="450"/>
      <c r="K30" s="35"/>
      <c r="L30" s="77"/>
    </row>
    <row r="31" spans="2:25" ht="20.149999999999999" customHeight="1" x14ac:dyDescent="0.45">
      <c r="B31" s="34"/>
      <c r="C31" s="22"/>
      <c r="D31" s="508"/>
      <c r="E31" s="508"/>
      <c r="F31" s="508"/>
      <c r="G31" s="22"/>
      <c r="H31" s="68"/>
      <c r="I31" s="450"/>
      <c r="J31" s="450"/>
      <c r="K31" s="35"/>
      <c r="L31" s="77"/>
    </row>
    <row r="32" spans="2:25" ht="20.149999999999999" customHeight="1" x14ac:dyDescent="0.45">
      <c r="B32" s="155"/>
      <c r="C32" s="156"/>
      <c r="D32" s="556"/>
      <c r="E32" s="556"/>
      <c r="F32" s="556"/>
      <c r="G32" s="156"/>
      <c r="H32" s="189"/>
      <c r="I32" s="564"/>
      <c r="J32" s="564"/>
      <c r="K32" s="163"/>
      <c r="L32" s="158"/>
    </row>
    <row r="33" spans="2:25" ht="20.149999999999999" customHeight="1" thickBot="1" x14ac:dyDescent="0.5">
      <c r="B33" s="41"/>
      <c r="L33" s="42"/>
    </row>
    <row r="34" spans="2:25" ht="20.149999999999999" customHeight="1" x14ac:dyDescent="0.45">
      <c r="B34" s="11" t="s">
        <v>18</v>
      </c>
      <c r="D34" s="7"/>
      <c r="E34" s="7"/>
      <c r="F34" s="7"/>
      <c r="G34" s="7"/>
      <c r="H34" s="7"/>
      <c r="I34" s="7"/>
      <c r="J34" s="510" t="s">
        <v>15</v>
      </c>
      <c r="K34" s="511"/>
      <c r="L34" s="43">
        <f>SUM(L17:L33)</f>
        <v>565.4</v>
      </c>
      <c r="M34" s="76">
        <f>SUM(P18:P31)</f>
        <v>123.00929203539825</v>
      </c>
      <c r="N34" s="201">
        <f>M34/L34</f>
        <v>0.21756153525892863</v>
      </c>
    </row>
    <row r="35" spans="2:25" ht="20.149999999999999" customHeight="1" x14ac:dyDescent="0.45">
      <c r="B35" s="11" t="s">
        <v>19</v>
      </c>
      <c r="C35" s="7"/>
      <c r="D35" s="7"/>
      <c r="E35" s="7"/>
      <c r="F35" s="7"/>
      <c r="G35" s="7"/>
      <c r="H35" s="7"/>
      <c r="I35" s="7"/>
      <c r="J35" s="44" t="s">
        <v>22</v>
      </c>
      <c r="K35" s="45"/>
      <c r="L35" s="46">
        <f>L34*K35</f>
        <v>0</v>
      </c>
    </row>
    <row r="36" spans="2:25" ht="20.149999999999999" customHeight="1" x14ac:dyDescent="0.45">
      <c r="B36" s="11" t="s">
        <v>20</v>
      </c>
      <c r="C36" s="7"/>
      <c r="D36" s="7"/>
      <c r="E36" s="7"/>
      <c r="F36" s="7"/>
      <c r="G36" s="7"/>
      <c r="H36" s="7"/>
      <c r="I36" s="7"/>
      <c r="J36" s="486" t="s">
        <v>21</v>
      </c>
      <c r="K36" s="487"/>
      <c r="L36" s="46">
        <f>L34-L35</f>
        <v>565.4</v>
      </c>
    </row>
    <row r="37" spans="2:25" ht="20.149999999999999" customHeight="1" x14ac:dyDescent="0.45">
      <c r="B37" s="11" t="s">
        <v>24</v>
      </c>
      <c r="C37" s="7"/>
      <c r="D37" s="7"/>
      <c r="E37" s="7"/>
      <c r="F37" s="7"/>
      <c r="G37" s="7"/>
      <c r="H37" s="7"/>
      <c r="I37" s="7"/>
      <c r="J37" s="150" t="s">
        <v>17</v>
      </c>
      <c r="K37" s="151">
        <v>7.0000000000000007E-2</v>
      </c>
      <c r="L37" s="47">
        <f>L36*K37</f>
        <v>39.578000000000003</v>
      </c>
    </row>
    <row r="38" spans="2:25" ht="20.149999999999999" customHeight="1" thickBot="1" x14ac:dyDescent="0.5">
      <c r="B38" s="11" t="s">
        <v>25</v>
      </c>
      <c r="C38" s="7"/>
      <c r="D38" s="7"/>
      <c r="E38" s="7"/>
      <c r="F38" s="7"/>
      <c r="G38" s="7"/>
      <c r="H38" s="7"/>
      <c r="I38" s="7"/>
      <c r="J38" s="488" t="s">
        <v>23</v>
      </c>
      <c r="K38" s="489"/>
      <c r="L38" s="48">
        <f>L36+L37</f>
        <v>604.97799999999995</v>
      </c>
    </row>
    <row r="39" spans="2:25" ht="20.149999999999999" customHeight="1" x14ac:dyDescent="0.45">
      <c r="B39" s="11" t="s">
        <v>26</v>
      </c>
      <c r="C39" s="7"/>
      <c r="D39" s="7"/>
      <c r="E39" s="7"/>
      <c r="F39" s="7"/>
      <c r="G39" s="7"/>
      <c r="H39" s="7"/>
      <c r="I39" s="7"/>
      <c r="L39" s="42"/>
      <c r="O39" s="76">
        <f>L34-1510.5</f>
        <v>-945.1</v>
      </c>
      <c r="Y39" s="24">
        <f>SUM(Y18:Y38)</f>
        <v>798</v>
      </c>
    </row>
    <row r="40" spans="2:25" ht="20.149999999999999" customHeight="1" x14ac:dyDescent="0.45">
      <c r="B40" s="41"/>
      <c r="C40" s="7"/>
      <c r="L40" s="42"/>
    </row>
    <row r="41" spans="2:25" ht="20.149999999999999" customHeight="1" x14ac:dyDescent="0.45">
      <c r="B41" s="41"/>
      <c r="L41" s="42"/>
    </row>
    <row r="42" spans="2:25" ht="20.149999999999999" customHeight="1" x14ac:dyDescent="0.45">
      <c r="B42" s="41"/>
      <c r="L42" s="42"/>
    </row>
    <row r="43" spans="2:25" ht="20.149999999999999" customHeight="1" x14ac:dyDescent="0.45">
      <c r="B43" s="41"/>
      <c r="L43" s="42"/>
    </row>
    <row r="44" spans="2:25" ht="20.149999999999999" customHeight="1" x14ac:dyDescent="0.45">
      <c r="B44" s="49"/>
      <c r="C44" s="50"/>
      <c r="D44" s="50"/>
      <c r="J44" s="50"/>
      <c r="K44" s="50"/>
      <c r="L44" s="51"/>
    </row>
    <row r="45" spans="2:25" ht="20.149999999999999" customHeight="1" x14ac:dyDescent="0.45">
      <c r="B45" s="41" t="s">
        <v>27</v>
      </c>
      <c r="J45" s="24" t="s">
        <v>28</v>
      </c>
      <c r="L45" s="42"/>
    </row>
    <row r="46" spans="2:25" ht="19" thickBot="1" x14ac:dyDescent="0.5">
      <c r="B46" s="52"/>
      <c r="C46" s="53"/>
      <c r="D46" s="53"/>
      <c r="E46" s="53"/>
      <c r="F46" s="53"/>
      <c r="G46" s="53"/>
      <c r="H46" s="53"/>
      <c r="I46" s="53"/>
      <c r="J46" s="53"/>
      <c r="K46" s="53"/>
      <c r="L46" s="54"/>
    </row>
  </sheetData>
  <mergeCells count="39"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18:J18"/>
    <mergeCell ref="D20:F20"/>
    <mergeCell ref="I20:J20"/>
    <mergeCell ref="D19:F19"/>
    <mergeCell ref="I19:J19"/>
    <mergeCell ref="D23:F23"/>
    <mergeCell ref="I23:J23"/>
    <mergeCell ref="D29:F29"/>
    <mergeCell ref="I29:J29"/>
    <mergeCell ref="D31:F31"/>
    <mergeCell ref="I31:J31"/>
    <mergeCell ref="D21:F21"/>
    <mergeCell ref="I21:J21"/>
    <mergeCell ref="D24:F24"/>
    <mergeCell ref="I24:J24"/>
    <mergeCell ref="D22:F22"/>
    <mergeCell ref="I22:J22"/>
    <mergeCell ref="J38:K38"/>
    <mergeCell ref="D30:F30"/>
    <mergeCell ref="I30:J30"/>
    <mergeCell ref="D32:F32"/>
    <mergeCell ref="I32:J32"/>
    <mergeCell ref="J34:K34"/>
    <mergeCell ref="J36:K36"/>
  </mergeCells>
  <pageMargins left="0.70866141732283472" right="0.31496062992125984" top="0.59055118110236227" bottom="0" header="0.31496062992125984" footer="0.31496062992125984"/>
  <pageSetup paperSize="9" scale="78" orientation="portrait" horizontalDpi="300" verticalDpi="300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DF51B8-833C-497B-A682-D4BB85527404}">
  <sheetPr codeName="Sheet27">
    <tabColor rgb="FF7030A0"/>
    <pageSetUpPr fitToPage="1"/>
  </sheetPr>
  <dimension ref="B1:Y59"/>
  <sheetViews>
    <sheetView topLeftCell="B1" workbookViewId="0">
      <selection activeCell="H25" sqref="H25"/>
    </sheetView>
  </sheetViews>
  <sheetFormatPr defaultColWidth="12.54296875" defaultRowHeight="18.5" x14ac:dyDescent="0.45"/>
  <cols>
    <col min="1" max="1" width="12.54296875" style="24"/>
    <col min="2" max="3" width="12.54296875" style="24" customWidth="1"/>
    <col min="4" max="4" width="13.81640625" style="24" customWidth="1"/>
    <col min="5" max="5" width="1.54296875" style="24" customWidth="1"/>
    <col min="6" max="6" width="15.54296875" style="24" customWidth="1"/>
    <col min="7" max="7" width="8.54296875" style="24" customWidth="1"/>
    <col min="8" max="8" width="12.54296875" style="24" customWidth="1"/>
    <col min="9" max="9" width="2.54296875" style="24" customWidth="1"/>
    <col min="10" max="10" width="15.54296875" style="24" customWidth="1"/>
    <col min="11" max="11" width="12.54296875" style="24" customWidth="1"/>
    <col min="12" max="12" width="15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364</v>
      </c>
      <c r="J10" s="29" t="s">
        <v>29</v>
      </c>
      <c r="K10" s="452">
        <v>202208513</v>
      </c>
      <c r="L10" s="453"/>
    </row>
    <row r="11" spans="2:12" ht="20.149999999999999" customHeight="1" x14ac:dyDescent="0.45">
      <c r="B11" s="454" t="s">
        <v>771</v>
      </c>
      <c r="C11" s="455"/>
      <c r="D11" s="456"/>
      <c r="E11" s="30"/>
      <c r="F11" s="457" t="str">
        <f>VLOOKUP(H10,'Delivery Location'!A$4:N$416,2,0)</f>
        <v xml:space="preserve">ECREATIVE CATERING PTE LTD             Blk 15, Woodlands Loop                      #04-33   Singapore 738322                                    </v>
      </c>
      <c r="G11" s="458"/>
      <c r="H11" s="459"/>
      <c r="J11" s="31" t="s">
        <v>11</v>
      </c>
      <c r="K11" s="466">
        <v>44804</v>
      </c>
      <c r="L11" s="467"/>
    </row>
    <row r="12" spans="2:12" ht="20.149999999999999" customHeight="1" x14ac:dyDescent="0.45">
      <c r="B12" s="468" t="s">
        <v>772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36</v>
      </c>
      <c r="L12" s="472"/>
    </row>
    <row r="13" spans="2:12" ht="20.149999999999999" customHeight="1" x14ac:dyDescent="0.45">
      <c r="B13" s="468" t="s">
        <v>773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14</v>
      </c>
      <c r="L13" s="472"/>
    </row>
    <row r="14" spans="2:12" ht="20.149999999999999" customHeight="1" x14ac:dyDescent="0.45">
      <c r="B14" s="468"/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55"/>
      <c r="C15" s="56"/>
      <c r="D15" s="57"/>
      <c r="E15" s="26"/>
      <c r="F15" s="463"/>
      <c r="G15" s="464"/>
      <c r="H15" s="465"/>
      <c r="J15" s="32" t="s">
        <v>13</v>
      </c>
      <c r="K15" s="476" t="s">
        <v>762</v>
      </c>
      <c r="L15" s="477"/>
    </row>
    <row r="16" spans="2:12" ht="19" thickBot="1" x14ac:dyDescent="0.5">
      <c r="J16" s="22"/>
    </row>
    <row r="17" spans="2:25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8" t="s">
        <v>60</v>
      </c>
      <c r="I17" s="478" t="s">
        <v>621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25" ht="20.149999999999999" customHeight="1" x14ac:dyDescent="0.45">
      <c r="B18" s="34"/>
      <c r="C18" s="22" t="s">
        <v>1462</v>
      </c>
      <c r="D18" s="508" t="str">
        <f>VLOOKUP(C18,'Sales Master'!B$3:D$499,2,)</f>
        <v>Pong Thai Hai (Wet) 碰大海</v>
      </c>
      <c r="E18" s="508"/>
      <c r="F18" s="508"/>
      <c r="G18" s="22">
        <v>4</v>
      </c>
      <c r="H18" s="438" t="str">
        <f>VLOOKUP(C18,'Sales Master'!$B$3:$E$590,4,0)</f>
        <v>DO!</v>
      </c>
      <c r="I18" s="512" t="str">
        <f>VLOOKUP(C18,'Sales Master'!$B$3:F$590,5,0)</f>
        <v>1KG</v>
      </c>
      <c r="J18" s="512"/>
      <c r="K18" s="35">
        <f>VLOOKUP(C18,'Sales Master'!B$3:AM$499,38,0)</f>
        <v>6</v>
      </c>
      <c r="L18" s="77">
        <f t="shared" ref="L18:L23" si="0">K18*G18</f>
        <v>24</v>
      </c>
      <c r="M18" s="78"/>
      <c r="N18" s="225">
        <f>VLOOKUP(C18,'Sales Master'!$B$3:$DA$3038,104,0)</f>
        <v>0.85</v>
      </c>
      <c r="O18" s="225">
        <f t="shared" ref="O18:O23" si="1">K18-N18</f>
        <v>5.15</v>
      </c>
      <c r="P18" s="225">
        <f t="shared" ref="P18:P23" si="2">O18*G18</f>
        <v>20.6</v>
      </c>
      <c r="R18" s="24">
        <v>2</v>
      </c>
      <c r="S18" s="24" t="s">
        <v>61</v>
      </c>
      <c r="T18" s="24" t="s">
        <v>34</v>
      </c>
      <c r="V18" s="24">
        <v>5</v>
      </c>
      <c r="Y18" s="24">
        <v>50</v>
      </c>
    </row>
    <row r="19" spans="2:25" ht="20.149999999999999" customHeight="1" x14ac:dyDescent="0.45">
      <c r="B19" s="34"/>
      <c r="C19" s="22" t="s">
        <v>1482</v>
      </c>
      <c r="D19" s="508" t="str">
        <f>VLOOKUP(C19,'Sales Master'!B$3:D$499,2,)</f>
        <v>Tadpole蝌蚪</v>
      </c>
      <c r="E19" s="508"/>
      <c r="F19" s="508"/>
      <c r="G19" s="22">
        <v>26</v>
      </c>
      <c r="H19" s="438" t="str">
        <f>VLOOKUP(C19,'Sales Master'!$B$3:$E$590,4,0)</f>
        <v>FJ</v>
      </c>
      <c r="I19" s="512" t="str">
        <f>VLOOKUP(C19,'Sales Master'!$B$3:F$590,5,0)</f>
        <v>1 kg/Bag</v>
      </c>
      <c r="J19" s="512"/>
      <c r="K19" s="35">
        <f>VLOOKUP(C19,'Sales Master'!B$3:AM$499,38,0)</f>
        <v>6.5</v>
      </c>
      <c r="L19" s="77">
        <f t="shared" si="0"/>
        <v>169</v>
      </c>
      <c r="M19" s="78"/>
      <c r="N19" s="225">
        <f>VLOOKUP(C19,'Sales Master'!$B$3:$DA$3038,104,0)</f>
        <v>5</v>
      </c>
      <c r="O19" s="225">
        <f t="shared" si="1"/>
        <v>1.5</v>
      </c>
      <c r="P19" s="225">
        <f t="shared" si="2"/>
        <v>39</v>
      </c>
    </row>
    <row r="20" spans="2:25" ht="20.149999999999999" customHeight="1" x14ac:dyDescent="0.45">
      <c r="B20" s="34"/>
      <c r="C20" s="22" t="s">
        <v>1566</v>
      </c>
      <c r="D20" s="508" t="str">
        <f>VLOOKUP(C20,'Sales Master'!B$3:D$499,2,)</f>
        <v>Chin Chow  仙草</v>
      </c>
      <c r="E20" s="508"/>
      <c r="F20" s="508"/>
      <c r="G20" s="22">
        <v>23</v>
      </c>
      <c r="H20" s="438" t="str">
        <f>VLOOKUP(C20,'Sales Master'!$B$3:$E$590,4,0)</f>
        <v>TSM</v>
      </c>
      <c r="I20" s="512" t="str">
        <f>VLOOKUP(C20,'Sales Master'!$B$3:F$590,5,0)</f>
        <v>5KGS/PKT</v>
      </c>
      <c r="J20" s="512"/>
      <c r="K20" s="35">
        <f>VLOOKUP(C20,'Sales Master'!B$3:AM$499,38,0)</f>
        <v>5</v>
      </c>
      <c r="L20" s="77">
        <f t="shared" si="0"/>
        <v>115</v>
      </c>
      <c r="M20" s="78"/>
      <c r="N20" s="225">
        <f>VLOOKUP(C20,'Sales Master'!$B$3:$DA$3038,104,0)</f>
        <v>4</v>
      </c>
      <c r="O20" s="225">
        <f t="shared" si="1"/>
        <v>1</v>
      </c>
      <c r="P20" s="225">
        <f t="shared" si="2"/>
        <v>23</v>
      </c>
    </row>
    <row r="21" spans="2:25" ht="20.149999999999999" customHeight="1" x14ac:dyDescent="0.45">
      <c r="B21" s="34"/>
      <c r="C21" s="22" t="s">
        <v>1611</v>
      </c>
      <c r="D21" s="508" t="str">
        <f>VLOOKUP(C21,'Sales Master'!B$3:D$499,2,)</f>
        <v>Big Sago 大丸</v>
      </c>
      <c r="E21" s="508"/>
      <c r="F21" s="508"/>
      <c r="G21" s="22">
        <v>0.5</v>
      </c>
      <c r="H21" s="438" t="str">
        <f>VLOOKUP(C21,'Sales Master'!$B$3:$E$590,4,0)</f>
        <v>-</v>
      </c>
      <c r="I21" s="512" t="str">
        <f>VLOOKUP(C21,'Sales Master'!$B$3:F$590,5,0)</f>
        <v>5 kgs</v>
      </c>
      <c r="J21" s="512"/>
      <c r="K21" s="35">
        <f>VLOOKUP(C21,'Sales Master'!B$3:AM$499,38,0)</f>
        <v>11</v>
      </c>
      <c r="L21" s="77">
        <f t="shared" si="0"/>
        <v>5.5</v>
      </c>
      <c r="M21" s="78"/>
      <c r="N21" s="225">
        <f>VLOOKUP(C21,'Sales Master'!$B$3:$DA$3038,104,0)</f>
        <v>8.6666666666666679</v>
      </c>
      <c r="O21" s="225">
        <f t="shared" si="1"/>
        <v>2.3333333333333321</v>
      </c>
      <c r="P21" s="225">
        <f t="shared" si="2"/>
        <v>1.1666666666666661</v>
      </c>
    </row>
    <row r="22" spans="2:25" ht="20.149999999999999" customHeight="1" x14ac:dyDescent="0.45">
      <c r="B22" s="34"/>
      <c r="C22" s="22" t="s">
        <v>1615</v>
      </c>
      <c r="D22" s="508" t="str">
        <f>VLOOKUP(C22,'Sales Master'!B$3:D$499,2,)</f>
        <v>Small Sago 小丸</v>
      </c>
      <c r="E22" s="508"/>
      <c r="F22" s="508"/>
      <c r="G22" s="22">
        <v>1</v>
      </c>
      <c r="H22" s="438" t="str">
        <f>VLOOKUP(C22,'Sales Master'!$B$3:$E$590,4,0)</f>
        <v>-</v>
      </c>
      <c r="I22" s="512" t="str">
        <f>VLOOKUP(C22,'Sales Master'!$B$3:F$590,5,0)</f>
        <v>5 kgs</v>
      </c>
      <c r="J22" s="512"/>
      <c r="K22" s="35">
        <f>VLOOKUP(C22,'Sales Master'!B$3:AM$499,38,0)</f>
        <v>10.5</v>
      </c>
      <c r="L22" s="77">
        <f t="shared" si="0"/>
        <v>10.5</v>
      </c>
      <c r="M22" s="78"/>
      <c r="N22" s="225">
        <f>VLOOKUP(C22,'Sales Master'!$B$3:$DA$3038,104,0)</f>
        <v>8</v>
      </c>
      <c r="O22" s="225">
        <f t="shared" si="1"/>
        <v>2.5</v>
      </c>
      <c r="P22" s="225">
        <f t="shared" si="2"/>
        <v>2.5</v>
      </c>
    </row>
    <row r="23" spans="2:25" ht="20.149999999999999" customHeight="1" x14ac:dyDescent="0.45">
      <c r="B23" s="34"/>
      <c r="C23" s="22" t="s">
        <v>1618</v>
      </c>
      <c r="D23" s="508" t="str">
        <f>VLOOKUP(C23,'Sales Master'!B$3:D$499,2,)</f>
        <v>Dried Longan 龙眼干</v>
      </c>
      <c r="E23" s="508"/>
      <c r="F23" s="508"/>
      <c r="G23" s="22">
        <v>2</v>
      </c>
      <c r="H23" s="438" t="str">
        <f>VLOOKUP(C23,'Sales Master'!$B$3:$E$590,4,0)</f>
        <v>TL</v>
      </c>
      <c r="I23" s="512" t="str">
        <f>VLOOKUP(C23,'Sales Master'!$B$3:F$590,5,0)</f>
        <v>1 kg</v>
      </c>
      <c r="J23" s="512"/>
      <c r="K23" s="35">
        <f>VLOOKUP(C23,'Sales Master'!B$3:AM$499,38,0)</f>
        <v>12</v>
      </c>
      <c r="L23" s="77">
        <f t="shared" si="0"/>
        <v>24</v>
      </c>
      <c r="M23" s="78"/>
      <c r="N23" s="225">
        <f>VLOOKUP(C23,'Sales Master'!$B$3:$DA$3038,104,0)</f>
        <v>8.5</v>
      </c>
      <c r="O23" s="225">
        <f t="shared" si="1"/>
        <v>3.5</v>
      </c>
      <c r="P23" s="225">
        <f t="shared" si="2"/>
        <v>7</v>
      </c>
    </row>
    <row r="24" spans="2:25" ht="20.149999999999999" customHeight="1" x14ac:dyDescent="0.45">
      <c r="B24" s="34"/>
      <c r="C24" s="22" t="s">
        <v>1696</v>
      </c>
      <c r="D24" s="508" t="str">
        <f>VLOOKUP(C24,'Sales Master'!B$3:D$499,2,)</f>
        <v>Longan in Syrup龙眼</v>
      </c>
      <c r="E24" s="508"/>
      <c r="F24" s="508"/>
      <c r="G24" s="22">
        <v>1</v>
      </c>
      <c r="H24" s="438" t="str">
        <f>VLOOKUP(C24,'Sales Master'!$B$3:$E$590,4,0)</f>
        <v>YiFong</v>
      </c>
      <c r="I24" s="512" t="str">
        <f>VLOOKUP(C24,'Sales Master'!$B$3:F$590,5,0)</f>
        <v>(565gm x 12)/箱</v>
      </c>
      <c r="J24" s="512"/>
      <c r="K24" s="35">
        <f>VLOOKUP(C24,'Sales Master'!B$3:AM$499,38,0)</f>
        <v>23</v>
      </c>
      <c r="L24" s="77">
        <f t="shared" ref="L24" si="3">K24*G24</f>
        <v>23</v>
      </c>
      <c r="M24" s="78"/>
      <c r="N24" s="225">
        <f>VLOOKUP(C24,'Sales Master'!$B$3:$DA$3038,104,0)</f>
        <v>18.055555555555557</v>
      </c>
      <c r="O24" s="225">
        <f t="shared" ref="O24" si="4">K24-N24</f>
        <v>4.9444444444444429</v>
      </c>
      <c r="P24" s="225">
        <f t="shared" ref="P24" si="5">O24*G24</f>
        <v>4.9444444444444429</v>
      </c>
    </row>
    <row r="25" spans="2:25" ht="20.149999999999999" customHeight="1" x14ac:dyDescent="0.45">
      <c r="B25" s="34"/>
      <c r="C25" s="22" t="s">
        <v>1715</v>
      </c>
      <c r="D25" s="508" t="str">
        <f>VLOOKUP(C25,'Sales Master'!B$3:D$499,2,)</f>
        <v>Carnation Milk三花淡奶水</v>
      </c>
      <c r="E25" s="508"/>
      <c r="F25" s="508"/>
      <c r="G25" s="22">
        <v>4</v>
      </c>
      <c r="H25" s="441" t="str">
        <f>VLOOKUP(C25,'Sales Master'!$B$3:$E$590,4,0)</f>
        <v>Threeflower</v>
      </c>
      <c r="I25" s="512" t="str">
        <f>VLOOKUP(C25,'Sales Master'!$B$3:F$590,5,0)</f>
        <v>405 gm x48 can/Ctn</v>
      </c>
      <c r="J25" s="512"/>
      <c r="K25" s="35">
        <f>VLOOKUP(C25,'Sales Master'!B$3:AM$499,38,0)</f>
        <v>55</v>
      </c>
      <c r="L25" s="77">
        <f t="shared" ref="L25" si="6">K25*G25</f>
        <v>220</v>
      </c>
      <c r="M25" s="78"/>
      <c r="N25" s="225">
        <f>VLOOKUP(C25,'Sales Master'!$B$3:$DA$3038,104,0)</f>
        <v>50</v>
      </c>
      <c r="O25" s="225">
        <f t="shared" ref="O25" si="7">K25-N25</f>
        <v>5</v>
      </c>
      <c r="P25" s="225">
        <f t="shared" ref="P25" si="8">O25*G25</f>
        <v>20</v>
      </c>
    </row>
    <row r="26" spans="2:25" ht="20.149999999999999" customHeight="1" x14ac:dyDescent="0.45">
      <c r="B26" s="34"/>
      <c r="C26" s="22" t="s">
        <v>1741</v>
      </c>
      <c r="D26" s="508" t="str">
        <f>VLOOKUP(C26,'Sales Master'!B$3:D$499,2,)</f>
        <v>Coconut Milk 椰浆</v>
      </c>
      <c r="E26" s="508"/>
      <c r="F26" s="508"/>
      <c r="G26" s="22">
        <v>39</v>
      </c>
      <c r="H26" s="438" t="str">
        <f>VLOOKUP(C26,'Sales Master'!$B$3:$E$590,4,0)</f>
        <v>Sin-ind</v>
      </c>
      <c r="I26" s="512" t="str">
        <f>VLOOKUP(C26,'Sales Master'!$B$3:F$590,5,0)</f>
        <v>(1L x 12bag)/箱</v>
      </c>
      <c r="J26" s="512"/>
      <c r="K26" s="35">
        <f>VLOOKUP(C26,'Sales Master'!B$3:AM$499,38,0)</f>
        <v>38</v>
      </c>
      <c r="L26" s="77">
        <f t="shared" ref="L26" si="9">K26*G26</f>
        <v>1482</v>
      </c>
      <c r="M26" s="78"/>
      <c r="N26" s="225">
        <f>VLOOKUP(C26,'Sales Master'!$B$3:$DA$3038,104,0)</f>
        <v>30.530973451327434</v>
      </c>
      <c r="O26" s="225">
        <f t="shared" ref="O26" si="10">K26-N26</f>
        <v>7.4690265486725664</v>
      </c>
      <c r="P26" s="225">
        <f t="shared" ref="P26" si="11">O26*G26</f>
        <v>291.2920353982301</v>
      </c>
    </row>
    <row r="27" spans="2:25" ht="20.149999999999999" customHeight="1" x14ac:dyDescent="0.45">
      <c r="B27" s="34"/>
      <c r="C27" s="22" t="s">
        <v>1794</v>
      </c>
      <c r="D27" s="508" t="str">
        <f>VLOOKUP(C27,'Sales Master'!B$3:D$499,2,)</f>
        <v>Pandan Leaf 班兰叶</v>
      </c>
      <c r="E27" s="508"/>
      <c r="F27" s="508"/>
      <c r="G27" s="22">
        <v>29</v>
      </c>
      <c r="H27" s="438" t="str">
        <f>VLOOKUP(C27,'Sales Master'!$B$3:$E$590,4,0)</f>
        <v>-</v>
      </c>
      <c r="I27" s="512" t="str">
        <f>VLOOKUP(C27,'Sales Master'!$B$3:F$590,5,0)</f>
        <v>1 kg</v>
      </c>
      <c r="J27" s="512"/>
      <c r="K27" s="35">
        <f>VLOOKUP(C27,'Sales Master'!B$3:AM$499,38,0)</f>
        <v>1.8</v>
      </c>
      <c r="L27" s="77">
        <f t="shared" ref="L27" si="12">K27*G27</f>
        <v>52.2</v>
      </c>
      <c r="M27" s="78"/>
      <c r="N27" s="225">
        <f>VLOOKUP(C27,'Sales Master'!$B$3:$DA$3038,104,0)</f>
        <v>1</v>
      </c>
      <c r="O27" s="225">
        <f t="shared" ref="O27" si="13">K27-N27</f>
        <v>0.8</v>
      </c>
      <c r="P27" s="225">
        <f t="shared" ref="P27" si="14">O27*G27</f>
        <v>23.200000000000003</v>
      </c>
    </row>
    <row r="28" spans="2:25" ht="20.149999999999999" customHeight="1" x14ac:dyDescent="0.45">
      <c r="B28" s="34"/>
      <c r="C28" s="22" t="s">
        <v>1807</v>
      </c>
      <c r="D28" s="508" t="str">
        <f>VLOOKUP(C28,'Sales Master'!B$3:D$499,2,)</f>
        <v>Food Coloring - Liquid)颜色-水</v>
      </c>
      <c r="E28" s="508"/>
      <c r="F28" s="508"/>
      <c r="G28" s="22">
        <v>1</v>
      </c>
      <c r="H28" s="438" t="str">
        <f>VLOOKUP(C28,'Sales Master'!$B$3:$E$590,4,0)</f>
        <v>Yellow/黄</v>
      </c>
      <c r="I28" s="512" t="str">
        <f>VLOOKUP(C28,'Sales Master'!$B$3:F$590,5,0)</f>
        <v>500 ML/BTL</v>
      </c>
      <c r="J28" s="512"/>
      <c r="K28" s="35">
        <f>VLOOKUP(C28,'Sales Master'!B$3:AM$499,38,0)</f>
        <v>2.5</v>
      </c>
      <c r="L28" s="77">
        <f t="shared" ref="L28" si="15">K28*G28</f>
        <v>2.5</v>
      </c>
      <c r="M28" s="78"/>
      <c r="N28" s="225">
        <f>VLOOKUP(C28,'Sales Master'!$B$3:$DA$3038,104,0)</f>
        <v>1.6</v>
      </c>
      <c r="O28" s="225">
        <f t="shared" ref="O28" si="16">K28-N28</f>
        <v>0.89999999999999991</v>
      </c>
      <c r="P28" s="225">
        <f t="shared" ref="P28" si="17">O28*G28</f>
        <v>0.89999999999999991</v>
      </c>
    </row>
    <row r="29" spans="2:25" ht="20.149999999999999" customHeight="1" x14ac:dyDescent="0.45">
      <c r="B29" s="34"/>
      <c r="C29" s="22"/>
      <c r="D29" s="508"/>
      <c r="E29" s="508"/>
      <c r="F29" s="508"/>
      <c r="G29" s="22"/>
      <c r="H29" s="68"/>
      <c r="I29" s="450"/>
      <c r="J29" s="450"/>
      <c r="K29" s="35"/>
      <c r="L29" s="77"/>
      <c r="M29" s="78"/>
      <c r="R29" s="24">
        <v>1</v>
      </c>
      <c r="S29" s="24" t="s">
        <v>36</v>
      </c>
      <c r="T29" s="24" t="s">
        <v>671</v>
      </c>
      <c r="V29" s="24">
        <v>30</v>
      </c>
      <c r="Y29" s="24">
        <v>15</v>
      </c>
    </row>
    <row r="30" spans="2:25" ht="20.149999999999999" customHeight="1" x14ac:dyDescent="0.45">
      <c r="B30" s="34"/>
      <c r="C30" s="299"/>
      <c r="G30" s="22"/>
      <c r="H30" s="68"/>
      <c r="I30" s="450"/>
      <c r="J30" s="450"/>
      <c r="K30" s="139"/>
      <c r="L30" s="99"/>
      <c r="M30" s="78"/>
      <c r="R30" s="24">
        <v>4</v>
      </c>
      <c r="S30" s="24" t="s">
        <v>36</v>
      </c>
      <c r="T30" s="24" t="s">
        <v>34</v>
      </c>
      <c r="V30" s="24">
        <v>1.5</v>
      </c>
      <c r="Y30" s="24">
        <v>190</v>
      </c>
    </row>
    <row r="31" spans="2:25" ht="20.149999999999999" customHeight="1" x14ac:dyDescent="0.45">
      <c r="B31" s="34"/>
      <c r="C31" s="22"/>
      <c r="D31" s="508"/>
      <c r="E31" s="508"/>
      <c r="F31" s="508"/>
      <c r="G31" s="22"/>
      <c r="H31" s="68"/>
      <c r="I31" s="450"/>
      <c r="J31" s="450"/>
      <c r="K31" s="139"/>
      <c r="L31" s="99"/>
      <c r="M31" s="78"/>
      <c r="R31" s="24">
        <v>1</v>
      </c>
      <c r="S31" s="24" t="s">
        <v>36</v>
      </c>
      <c r="T31" s="24" t="s">
        <v>34</v>
      </c>
      <c r="V31" s="24">
        <v>2.5</v>
      </c>
      <c r="Y31" s="24">
        <v>50</v>
      </c>
    </row>
    <row r="32" spans="2:25" ht="20.149999999999999" customHeight="1" x14ac:dyDescent="0.45">
      <c r="B32" s="34"/>
      <c r="C32" s="22"/>
      <c r="D32" s="508"/>
      <c r="E32" s="508"/>
      <c r="F32" s="508"/>
      <c r="G32" s="22"/>
      <c r="H32" s="68"/>
      <c r="I32" s="450"/>
      <c r="J32" s="450"/>
      <c r="K32" s="139"/>
      <c r="L32" s="99"/>
      <c r="M32" s="78"/>
      <c r="Y32" s="24">
        <v>152</v>
      </c>
    </row>
    <row r="33" spans="2:25" ht="20.149999999999999" customHeight="1" x14ac:dyDescent="0.45">
      <c r="B33" s="34"/>
      <c r="C33" s="22"/>
      <c r="D33" s="508"/>
      <c r="E33" s="508"/>
      <c r="F33" s="508"/>
      <c r="G33" s="22"/>
      <c r="H33" s="68"/>
      <c r="I33" s="450"/>
      <c r="J33" s="450"/>
      <c r="K33" s="139"/>
      <c r="L33" s="99"/>
      <c r="M33" s="78"/>
      <c r="Y33" s="24">
        <v>16</v>
      </c>
    </row>
    <row r="34" spans="2:25" ht="20.149999999999999" customHeight="1" x14ac:dyDescent="0.45">
      <c r="B34" s="34"/>
      <c r="C34" s="22"/>
      <c r="D34" s="508"/>
      <c r="E34" s="508"/>
      <c r="F34" s="508"/>
      <c r="G34" s="22"/>
      <c r="H34" s="68"/>
      <c r="I34" s="450"/>
      <c r="J34" s="450"/>
      <c r="K34" s="35"/>
      <c r="L34" s="77"/>
      <c r="M34" s="78"/>
      <c r="Y34" s="24">
        <v>22</v>
      </c>
    </row>
    <row r="35" spans="2:25" ht="20.149999999999999" customHeight="1" x14ac:dyDescent="0.45">
      <c r="B35" s="34"/>
      <c r="C35" s="22"/>
      <c r="D35" s="508"/>
      <c r="E35" s="508"/>
      <c r="F35" s="508"/>
      <c r="G35" s="22"/>
      <c r="H35" s="68"/>
      <c r="I35" s="450"/>
      <c r="J35" s="450"/>
      <c r="K35" s="35"/>
      <c r="L35" s="36"/>
      <c r="Y35" s="24">
        <v>28</v>
      </c>
    </row>
    <row r="36" spans="2:25" ht="20.149999999999999" customHeight="1" thickBot="1" x14ac:dyDescent="0.5">
      <c r="B36" s="37"/>
      <c r="C36" s="38"/>
      <c r="D36" s="509"/>
      <c r="E36" s="509"/>
      <c r="F36" s="509"/>
      <c r="G36" s="38"/>
      <c r="H36" s="69"/>
      <c r="I36" s="451"/>
      <c r="J36" s="451"/>
      <c r="K36" s="39"/>
      <c r="L36" s="40"/>
      <c r="Y36" s="24">
        <v>28</v>
      </c>
    </row>
    <row r="37" spans="2:25" ht="20.149999999999999" customHeight="1" thickBot="1" x14ac:dyDescent="0.5">
      <c r="B37" s="41"/>
      <c r="L37" s="42"/>
      <c r="Y37" s="24">
        <v>20</v>
      </c>
    </row>
    <row r="38" spans="2:25" ht="20.149999999999999" customHeight="1" x14ac:dyDescent="0.45">
      <c r="B38" s="11" t="s">
        <v>18</v>
      </c>
      <c r="D38" s="7"/>
      <c r="E38" s="7"/>
      <c r="F38" s="7"/>
      <c r="G38" s="7"/>
      <c r="H38" s="7"/>
      <c r="I38" s="7"/>
      <c r="J38" s="510" t="s">
        <v>15</v>
      </c>
      <c r="K38" s="511"/>
      <c r="L38" s="43">
        <f>SUM(L17:L37)</f>
        <v>2127.6999999999998</v>
      </c>
      <c r="M38" s="76">
        <f>SUM(P18:P35)</f>
        <v>433.60314650934117</v>
      </c>
      <c r="N38" s="201">
        <f>M38/L38</f>
        <v>0.20378960685686009</v>
      </c>
      <c r="Y38" s="24">
        <v>190</v>
      </c>
    </row>
    <row r="39" spans="2:25" ht="20.149999999999999" customHeight="1" x14ac:dyDescent="0.45">
      <c r="B39" s="11" t="s">
        <v>19</v>
      </c>
      <c r="C39" s="7"/>
      <c r="D39" s="7"/>
      <c r="E39" s="7"/>
      <c r="F39" s="7"/>
      <c r="G39" s="7"/>
      <c r="H39" s="7"/>
      <c r="I39" s="7"/>
      <c r="J39" s="44" t="s">
        <v>22</v>
      </c>
      <c r="K39" s="45"/>
      <c r="L39" s="46">
        <f>L38*K39</f>
        <v>0</v>
      </c>
      <c r="Y39" s="24">
        <v>50</v>
      </c>
    </row>
    <row r="40" spans="2:25" ht="20.149999999999999" customHeight="1" x14ac:dyDescent="0.45">
      <c r="B40" s="11" t="s">
        <v>20</v>
      </c>
      <c r="C40" s="7"/>
      <c r="D40" s="7"/>
      <c r="E40" s="7"/>
      <c r="F40" s="7"/>
      <c r="G40" s="7"/>
      <c r="H40" s="7"/>
      <c r="I40" s="7"/>
      <c r="J40" s="486" t="s">
        <v>21</v>
      </c>
      <c r="K40" s="487"/>
      <c r="L40" s="46">
        <f>L38-L39</f>
        <v>2127.6999999999998</v>
      </c>
      <c r="Y40" s="24">
        <v>16</v>
      </c>
    </row>
    <row r="41" spans="2:25" ht="20.149999999999999" customHeight="1" x14ac:dyDescent="0.45">
      <c r="B41" s="11" t="s">
        <v>24</v>
      </c>
      <c r="C41" s="7"/>
      <c r="D41" s="7"/>
      <c r="E41" s="7"/>
      <c r="F41" s="7"/>
      <c r="G41" s="7"/>
      <c r="H41" s="7"/>
      <c r="I41" s="7"/>
      <c r="J41" s="150" t="s">
        <v>17</v>
      </c>
      <c r="K41" s="151">
        <v>7.0000000000000007E-2</v>
      </c>
      <c r="L41" s="47">
        <f>L40*K41</f>
        <v>148.93899999999999</v>
      </c>
      <c r="Y41" s="24">
        <v>18</v>
      </c>
    </row>
    <row r="42" spans="2:25" ht="20.149999999999999" customHeight="1" thickBot="1" x14ac:dyDescent="0.5">
      <c r="B42" s="11" t="s">
        <v>1400</v>
      </c>
      <c r="C42" s="7"/>
      <c r="D42" s="7"/>
      <c r="E42" s="7"/>
      <c r="F42" s="7"/>
      <c r="G42" s="7"/>
      <c r="H42" s="7"/>
      <c r="I42" s="7"/>
      <c r="J42" s="488" t="s">
        <v>23</v>
      </c>
      <c r="K42" s="489"/>
      <c r="L42" s="48">
        <f>L40+L41</f>
        <v>2276.6389999999997</v>
      </c>
      <c r="Y42" s="24">
        <v>4.5</v>
      </c>
    </row>
    <row r="43" spans="2:25" ht="20.149999999999999" customHeight="1" x14ac:dyDescent="0.45">
      <c r="B43" s="11" t="s">
        <v>26</v>
      </c>
      <c r="C43" s="7"/>
      <c r="D43" s="7"/>
      <c r="E43" s="7"/>
      <c r="F43" s="7"/>
      <c r="G43" s="7"/>
      <c r="H43" s="7"/>
      <c r="I43" s="7"/>
      <c r="L43" s="42"/>
      <c r="O43" s="76"/>
      <c r="Y43" s="24">
        <f>SUM(Y18:Y42)</f>
        <v>849.5</v>
      </c>
    </row>
    <row r="44" spans="2:25" ht="20.149999999999999" customHeight="1" x14ac:dyDescent="0.45">
      <c r="B44" s="224" t="s">
        <v>1379</v>
      </c>
      <c r="C44" s="7"/>
      <c r="L44" s="42"/>
    </row>
    <row r="45" spans="2:25" ht="20.149999999999999" customHeight="1" x14ac:dyDescent="0.45">
      <c r="B45" s="41"/>
      <c r="L45" s="42"/>
    </row>
    <row r="46" spans="2:25" ht="20.149999999999999" customHeight="1" x14ac:dyDescent="0.45">
      <c r="B46" s="41"/>
      <c r="L46" s="42"/>
    </row>
    <row r="47" spans="2:25" ht="20.149999999999999" customHeight="1" x14ac:dyDescent="0.45">
      <c r="B47" s="41"/>
      <c r="L47" s="42"/>
    </row>
    <row r="48" spans="2:25" ht="20.149999999999999" customHeight="1" x14ac:dyDescent="0.45">
      <c r="B48" s="49"/>
      <c r="C48" s="50"/>
      <c r="D48" s="50"/>
      <c r="J48" s="50"/>
      <c r="K48" s="50"/>
      <c r="L48" s="51"/>
    </row>
    <row r="49" spans="2:12" ht="20.149999999999999" customHeight="1" x14ac:dyDescent="0.45">
      <c r="B49" s="41" t="s">
        <v>27</v>
      </c>
      <c r="J49" s="24" t="s">
        <v>28</v>
      </c>
      <c r="L49" s="42"/>
    </row>
    <row r="50" spans="2:12" ht="19" thickBot="1" x14ac:dyDescent="0.5">
      <c r="B50" s="52"/>
      <c r="C50" s="53"/>
      <c r="D50" s="53"/>
      <c r="E50" s="53"/>
      <c r="F50" s="53"/>
      <c r="G50" s="53"/>
      <c r="H50" s="53"/>
      <c r="I50" s="53"/>
      <c r="J50" s="53"/>
      <c r="K50" s="53"/>
      <c r="L50" s="54"/>
    </row>
    <row r="52" spans="2:12" x14ac:dyDescent="0.45">
      <c r="C52" s="399" t="s">
        <v>2224</v>
      </c>
      <c r="D52" s="400"/>
      <c r="E52" s="400"/>
      <c r="F52" s="400"/>
      <c r="G52" s="287"/>
      <c r="H52" s="160"/>
      <c r="I52" s="68"/>
      <c r="J52" s="68"/>
      <c r="K52" s="394"/>
    </row>
    <row r="53" spans="2:12" x14ac:dyDescent="0.45">
      <c r="C53" s="22" t="s">
        <v>1772</v>
      </c>
      <c r="D53" s="505" t="str">
        <f>VLOOKUP(C53,'Sales Master'!B$3:D$699,2,)</f>
        <v>Fine Sugar 白糖</v>
      </c>
      <c r="E53" s="505"/>
      <c r="F53" s="505"/>
      <c r="G53" s="401">
        <v>1</v>
      </c>
      <c r="H53" s="97" t="str">
        <f>VLOOKUP(C53,'Sales Master'!$B$3:$F$3179,5,0)</f>
        <v>25 KGS</v>
      </c>
      <c r="I53" s="506" t="str">
        <f>VLOOKUP(C53,'Sales Master'!$B$3:$E$3179,4,0)</f>
        <v>SUN</v>
      </c>
      <c r="J53" s="506"/>
      <c r="K53" s="394">
        <v>28</v>
      </c>
    </row>
    <row r="54" spans="2:12" x14ac:dyDescent="0.45">
      <c r="C54" s="90"/>
      <c r="D54" s="402"/>
      <c r="E54" s="402"/>
      <c r="F54" s="402"/>
      <c r="G54" s="90"/>
      <c r="H54" s="68"/>
      <c r="I54" s="68"/>
      <c r="J54" s="68"/>
      <c r="K54" s="394"/>
    </row>
    <row r="55" spans="2:12" x14ac:dyDescent="0.45">
      <c r="C55" s="285" t="s">
        <v>2219</v>
      </c>
      <c r="G55" s="401"/>
      <c r="H55" s="68"/>
      <c r="I55" s="68"/>
      <c r="J55" s="68"/>
      <c r="K55" s="394"/>
    </row>
    <row r="56" spans="2:12" x14ac:dyDescent="0.45">
      <c r="C56" s="22" t="s">
        <v>1771</v>
      </c>
      <c r="D56" s="505" t="str">
        <f>VLOOKUP(C56,'Sales Master'!B$3:D$699,2,)</f>
        <v>Fine Sugar 白糖</v>
      </c>
      <c r="E56" s="505"/>
      <c r="F56" s="505"/>
      <c r="G56" s="401">
        <v>1</v>
      </c>
      <c r="H56" s="97" t="str">
        <f>VLOOKUP(C56,'Sales Master'!$B$3:$F$3179,5,0)</f>
        <v>25 KGS</v>
      </c>
      <c r="I56" s="506" t="str">
        <f>VLOOKUP(C56,'Sales Master'!$B$3:$E$3179,4,0)</f>
        <v>MITRPHOL</v>
      </c>
      <c r="J56" s="506"/>
      <c r="K56" s="394">
        <v>29</v>
      </c>
    </row>
    <row r="57" spans="2:12" x14ac:dyDescent="0.45">
      <c r="C57" s="22"/>
      <c r="D57" s="230"/>
      <c r="E57" s="230"/>
      <c r="F57" s="230"/>
      <c r="G57" s="401"/>
      <c r="H57" s="68"/>
      <c r="I57" s="68"/>
      <c r="J57" s="68"/>
      <c r="K57" s="394"/>
    </row>
    <row r="58" spans="2:12" x14ac:dyDescent="0.45">
      <c r="C58" s="285" t="s">
        <v>1891</v>
      </c>
      <c r="G58" s="401"/>
      <c r="H58" s="68"/>
      <c r="I58" s="68"/>
      <c r="J58" s="68"/>
      <c r="K58" s="394"/>
    </row>
    <row r="59" spans="2:12" x14ac:dyDescent="0.45">
      <c r="C59" s="22" t="s">
        <v>1771</v>
      </c>
      <c r="D59" s="505" t="str">
        <f>VLOOKUP(C59,'Sales Master'!B$3:D$699,2,)</f>
        <v>Fine Sugar 白糖</v>
      </c>
      <c r="E59" s="505"/>
      <c r="F59" s="505"/>
      <c r="G59" s="401">
        <v>1</v>
      </c>
      <c r="H59" s="97" t="str">
        <f>VLOOKUP(C59,'Sales Master'!$B$3:$F$3179,5,0)</f>
        <v>25 KGS</v>
      </c>
      <c r="I59" s="506" t="str">
        <f>VLOOKUP(C59,'Sales Master'!$B$3:$E$3179,4,0)</f>
        <v>MITRPHOL</v>
      </c>
      <c r="J59" s="506"/>
      <c r="K59" s="394">
        <v>31</v>
      </c>
    </row>
  </sheetData>
  <mergeCells count="60">
    <mergeCell ref="D59:F59"/>
    <mergeCell ref="I59:J59"/>
    <mergeCell ref="D53:F53"/>
    <mergeCell ref="I53:J53"/>
    <mergeCell ref="D56:F56"/>
    <mergeCell ref="I56:J56"/>
    <mergeCell ref="D22:F22"/>
    <mergeCell ref="I22:J22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D21:F21"/>
    <mergeCell ref="I21:J21"/>
    <mergeCell ref="D17:F17"/>
    <mergeCell ref="I17:J17"/>
    <mergeCell ref="I20:J20"/>
    <mergeCell ref="D18:F18"/>
    <mergeCell ref="I18:J18"/>
    <mergeCell ref="D19:F19"/>
    <mergeCell ref="D20:F20"/>
    <mergeCell ref="I19:J19"/>
    <mergeCell ref="I30:J30"/>
    <mergeCell ref="D23:F23"/>
    <mergeCell ref="I23:J23"/>
    <mergeCell ref="D28:F28"/>
    <mergeCell ref="I28:J28"/>
    <mergeCell ref="I29:J29"/>
    <mergeCell ref="D29:F29"/>
    <mergeCell ref="D24:F24"/>
    <mergeCell ref="I24:J24"/>
    <mergeCell ref="D25:F25"/>
    <mergeCell ref="I25:J25"/>
    <mergeCell ref="D26:F26"/>
    <mergeCell ref="I26:J26"/>
    <mergeCell ref="D27:F27"/>
    <mergeCell ref="I27:J27"/>
    <mergeCell ref="J42:K42"/>
    <mergeCell ref="I31:J31"/>
    <mergeCell ref="D32:F32"/>
    <mergeCell ref="I32:J32"/>
    <mergeCell ref="D35:F35"/>
    <mergeCell ref="I35:J35"/>
    <mergeCell ref="D36:F36"/>
    <mergeCell ref="I36:J36"/>
    <mergeCell ref="J38:K38"/>
    <mergeCell ref="J40:K40"/>
    <mergeCell ref="D31:F31"/>
    <mergeCell ref="I33:J33"/>
    <mergeCell ref="D34:F34"/>
    <mergeCell ref="I34:J34"/>
    <mergeCell ref="D33:F33"/>
  </mergeCells>
  <conditionalFormatting sqref="C56:C57">
    <cfRule type="duplicateValues" dxfId="101" priority="1"/>
  </conditionalFormatting>
  <conditionalFormatting sqref="C55:C58">
    <cfRule type="duplicateValues" dxfId="100" priority="2"/>
  </conditionalFormatting>
  <pageMargins left="0.70866141732283472" right="0.31496062992125984" top="0.59055118110236227" bottom="0" header="0.31496062992125984" footer="0.31496062992125984"/>
  <pageSetup paperSize="9" scale="76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0D5CA7-49D5-40AD-B608-B74A23A7A818}">
  <sheetPr>
    <tabColor theme="9" tint="0.39997558519241921"/>
    <pageSetUpPr fitToPage="1"/>
  </sheetPr>
  <dimension ref="B1:P49"/>
  <sheetViews>
    <sheetView topLeftCell="A32" workbookViewId="0">
      <selection activeCell="K34" sqref="K34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8.36328125" style="24" customWidth="1"/>
    <col min="7" max="7" width="8.54296875" style="24" customWidth="1"/>
    <col min="8" max="8" width="15.7265625" style="24" customWidth="1"/>
    <col min="9" max="9" width="0.7265625" style="24" customWidth="1"/>
    <col min="10" max="10" width="20.26953125" style="24" customWidth="1"/>
    <col min="11" max="11" width="10.54296875" style="24" customWidth="1"/>
    <col min="12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2385</v>
      </c>
      <c r="J10" s="29" t="s">
        <v>29</v>
      </c>
      <c r="K10" s="452">
        <v>202210042</v>
      </c>
      <c r="L10" s="453"/>
    </row>
    <row r="11" spans="2:12" ht="20.149999999999999" customHeight="1" x14ac:dyDescent="0.45">
      <c r="B11" s="454" t="s">
        <v>2302</v>
      </c>
      <c r="C11" s="455"/>
      <c r="D11" s="456"/>
      <c r="E11" s="30"/>
      <c r="F11" s="457" t="str">
        <f>VLOOKUP(H10,'Delivery Location'!A$4:N$416,2,0)</f>
        <v>R&amp;B Tea Singapore                                                      CLEMENTI MALL,                                         3155 COMMINWEALTH AVENUE #04-K4                       SINGAPORE 129588</v>
      </c>
      <c r="G11" s="458"/>
      <c r="H11" s="459"/>
      <c r="J11" s="31" t="s">
        <v>11</v>
      </c>
      <c r="K11" s="466">
        <v>44833</v>
      </c>
      <c r="L11" s="467"/>
    </row>
    <row r="12" spans="2:12" ht="20.149999999999999" customHeight="1" x14ac:dyDescent="0.45">
      <c r="B12" s="468" t="s">
        <v>2303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533</v>
      </c>
      <c r="L12" s="472"/>
    </row>
    <row r="13" spans="2:12" ht="20.149999999999999" customHeight="1" x14ac:dyDescent="0.45">
      <c r="B13" s="468" t="s">
        <v>2024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14</v>
      </c>
      <c r="L13" s="472"/>
    </row>
    <row r="14" spans="2:12" ht="20.149999999999999" customHeight="1" x14ac:dyDescent="0.45">
      <c r="B14" s="468" t="s">
        <v>2025</v>
      </c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463" t="s">
        <v>2026</v>
      </c>
      <c r="C15" s="464"/>
      <c r="D15" s="465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16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16" ht="20.149999999999999" customHeight="1" x14ac:dyDescent="0.45">
      <c r="B18" s="34"/>
      <c r="C18" s="22" t="s">
        <v>2305</v>
      </c>
      <c r="D18" s="508" t="str">
        <f>VLOOKUP(C18,'Sales Master'!B$3:D$499,2,)</f>
        <v>Passion Fruit Puree 百香果浆</v>
      </c>
      <c r="E18" s="508"/>
      <c r="F18" s="508"/>
      <c r="G18" s="90">
        <v>6</v>
      </c>
      <c r="H18" s="389" t="str">
        <f>VLOOKUP(C18,'Sales Master'!$B$3:$F$3247,5,0)</f>
        <v>1 KG/BOX</v>
      </c>
      <c r="I18" s="482" t="str">
        <f>VLOOKUP(C18,'Sales Master'!$B$3:$E$3247,4,0)</f>
        <v>-</v>
      </c>
      <c r="J18" s="482"/>
      <c r="K18" s="35">
        <f>VLOOKUP(C18,'Sales Master'!B$3:AD$498,29,0)</f>
        <v>8.5</v>
      </c>
      <c r="L18" s="77">
        <f>K18*G18</f>
        <v>51</v>
      </c>
      <c r="M18" s="78"/>
      <c r="N18" s="225">
        <f>VLOOKUP(C18,'Sales Master'!$B$3:$DA$3038,104,0)</f>
        <v>4.4000000000000004</v>
      </c>
      <c r="O18" s="225">
        <f>K18-N18</f>
        <v>4.0999999999999996</v>
      </c>
      <c r="P18" s="225">
        <f>O18*G18</f>
        <v>24.599999999999998</v>
      </c>
    </row>
    <row r="19" spans="2:16" ht="20.149999999999999" customHeight="1" x14ac:dyDescent="0.45">
      <c r="B19" s="34"/>
      <c r="C19" s="22"/>
      <c r="D19" s="508"/>
      <c r="E19" s="508"/>
      <c r="F19" s="508"/>
      <c r="G19" s="90"/>
      <c r="H19" s="389"/>
      <c r="I19" s="482"/>
      <c r="J19" s="482"/>
      <c r="K19" s="35"/>
      <c r="L19" s="77"/>
      <c r="M19" s="78"/>
      <c r="N19" s="225"/>
      <c r="O19" s="225"/>
      <c r="P19" s="225"/>
    </row>
    <row r="20" spans="2:16" ht="20.149999999999999" customHeight="1" x14ac:dyDescent="0.45">
      <c r="B20" s="34"/>
      <c r="C20" s="22"/>
      <c r="D20" s="508"/>
      <c r="E20" s="508"/>
      <c r="F20" s="508"/>
      <c r="G20" s="90"/>
      <c r="H20" s="68"/>
      <c r="I20" s="481"/>
      <c r="J20" s="481"/>
      <c r="K20" s="35"/>
      <c r="L20" s="77"/>
      <c r="M20" s="78"/>
      <c r="N20" s="225"/>
      <c r="O20" s="225"/>
      <c r="P20" s="225"/>
    </row>
    <row r="21" spans="2:16" ht="20.149999999999999" customHeight="1" x14ac:dyDescent="0.45">
      <c r="B21" s="34"/>
      <c r="C21" s="22"/>
      <c r="D21" s="508"/>
      <c r="E21" s="508"/>
      <c r="F21" s="508"/>
      <c r="G21" s="90"/>
      <c r="H21" s="68"/>
      <c r="I21" s="481"/>
      <c r="J21" s="481"/>
      <c r="K21" s="35"/>
      <c r="L21" s="77"/>
      <c r="M21" s="78"/>
      <c r="N21" s="225"/>
      <c r="O21" s="225"/>
      <c r="P21" s="225"/>
    </row>
    <row r="22" spans="2:16" ht="20.149999999999999" customHeight="1" x14ac:dyDescent="0.45">
      <c r="B22" s="34"/>
      <c r="C22" s="22"/>
      <c r="D22" s="508"/>
      <c r="E22" s="508"/>
      <c r="F22" s="508"/>
      <c r="G22" s="90"/>
      <c r="H22" s="68"/>
      <c r="I22" s="481"/>
      <c r="J22" s="481"/>
      <c r="K22" s="35"/>
      <c r="L22" s="77"/>
      <c r="M22" s="78"/>
      <c r="N22" s="225"/>
      <c r="O22" s="225"/>
      <c r="P22" s="225"/>
    </row>
    <row r="23" spans="2:16" ht="20.149999999999999" customHeight="1" x14ac:dyDescent="0.45">
      <c r="B23" s="34"/>
      <c r="C23" s="22"/>
      <c r="D23" s="508"/>
      <c r="E23" s="508"/>
      <c r="F23" s="508"/>
      <c r="G23" s="90"/>
      <c r="H23" s="68"/>
      <c r="I23" s="481"/>
      <c r="J23" s="481"/>
      <c r="K23" s="35"/>
      <c r="L23" s="77"/>
      <c r="M23" s="78"/>
      <c r="N23" s="225"/>
      <c r="O23" s="225"/>
      <c r="P23" s="225"/>
    </row>
    <row r="24" spans="2:16" ht="20.149999999999999" customHeight="1" x14ac:dyDescent="0.45">
      <c r="B24" s="34"/>
      <c r="C24" s="22"/>
      <c r="D24" s="508"/>
      <c r="E24" s="508"/>
      <c r="F24" s="508"/>
      <c r="G24" s="90"/>
      <c r="H24" s="68"/>
      <c r="I24" s="481"/>
      <c r="J24" s="481"/>
      <c r="K24" s="35"/>
      <c r="L24" s="77"/>
      <c r="M24" s="78"/>
      <c r="N24" s="225"/>
      <c r="O24" s="225"/>
      <c r="P24" s="225"/>
    </row>
    <row r="25" spans="2:16" ht="20.149999999999999" customHeight="1" x14ac:dyDescent="0.45">
      <c r="B25" s="34"/>
      <c r="C25" s="22"/>
      <c r="D25" s="508"/>
      <c r="E25" s="508"/>
      <c r="F25" s="508"/>
      <c r="G25" s="90"/>
      <c r="H25" s="68"/>
      <c r="I25" s="481"/>
      <c r="J25" s="481"/>
      <c r="K25" s="35"/>
      <c r="L25" s="77"/>
      <c r="M25" s="78"/>
      <c r="N25" s="225"/>
      <c r="O25" s="225"/>
      <c r="P25" s="225"/>
    </row>
    <row r="26" spans="2:16" ht="20.149999999999999" customHeight="1" x14ac:dyDescent="0.45">
      <c r="B26" s="34"/>
      <c r="C26" s="22"/>
      <c r="D26" s="508"/>
      <c r="E26" s="508"/>
      <c r="F26" s="508"/>
      <c r="G26" s="90"/>
      <c r="H26" s="68"/>
      <c r="I26" s="481"/>
      <c r="J26" s="481"/>
      <c r="K26" s="35"/>
      <c r="L26" s="77"/>
      <c r="M26" s="78"/>
      <c r="N26" s="225"/>
      <c r="O26" s="225"/>
      <c r="P26" s="225"/>
    </row>
    <row r="27" spans="2:16" ht="20.149999999999999" customHeight="1" x14ac:dyDescent="0.45">
      <c r="B27" s="34"/>
      <c r="C27" s="22"/>
      <c r="D27" s="508"/>
      <c r="E27" s="508"/>
      <c r="F27" s="508"/>
      <c r="G27" s="90"/>
      <c r="H27" s="68"/>
      <c r="I27" s="481"/>
      <c r="J27" s="481"/>
      <c r="K27" s="35"/>
      <c r="L27" s="77"/>
      <c r="M27" s="78"/>
      <c r="N27" s="225"/>
      <c r="O27" s="225"/>
      <c r="P27" s="225"/>
    </row>
    <row r="28" spans="2:16" ht="20.149999999999999" customHeight="1" x14ac:dyDescent="0.45">
      <c r="B28" s="34"/>
      <c r="C28" s="22"/>
      <c r="D28" s="508"/>
      <c r="E28" s="508"/>
      <c r="F28" s="508"/>
      <c r="G28" s="90"/>
      <c r="H28" s="68"/>
      <c r="I28" s="481"/>
      <c r="J28" s="481"/>
      <c r="K28" s="35"/>
      <c r="L28" s="77"/>
      <c r="M28" s="78"/>
      <c r="N28" s="225"/>
      <c r="O28" s="225"/>
      <c r="P28" s="225"/>
    </row>
    <row r="29" spans="2:16" ht="20.149999999999999" customHeight="1" x14ac:dyDescent="0.45">
      <c r="B29" s="34"/>
      <c r="C29" s="22"/>
      <c r="D29" s="508"/>
      <c r="E29" s="508"/>
      <c r="F29" s="508"/>
      <c r="G29" s="90"/>
      <c r="H29" s="68"/>
      <c r="I29" s="481"/>
      <c r="J29" s="481"/>
      <c r="K29" s="35"/>
      <c r="L29" s="77"/>
      <c r="M29" s="78"/>
      <c r="N29" s="225"/>
      <c r="O29" s="225"/>
      <c r="P29" s="225"/>
    </row>
    <row r="30" spans="2:16" ht="20.149999999999999" customHeight="1" x14ac:dyDescent="0.45">
      <c r="B30" s="34"/>
      <c r="C30" s="22"/>
      <c r="D30" s="508"/>
      <c r="E30" s="508"/>
      <c r="F30" s="508"/>
      <c r="G30" s="90"/>
      <c r="H30" s="68"/>
      <c r="I30" s="481"/>
      <c r="J30" s="481"/>
      <c r="K30" s="35"/>
      <c r="L30" s="77"/>
      <c r="M30" s="78"/>
      <c r="N30" s="225"/>
      <c r="O30" s="225"/>
      <c r="P30" s="225"/>
    </row>
    <row r="31" spans="2:16" ht="20.149999999999999" customHeight="1" x14ac:dyDescent="0.45">
      <c r="B31" s="34"/>
      <c r="C31" s="22"/>
      <c r="D31" s="508"/>
      <c r="E31" s="508"/>
      <c r="F31" s="508"/>
      <c r="G31" s="90"/>
      <c r="H31" s="389"/>
      <c r="I31" s="512"/>
      <c r="J31" s="512"/>
      <c r="K31" s="35"/>
      <c r="L31" s="77"/>
      <c r="M31" s="78"/>
      <c r="N31" s="225"/>
      <c r="O31" s="225"/>
      <c r="P31" s="225"/>
    </row>
    <row r="32" spans="2:16" ht="20.149999999999999" customHeight="1" x14ac:dyDescent="0.45">
      <c r="B32" s="34"/>
      <c r="C32" s="22"/>
      <c r="D32" s="508"/>
      <c r="E32" s="508"/>
      <c r="F32" s="508"/>
      <c r="G32" s="90"/>
      <c r="H32" s="389"/>
      <c r="I32" s="512"/>
      <c r="J32" s="512"/>
      <c r="K32" s="35"/>
      <c r="L32" s="77"/>
      <c r="M32" s="78"/>
      <c r="N32" s="225"/>
      <c r="O32" s="225"/>
      <c r="P32" s="225"/>
    </row>
    <row r="33" spans="2:16" ht="20.149999999999999" customHeight="1" x14ac:dyDescent="0.45">
      <c r="B33" s="34"/>
      <c r="C33" s="22"/>
      <c r="D33" s="508"/>
      <c r="E33" s="508"/>
      <c r="F33" s="508"/>
      <c r="G33" s="90"/>
      <c r="H33" s="346"/>
      <c r="I33" s="481"/>
      <c r="J33" s="481"/>
      <c r="K33" s="35"/>
      <c r="L33" s="77"/>
      <c r="M33" s="78"/>
      <c r="N33" s="225"/>
      <c r="O33" s="225"/>
      <c r="P33" s="225"/>
    </row>
    <row r="34" spans="2:16" ht="20.149999999999999" customHeight="1" x14ac:dyDescent="0.45">
      <c r="B34" s="34"/>
      <c r="C34" s="22"/>
      <c r="G34" s="90"/>
      <c r="H34" s="346"/>
      <c r="I34" s="68"/>
      <c r="J34" s="68"/>
      <c r="K34" s="35"/>
      <c r="L34" s="77"/>
      <c r="M34" s="78"/>
      <c r="N34" s="225"/>
      <c r="O34" s="225"/>
      <c r="P34" s="225"/>
    </row>
    <row r="35" spans="2:16" ht="20.149999999999999" customHeight="1" thickBot="1" x14ac:dyDescent="0.5">
      <c r="B35" s="37"/>
      <c r="C35" s="38"/>
      <c r="D35" s="509"/>
      <c r="E35" s="509"/>
      <c r="F35" s="509"/>
      <c r="G35" s="38"/>
      <c r="H35" s="69"/>
      <c r="I35" s="451"/>
      <c r="J35" s="451"/>
      <c r="K35" s="39"/>
      <c r="L35" s="40"/>
    </row>
    <row r="36" spans="2:16" ht="20.149999999999999" customHeight="1" thickBot="1" x14ac:dyDescent="0.5">
      <c r="B36" s="41"/>
      <c r="L36" s="42"/>
    </row>
    <row r="37" spans="2:16" ht="20.149999999999999" customHeight="1" x14ac:dyDescent="0.45">
      <c r="B37" s="11" t="s">
        <v>18</v>
      </c>
      <c r="C37" s="7"/>
      <c r="D37" s="7"/>
      <c r="E37" s="7"/>
      <c r="F37" s="7"/>
      <c r="G37" s="7"/>
      <c r="H37" s="7"/>
      <c r="I37" s="7"/>
      <c r="J37" s="510" t="s">
        <v>15</v>
      </c>
      <c r="K37" s="511"/>
      <c r="L37" s="43">
        <f>SUM(L14:L33)</f>
        <v>51</v>
      </c>
      <c r="M37" s="76">
        <f>SUM(P18:P33)</f>
        <v>24.599999999999998</v>
      </c>
      <c r="N37" s="201">
        <f>M37/L37</f>
        <v>0.48235294117647054</v>
      </c>
    </row>
    <row r="38" spans="2:16" ht="20.149999999999999" customHeight="1" x14ac:dyDescent="0.45">
      <c r="B38" s="11" t="s">
        <v>19</v>
      </c>
      <c r="C38" s="7"/>
      <c r="D38" s="7"/>
      <c r="E38" s="7"/>
      <c r="F38" s="7"/>
      <c r="G38" s="7"/>
      <c r="H38" s="7"/>
      <c r="I38" s="7"/>
      <c r="J38" s="44" t="s">
        <v>22</v>
      </c>
      <c r="K38" s="45"/>
      <c r="L38" s="46">
        <f>L37*K38</f>
        <v>0</v>
      </c>
    </row>
    <row r="39" spans="2:16" ht="20.149999999999999" customHeight="1" x14ac:dyDescent="0.45">
      <c r="B39" s="11" t="s">
        <v>20</v>
      </c>
      <c r="C39" s="7"/>
      <c r="D39" s="7"/>
      <c r="E39" s="7"/>
      <c r="F39" s="7"/>
      <c r="G39" s="7"/>
      <c r="H39" s="7"/>
      <c r="I39" s="7"/>
      <c r="J39" s="486" t="s">
        <v>21</v>
      </c>
      <c r="K39" s="487"/>
      <c r="L39" s="46">
        <f>L37-L38</f>
        <v>51</v>
      </c>
    </row>
    <row r="40" spans="2:16" ht="20.149999999999999" customHeight="1" x14ac:dyDescent="0.45">
      <c r="B40" s="11" t="s">
        <v>24</v>
      </c>
      <c r="C40" s="7"/>
      <c r="D40" s="7"/>
      <c r="E40" s="7"/>
      <c r="F40" s="7"/>
      <c r="G40" s="7"/>
      <c r="H40" s="7"/>
      <c r="I40" s="7"/>
      <c r="J40" s="150" t="s">
        <v>17</v>
      </c>
      <c r="K40" s="151">
        <v>7.0000000000000007E-2</v>
      </c>
      <c r="L40" s="47">
        <f>L39*K40</f>
        <v>3.5700000000000003</v>
      </c>
    </row>
    <row r="41" spans="2:16" ht="20.149999999999999" customHeight="1" thickBot="1" x14ac:dyDescent="0.5">
      <c r="B41" s="11" t="s">
        <v>25</v>
      </c>
      <c r="C41" s="7"/>
      <c r="D41" s="7"/>
      <c r="E41" s="7"/>
      <c r="F41" s="7"/>
      <c r="G41" s="7"/>
      <c r="H41" s="7"/>
      <c r="I41" s="7"/>
      <c r="J41" s="488" t="s">
        <v>23</v>
      </c>
      <c r="K41" s="489"/>
      <c r="L41" s="48">
        <f>L39+L40</f>
        <v>54.57</v>
      </c>
    </row>
    <row r="42" spans="2:16" ht="20.149999999999999" customHeight="1" x14ac:dyDescent="0.45">
      <c r="B42" s="11" t="s">
        <v>26</v>
      </c>
      <c r="C42" s="7"/>
      <c r="D42" s="7"/>
      <c r="E42" s="7"/>
      <c r="F42" s="7"/>
      <c r="G42" s="7"/>
      <c r="H42" s="7"/>
      <c r="I42" s="7"/>
      <c r="L42" s="42"/>
    </row>
    <row r="43" spans="2:16" ht="20.149999999999999" customHeight="1" x14ac:dyDescent="0.45">
      <c r="B43" s="41"/>
      <c r="L43" s="42"/>
    </row>
    <row r="44" spans="2:16" x14ac:dyDescent="0.45">
      <c r="B44" s="41"/>
      <c r="L44" s="42"/>
    </row>
    <row r="45" spans="2:16" ht="20.149999999999999" customHeight="1" x14ac:dyDescent="0.45">
      <c r="B45" s="41"/>
      <c r="L45" s="42"/>
    </row>
    <row r="46" spans="2:16" ht="20.149999999999999" customHeight="1" x14ac:dyDescent="0.45">
      <c r="B46" s="41"/>
      <c r="L46" s="42"/>
    </row>
    <row r="47" spans="2:16" x14ac:dyDescent="0.45">
      <c r="B47" s="49"/>
      <c r="C47" s="50"/>
      <c r="D47" s="50"/>
      <c r="J47" s="50"/>
      <c r="K47" s="50"/>
      <c r="L47" s="51"/>
    </row>
    <row r="48" spans="2:16" ht="20.149999999999999" customHeight="1" x14ac:dyDescent="0.45">
      <c r="B48" s="41" t="s">
        <v>27</v>
      </c>
      <c r="J48" s="24" t="s">
        <v>28</v>
      </c>
      <c r="L48" s="42"/>
    </row>
    <row r="49" spans="2:12" ht="19" thickBot="1" x14ac:dyDescent="0.5">
      <c r="B49" s="52"/>
      <c r="C49" s="53"/>
      <c r="D49" s="53"/>
      <c r="E49" s="53"/>
      <c r="F49" s="53"/>
      <c r="G49" s="53"/>
      <c r="H49" s="53"/>
      <c r="I49" s="53"/>
      <c r="J49" s="53"/>
      <c r="K49" s="53"/>
      <c r="L49" s="54"/>
    </row>
  </sheetData>
  <mergeCells count="52">
    <mergeCell ref="J39:K39"/>
    <mergeCell ref="J41:K41"/>
    <mergeCell ref="D33:F33"/>
    <mergeCell ref="I33:J33"/>
    <mergeCell ref="D35:F35"/>
    <mergeCell ref="I35:J35"/>
    <mergeCell ref="J37:K37"/>
    <mergeCell ref="D30:F30"/>
    <mergeCell ref="I30:J30"/>
    <mergeCell ref="D31:F31"/>
    <mergeCell ref="I31:J31"/>
    <mergeCell ref="D32:F32"/>
    <mergeCell ref="I32:J32"/>
    <mergeCell ref="D27:F27"/>
    <mergeCell ref="I27:J27"/>
    <mergeCell ref="D28:F28"/>
    <mergeCell ref="I28:J28"/>
    <mergeCell ref="D29:F29"/>
    <mergeCell ref="I29:J29"/>
    <mergeCell ref="D24:F24"/>
    <mergeCell ref="I24:J24"/>
    <mergeCell ref="D25:F25"/>
    <mergeCell ref="I25:J25"/>
    <mergeCell ref="D26:F26"/>
    <mergeCell ref="I26:J26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</mergeCells>
  <pageMargins left="0.70866141732283472" right="0.31496062992125984" top="0.59055118110236227" bottom="0" header="0.31496062992125984" footer="0.31496062992125984"/>
  <pageSetup paperSize="9" scale="74" orientation="portrait" horizontalDpi="300" verticalDpi="30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28D594-4F13-4360-94EF-60CA426B95F5}">
  <sheetPr codeName="Sheet196">
    <tabColor rgb="FF996600"/>
    <pageSetUpPr fitToPage="1"/>
  </sheetPr>
  <dimension ref="B1:V44"/>
  <sheetViews>
    <sheetView workbookViewId="0">
      <selection activeCell="H25" sqref="H25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9" style="24" customWidth="1"/>
    <col min="7" max="7" width="8.54296875" style="24" customWidth="1"/>
    <col min="8" max="8" width="15.54296875" style="24" customWidth="1"/>
    <col min="9" max="9" width="2" style="24" customWidth="1"/>
    <col min="10" max="10" width="15.54296875" style="24" customWidth="1"/>
    <col min="11" max="11" width="10.54296875" style="24" customWidth="1"/>
    <col min="12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2060</v>
      </c>
      <c r="J10" s="29" t="s">
        <v>29</v>
      </c>
      <c r="K10" s="452">
        <v>202204391</v>
      </c>
      <c r="L10" s="453"/>
    </row>
    <row r="11" spans="2:12" ht="20.149999999999999" customHeight="1" x14ac:dyDescent="0.45">
      <c r="B11" s="454" t="s">
        <v>2050</v>
      </c>
      <c r="C11" s="455"/>
      <c r="D11" s="456"/>
      <c r="E11" s="30"/>
      <c r="F11" s="457" t="str">
        <f>VLOOKUP(H10,'Delivery Location'!A$4:N$416,2,0)</f>
        <v xml:space="preserve">FOOD REPUBLIC PTE LTD                                  Somerset Orchard@Juice Bar No: 17   313 Orchard Road #05-01                Singapore 238895                           </v>
      </c>
      <c r="G11" s="458"/>
      <c r="H11" s="459"/>
      <c r="J11" s="31" t="s">
        <v>11</v>
      </c>
      <c r="K11" s="551" t="s">
        <v>2197</v>
      </c>
      <c r="L11" s="472"/>
    </row>
    <row r="12" spans="2:12" ht="20.149999999999999" customHeight="1" x14ac:dyDescent="0.45">
      <c r="B12" s="468" t="s">
        <v>2051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533</v>
      </c>
      <c r="L12" s="472"/>
    </row>
    <row r="13" spans="2:12" ht="20.149999999999999" customHeight="1" x14ac:dyDescent="0.45">
      <c r="B13" s="468" t="s">
        <v>2052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14</v>
      </c>
      <c r="L13" s="472"/>
    </row>
    <row r="14" spans="2:12" ht="20.149999999999999" customHeight="1" x14ac:dyDescent="0.45">
      <c r="B14" s="468" t="s">
        <v>2053</v>
      </c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463" t="s">
        <v>2026</v>
      </c>
      <c r="C15" s="464"/>
      <c r="D15" s="465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22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22" ht="20.149999999999999" customHeight="1" x14ac:dyDescent="0.45">
      <c r="B18" s="70"/>
      <c r="C18" s="22" t="s">
        <v>2176</v>
      </c>
      <c r="D18" s="508" t="str">
        <f>VLOOKUP(C18,'Sales Master'!B$3:D$499,2,)</f>
        <v>ROCK SUGAR SYRUP</v>
      </c>
      <c r="E18" s="508"/>
      <c r="F18" s="508"/>
      <c r="G18" s="90">
        <v>10</v>
      </c>
      <c r="H18" s="386" t="str">
        <f>VLOOKUP(C18,'Sales Master'!$B$3:$F$3179,5,0)</f>
        <v>4 KG</v>
      </c>
      <c r="I18" s="513" t="str">
        <f>VLOOKUP(C18,'Sales Master'!$B$3:$E$3179,4,0)</f>
        <v>DO!</v>
      </c>
      <c r="J18" s="513"/>
      <c r="K18" s="98">
        <f>VLOOKUP(C18,'Sales Master'!B$3:I$581,8,0)</f>
        <v>7.5</v>
      </c>
      <c r="L18" s="133">
        <f>K18*G18</f>
        <v>75</v>
      </c>
      <c r="N18" s="225">
        <f>VLOOKUP(C18,'Sales Master'!$B$3:$DA$3038,104,0)</f>
        <v>4.9000000000000004</v>
      </c>
      <c r="O18" s="225">
        <f>K18-N18</f>
        <v>2.5999999999999996</v>
      </c>
      <c r="P18" s="225">
        <f>O18*G18</f>
        <v>25.999999999999996</v>
      </c>
      <c r="Q18" s="354"/>
      <c r="R18" s="125"/>
      <c r="S18" s="125" t="s">
        <v>260</v>
      </c>
      <c r="T18" s="125" t="s">
        <v>709</v>
      </c>
      <c r="U18" s="125"/>
      <c r="V18" s="125">
        <v>32</v>
      </c>
    </row>
    <row r="19" spans="2:22" ht="20.149999999999999" customHeight="1" x14ac:dyDescent="0.45">
      <c r="B19" s="70"/>
      <c r="C19" s="22"/>
      <c r="D19" s="508"/>
      <c r="E19" s="508"/>
      <c r="F19" s="508"/>
      <c r="G19" s="90"/>
      <c r="H19" s="97"/>
      <c r="I19" s="506"/>
      <c r="J19" s="506"/>
      <c r="K19" s="98"/>
      <c r="L19" s="133"/>
      <c r="N19" s="225"/>
      <c r="O19" s="225"/>
      <c r="P19" s="225"/>
      <c r="Q19" s="354"/>
      <c r="R19" s="125"/>
      <c r="S19" s="125"/>
      <c r="T19" s="125"/>
      <c r="U19" s="125"/>
      <c r="V19" s="125"/>
    </row>
    <row r="20" spans="2:22" ht="20.149999999999999" customHeight="1" x14ac:dyDescent="0.45">
      <c r="B20" s="34"/>
      <c r="C20" s="22"/>
      <c r="D20" s="508"/>
      <c r="E20" s="508"/>
      <c r="F20" s="508"/>
      <c r="G20" s="90"/>
      <c r="H20" s="68"/>
      <c r="I20" s="481"/>
      <c r="J20" s="481"/>
      <c r="K20" s="35"/>
      <c r="L20" s="36"/>
    </row>
    <row r="21" spans="2:22" ht="20.149999999999999" customHeight="1" x14ac:dyDescent="0.45">
      <c r="B21" s="34"/>
      <c r="C21" s="22"/>
      <c r="D21" s="508"/>
      <c r="E21" s="508"/>
      <c r="F21" s="508"/>
      <c r="G21" s="90"/>
      <c r="H21" s="68"/>
      <c r="I21" s="481"/>
      <c r="J21" s="481"/>
      <c r="K21" s="35"/>
      <c r="L21" s="36"/>
    </row>
    <row r="22" spans="2:22" ht="20.149999999999999" customHeight="1" x14ac:dyDescent="0.45">
      <c r="B22" s="34"/>
      <c r="C22" s="22"/>
      <c r="D22" s="508"/>
      <c r="E22" s="508"/>
      <c r="F22" s="508"/>
      <c r="G22" s="90"/>
      <c r="H22" s="68"/>
      <c r="I22" s="481"/>
      <c r="J22" s="481"/>
      <c r="K22" s="35"/>
      <c r="L22" s="36"/>
    </row>
    <row r="23" spans="2:22" ht="20.149999999999999" customHeight="1" x14ac:dyDescent="0.45">
      <c r="B23" s="34"/>
      <c r="C23" s="22"/>
      <c r="D23" s="508"/>
      <c r="E23" s="508"/>
      <c r="F23" s="508"/>
      <c r="G23" s="90"/>
      <c r="H23" s="68"/>
      <c r="I23" s="481"/>
      <c r="J23" s="481"/>
      <c r="K23" s="35"/>
      <c r="L23" s="36"/>
    </row>
    <row r="24" spans="2:22" ht="20.149999999999999" customHeight="1" x14ac:dyDescent="0.45">
      <c r="B24" s="34"/>
      <c r="C24" s="22"/>
      <c r="D24" s="508"/>
      <c r="E24" s="508"/>
      <c r="F24" s="508"/>
      <c r="G24" s="90"/>
      <c r="H24" s="68"/>
      <c r="I24" s="481"/>
      <c r="J24" s="481"/>
      <c r="K24" s="35"/>
      <c r="L24" s="36"/>
    </row>
    <row r="25" spans="2:22" ht="20.149999999999999" customHeight="1" x14ac:dyDescent="0.45">
      <c r="B25" s="34"/>
      <c r="C25" s="22"/>
      <c r="D25" s="508"/>
      <c r="E25" s="508"/>
      <c r="F25" s="508"/>
      <c r="G25" s="90"/>
      <c r="H25" s="68"/>
      <c r="I25" s="481"/>
      <c r="J25" s="481"/>
      <c r="K25" s="35"/>
      <c r="L25" s="36"/>
    </row>
    <row r="26" spans="2:22" ht="20.149999999999999" customHeight="1" x14ac:dyDescent="0.45">
      <c r="B26" s="34"/>
      <c r="C26" s="22"/>
      <c r="D26" s="508"/>
      <c r="E26" s="508"/>
      <c r="F26" s="508"/>
      <c r="G26" s="90"/>
      <c r="H26" s="68"/>
      <c r="I26" s="481"/>
      <c r="J26" s="481"/>
      <c r="K26" s="35"/>
      <c r="L26" s="36"/>
    </row>
    <row r="27" spans="2:22" ht="20.149999999999999" customHeight="1" x14ac:dyDescent="0.45">
      <c r="B27" s="34"/>
      <c r="C27" s="22"/>
      <c r="D27" s="508"/>
      <c r="E27" s="508"/>
      <c r="F27" s="508"/>
      <c r="G27" s="90"/>
      <c r="H27" s="68"/>
      <c r="I27" s="481"/>
      <c r="J27" s="481"/>
      <c r="K27" s="35"/>
      <c r="L27" s="36"/>
    </row>
    <row r="28" spans="2:22" ht="20.149999999999999" customHeight="1" x14ac:dyDescent="0.45">
      <c r="B28" s="34"/>
      <c r="C28" s="22"/>
      <c r="D28" s="508"/>
      <c r="E28" s="508"/>
      <c r="F28" s="508"/>
      <c r="G28" s="90"/>
      <c r="H28" s="68"/>
      <c r="I28" s="481"/>
      <c r="J28" s="481"/>
      <c r="K28" s="35"/>
      <c r="L28" s="36"/>
    </row>
    <row r="29" spans="2:22" ht="20.149999999999999" customHeight="1" x14ac:dyDescent="0.45">
      <c r="B29" s="34"/>
      <c r="C29" s="22"/>
      <c r="G29" s="90"/>
      <c r="H29" s="68"/>
      <c r="I29" s="68"/>
      <c r="J29" s="68"/>
      <c r="K29" s="35"/>
      <c r="L29" s="36"/>
    </row>
    <row r="30" spans="2:22" ht="20.149999999999999" customHeight="1" x14ac:dyDescent="0.45">
      <c r="B30" s="155"/>
      <c r="C30" s="156"/>
      <c r="D30" s="556"/>
      <c r="E30" s="556"/>
      <c r="F30" s="556"/>
      <c r="G30" s="156"/>
      <c r="H30" s="156"/>
      <c r="I30" s="189"/>
      <c r="J30" s="189"/>
      <c r="K30" s="163"/>
      <c r="L30" s="190"/>
    </row>
    <row r="31" spans="2:22" ht="20.149999999999999" customHeight="1" thickBot="1" x14ac:dyDescent="0.5">
      <c r="B31" s="41"/>
      <c r="L31" s="42"/>
    </row>
    <row r="32" spans="2:22" ht="20.149999999999999" customHeight="1" x14ac:dyDescent="0.45">
      <c r="B32" s="11" t="s">
        <v>18</v>
      </c>
      <c r="C32" s="7"/>
      <c r="D32" s="7"/>
      <c r="E32" s="7"/>
      <c r="F32" s="7"/>
      <c r="G32" s="7"/>
      <c r="H32" s="7"/>
      <c r="I32" s="7"/>
      <c r="J32" s="510" t="s">
        <v>15</v>
      </c>
      <c r="K32" s="511"/>
      <c r="L32" s="43">
        <f>SUM(L18:L31)</f>
        <v>75</v>
      </c>
      <c r="M32" s="76">
        <f>SUM(P18:P29)</f>
        <v>25.999999999999996</v>
      </c>
      <c r="N32" s="201">
        <f>M32/L32</f>
        <v>0.34666666666666662</v>
      </c>
    </row>
    <row r="33" spans="2:12" ht="20.149999999999999" customHeight="1" x14ac:dyDescent="0.45">
      <c r="B33" s="11" t="s">
        <v>19</v>
      </c>
      <c r="C33" s="7"/>
      <c r="D33" s="7"/>
      <c r="E33" s="7"/>
      <c r="F33" s="7"/>
      <c r="G33" s="7"/>
      <c r="H33" s="7"/>
      <c r="I33" s="7"/>
      <c r="J33" s="44" t="s">
        <v>22</v>
      </c>
      <c r="K33" s="45"/>
      <c r="L33" s="46">
        <f>L32*K33</f>
        <v>0</v>
      </c>
    </row>
    <row r="34" spans="2:12" ht="20.149999999999999" customHeight="1" x14ac:dyDescent="0.45">
      <c r="B34" s="11" t="s">
        <v>20</v>
      </c>
      <c r="C34" s="7"/>
      <c r="D34" s="7"/>
      <c r="E34" s="7"/>
      <c r="F34" s="7"/>
      <c r="G34" s="7"/>
      <c r="H34" s="7"/>
      <c r="I34" s="7"/>
      <c r="J34" s="486" t="s">
        <v>21</v>
      </c>
      <c r="K34" s="487"/>
      <c r="L34" s="46">
        <f>L32-L33</f>
        <v>75</v>
      </c>
    </row>
    <row r="35" spans="2:12" ht="20.149999999999999" customHeight="1" x14ac:dyDescent="0.45">
      <c r="B35" s="11" t="s">
        <v>24</v>
      </c>
      <c r="C35" s="7"/>
      <c r="D35" s="7"/>
      <c r="E35" s="7"/>
      <c r="F35" s="7"/>
      <c r="G35" s="7"/>
      <c r="H35" s="7"/>
      <c r="I35" s="7"/>
      <c r="J35" s="150" t="s">
        <v>17</v>
      </c>
      <c r="K35" s="151">
        <v>7.0000000000000007E-2</v>
      </c>
      <c r="L35" s="47">
        <f>L34*K35</f>
        <v>5.2500000000000009</v>
      </c>
    </row>
    <row r="36" spans="2:12" ht="20.149999999999999" customHeight="1" thickBot="1" x14ac:dyDescent="0.5">
      <c r="B36" s="11" t="s">
        <v>1400</v>
      </c>
      <c r="C36" s="7"/>
      <c r="D36" s="7"/>
      <c r="E36" s="7"/>
      <c r="F36" s="7"/>
      <c r="G36" s="7"/>
      <c r="H36" s="7"/>
      <c r="I36" s="7"/>
      <c r="J36" s="488" t="s">
        <v>23</v>
      </c>
      <c r="K36" s="489"/>
      <c r="L36" s="48">
        <f>L34+L35</f>
        <v>80.25</v>
      </c>
    </row>
    <row r="37" spans="2:12" ht="20.149999999999999" customHeight="1" x14ac:dyDescent="0.45">
      <c r="B37" s="11" t="s">
        <v>26</v>
      </c>
      <c r="C37" s="7"/>
      <c r="D37" s="7"/>
      <c r="E37" s="7"/>
      <c r="F37" s="7"/>
      <c r="G37" s="7"/>
      <c r="H37" s="7"/>
      <c r="I37" s="7"/>
      <c r="L37" s="42"/>
    </row>
    <row r="38" spans="2:12" ht="20.149999999999999" customHeight="1" x14ac:dyDescent="0.45">
      <c r="B38" s="224" t="s">
        <v>1379</v>
      </c>
      <c r="L38" s="42"/>
    </row>
    <row r="39" spans="2:12" ht="20.149999999999999" customHeight="1" x14ac:dyDescent="0.45">
      <c r="B39" s="41"/>
      <c r="L39" s="42"/>
    </row>
    <row r="40" spans="2:12" ht="20.149999999999999" customHeight="1" x14ac:dyDescent="0.45">
      <c r="B40" s="41"/>
      <c r="L40" s="42"/>
    </row>
    <row r="41" spans="2:12" ht="20.149999999999999" customHeight="1" x14ac:dyDescent="0.45">
      <c r="B41" s="41"/>
      <c r="L41" s="42"/>
    </row>
    <row r="42" spans="2:12" ht="20.149999999999999" customHeight="1" x14ac:dyDescent="0.45">
      <c r="B42" s="49"/>
      <c r="C42" s="50"/>
      <c r="D42" s="50"/>
      <c r="J42" s="50"/>
      <c r="K42" s="50"/>
      <c r="L42" s="51"/>
    </row>
    <row r="43" spans="2:12" ht="20.149999999999999" customHeight="1" x14ac:dyDescent="0.45">
      <c r="B43" s="41" t="s">
        <v>27</v>
      </c>
      <c r="J43" s="24" t="s">
        <v>28</v>
      </c>
      <c r="L43" s="42"/>
    </row>
    <row r="44" spans="2:12" ht="19" thickBot="1" x14ac:dyDescent="0.5">
      <c r="B44" s="52"/>
      <c r="C44" s="53"/>
      <c r="D44" s="53"/>
      <c r="E44" s="53"/>
      <c r="F44" s="53"/>
      <c r="G44" s="53"/>
      <c r="H44" s="53"/>
      <c r="I44" s="53"/>
      <c r="J44" s="53"/>
      <c r="K44" s="53"/>
      <c r="L44" s="54"/>
    </row>
  </sheetData>
  <mergeCells count="41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J36:K36"/>
    <mergeCell ref="D25:F25"/>
    <mergeCell ref="I25:J25"/>
    <mergeCell ref="D26:F26"/>
    <mergeCell ref="I26:J26"/>
    <mergeCell ref="D27:F27"/>
    <mergeCell ref="I27:J27"/>
    <mergeCell ref="D28:F28"/>
    <mergeCell ref="I28:J28"/>
    <mergeCell ref="D30:F30"/>
    <mergeCell ref="J32:K32"/>
    <mergeCell ref="J34:K34"/>
  </mergeCells>
  <conditionalFormatting sqref="C20">
    <cfRule type="duplicateValues" dxfId="99" priority="5"/>
  </conditionalFormatting>
  <conditionalFormatting sqref="C21">
    <cfRule type="duplicateValues" dxfId="98" priority="6"/>
  </conditionalFormatting>
  <conditionalFormatting sqref="C22">
    <cfRule type="duplicateValues" dxfId="97" priority="4"/>
  </conditionalFormatting>
  <conditionalFormatting sqref="C25">
    <cfRule type="duplicateValues" dxfId="96" priority="7"/>
  </conditionalFormatting>
  <conditionalFormatting sqref="C23">
    <cfRule type="duplicateValues" dxfId="95" priority="3"/>
  </conditionalFormatting>
  <conditionalFormatting sqref="C18">
    <cfRule type="duplicateValues" dxfId="94" priority="1"/>
  </conditionalFormatting>
  <conditionalFormatting sqref="C19">
    <cfRule type="duplicateValues" dxfId="93" priority="2"/>
  </conditionalFormatting>
  <pageMargins left="0.70866141732283505" right="0.31496062992126" top="0.59055118110236204" bottom="0" header="0.31496062992126" footer="0.31496062992126"/>
  <pageSetup paperSize="9" scale="76" orientation="portrait" horizontalDpi="300" verticalDpi="300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5E1D88-2BC5-4520-B97A-DDF1989FEB04}">
  <sheetPr codeName="Sheet197">
    <tabColor rgb="FF996600"/>
    <pageSetUpPr fitToPage="1"/>
  </sheetPr>
  <dimension ref="B1:V44"/>
  <sheetViews>
    <sheetView topLeftCell="C8" workbookViewId="0">
      <selection activeCell="K20" sqref="K20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9" style="24" customWidth="1"/>
    <col min="7" max="7" width="8.54296875" style="24" customWidth="1"/>
    <col min="8" max="8" width="15.54296875" style="24" customWidth="1"/>
    <col min="9" max="9" width="2" style="24" customWidth="1"/>
    <col min="10" max="10" width="15.54296875" style="24" customWidth="1"/>
    <col min="11" max="11" width="10.54296875" style="24" customWidth="1"/>
    <col min="12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2061</v>
      </c>
      <c r="J10" s="29" t="s">
        <v>29</v>
      </c>
      <c r="K10" s="452">
        <v>202204410</v>
      </c>
      <c r="L10" s="453"/>
    </row>
    <row r="11" spans="2:12" ht="20.149999999999999" customHeight="1" x14ac:dyDescent="0.45">
      <c r="B11" s="454" t="s">
        <v>2050</v>
      </c>
      <c r="C11" s="455"/>
      <c r="D11" s="456"/>
      <c r="E11" s="30"/>
      <c r="F11" s="457" t="str">
        <f>VLOOKUP(H10,'Delivery Location'!A$4:N$416,2,0)</f>
        <v xml:space="preserve">FOOD REPUBLIC PTE LTD                                   Westgate @ Juice Bar No 18A                 3 Gateway Drive #b1-28/29            Singapore 608532                           </v>
      </c>
      <c r="G11" s="458"/>
      <c r="H11" s="459"/>
      <c r="J11" s="31" t="s">
        <v>11</v>
      </c>
      <c r="K11" s="551" t="s">
        <v>2202</v>
      </c>
      <c r="L11" s="472"/>
    </row>
    <row r="12" spans="2:12" ht="20.149999999999999" customHeight="1" x14ac:dyDescent="0.45">
      <c r="B12" s="468" t="s">
        <v>2051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533</v>
      </c>
      <c r="L12" s="472"/>
    </row>
    <row r="13" spans="2:12" ht="20.149999999999999" customHeight="1" x14ac:dyDescent="0.45">
      <c r="B13" s="468" t="s">
        <v>2052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14</v>
      </c>
      <c r="L13" s="472"/>
    </row>
    <row r="14" spans="2:12" ht="20.149999999999999" customHeight="1" x14ac:dyDescent="0.45">
      <c r="B14" s="468" t="s">
        <v>2053</v>
      </c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463" t="s">
        <v>2026</v>
      </c>
      <c r="C15" s="464"/>
      <c r="D15" s="465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22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22" ht="20.149999999999999" customHeight="1" x14ac:dyDescent="0.45">
      <c r="B18" s="70"/>
      <c r="C18" s="22" t="s">
        <v>2176</v>
      </c>
      <c r="D18" s="508" t="str">
        <f>VLOOKUP(C18,'Sales Master'!B$3:D$499,2,)</f>
        <v>ROCK SUGAR SYRUP</v>
      </c>
      <c r="E18" s="508"/>
      <c r="F18" s="508"/>
      <c r="G18" s="90">
        <v>10</v>
      </c>
      <c r="H18" s="97" t="str">
        <f>VLOOKUP(C18,'Sales Master'!$B$3:$F$3179,5,0)</f>
        <v>4 KG</v>
      </c>
      <c r="I18" s="506" t="str">
        <f>VLOOKUP(C18,'Sales Master'!$B$3:$E$3179,4,0)</f>
        <v>DO!</v>
      </c>
      <c r="J18" s="506"/>
      <c r="K18" s="98">
        <f>VLOOKUP(C18,'Sales Master'!B$3:I$581,8,0)</f>
        <v>7.5</v>
      </c>
      <c r="L18" s="133">
        <f>K18*G18</f>
        <v>75</v>
      </c>
      <c r="N18" s="225">
        <f>VLOOKUP(C18,'Sales Master'!$B$3:$DA$3038,104,0)</f>
        <v>4.9000000000000004</v>
      </c>
      <c r="O18" s="225">
        <f>K18-N18</f>
        <v>2.5999999999999996</v>
      </c>
      <c r="P18" s="225">
        <f>O18*G18</f>
        <v>25.999999999999996</v>
      </c>
      <c r="Q18" s="354"/>
      <c r="R18" s="125"/>
      <c r="S18" s="125" t="s">
        <v>260</v>
      </c>
      <c r="T18" s="125" t="s">
        <v>709</v>
      </c>
      <c r="U18" s="125"/>
      <c r="V18" s="125">
        <v>32</v>
      </c>
    </row>
    <row r="19" spans="2:22" ht="20.149999999999999" customHeight="1" x14ac:dyDescent="0.45">
      <c r="B19" s="70"/>
      <c r="C19" s="22"/>
      <c r="D19" s="508"/>
      <c r="E19" s="508"/>
      <c r="F19" s="508"/>
      <c r="G19" s="90"/>
      <c r="H19" s="97"/>
      <c r="I19" s="506"/>
      <c r="J19" s="506"/>
      <c r="K19" s="98"/>
      <c r="L19" s="133"/>
      <c r="N19" s="225"/>
      <c r="O19" s="225"/>
      <c r="P19" s="225"/>
      <c r="Q19" s="354"/>
      <c r="R19" s="125"/>
      <c r="S19" s="125"/>
      <c r="T19" s="125"/>
      <c r="U19" s="125"/>
      <c r="V19" s="125"/>
    </row>
    <row r="20" spans="2:22" ht="20.149999999999999" customHeight="1" x14ac:dyDescent="0.45">
      <c r="B20" s="34"/>
      <c r="C20" s="22"/>
      <c r="D20" s="508"/>
      <c r="E20" s="508"/>
      <c r="F20" s="508"/>
      <c r="G20" s="90"/>
      <c r="H20" s="68"/>
      <c r="I20" s="481"/>
      <c r="J20" s="481"/>
      <c r="K20" s="35"/>
      <c r="L20" s="36"/>
    </row>
    <row r="21" spans="2:22" ht="20.149999999999999" customHeight="1" x14ac:dyDescent="0.45">
      <c r="B21" s="34"/>
      <c r="C21" s="22"/>
      <c r="D21" s="508"/>
      <c r="E21" s="508"/>
      <c r="F21" s="508"/>
      <c r="G21" s="90"/>
      <c r="H21" s="68"/>
      <c r="I21" s="481"/>
      <c r="J21" s="481"/>
      <c r="K21" s="35"/>
      <c r="L21" s="36"/>
    </row>
    <row r="22" spans="2:22" ht="20.149999999999999" customHeight="1" x14ac:dyDescent="0.45">
      <c r="B22" s="34"/>
      <c r="C22" s="22"/>
      <c r="D22" s="508"/>
      <c r="E22" s="508"/>
      <c r="F22" s="508"/>
      <c r="G22" s="90"/>
      <c r="H22" s="68"/>
      <c r="I22" s="481"/>
      <c r="J22" s="481"/>
      <c r="K22" s="35"/>
      <c r="L22" s="36"/>
    </row>
    <row r="23" spans="2:22" ht="20.149999999999999" customHeight="1" x14ac:dyDescent="0.45">
      <c r="B23" s="34"/>
      <c r="C23" s="22"/>
      <c r="D23" s="508"/>
      <c r="E23" s="508"/>
      <c r="F23" s="508"/>
      <c r="G23" s="90"/>
      <c r="H23" s="68"/>
      <c r="I23" s="481"/>
      <c r="J23" s="481"/>
      <c r="K23" s="35"/>
      <c r="L23" s="36"/>
    </row>
    <row r="24" spans="2:22" ht="20.149999999999999" customHeight="1" x14ac:dyDescent="0.45">
      <c r="B24" s="34"/>
      <c r="C24" s="22"/>
      <c r="D24" s="508"/>
      <c r="E24" s="508"/>
      <c r="F24" s="508"/>
      <c r="G24" s="90"/>
      <c r="H24" s="68"/>
      <c r="I24" s="481"/>
      <c r="J24" s="481"/>
      <c r="K24" s="35"/>
      <c r="L24" s="36"/>
    </row>
    <row r="25" spans="2:22" ht="20.149999999999999" customHeight="1" x14ac:dyDescent="0.45">
      <c r="B25" s="34"/>
      <c r="C25" s="22"/>
      <c r="D25" s="508"/>
      <c r="E25" s="508"/>
      <c r="F25" s="508"/>
      <c r="G25" s="90"/>
      <c r="H25" s="68"/>
      <c r="I25" s="481"/>
      <c r="J25" s="481"/>
      <c r="K25" s="35"/>
      <c r="L25" s="36"/>
    </row>
    <row r="26" spans="2:22" ht="20.149999999999999" customHeight="1" x14ac:dyDescent="0.45">
      <c r="B26" s="34"/>
      <c r="C26" s="22"/>
      <c r="D26" s="508"/>
      <c r="E26" s="508"/>
      <c r="F26" s="508"/>
      <c r="G26" s="90"/>
      <c r="H26" s="68"/>
      <c r="I26" s="481"/>
      <c r="J26" s="481"/>
      <c r="K26" s="35"/>
      <c r="L26" s="36"/>
    </row>
    <row r="27" spans="2:22" ht="20.149999999999999" customHeight="1" x14ac:dyDescent="0.45">
      <c r="B27" s="34"/>
      <c r="C27" s="22"/>
      <c r="D27" s="508"/>
      <c r="E27" s="508"/>
      <c r="F27" s="508"/>
      <c r="G27" s="90"/>
      <c r="H27" s="68"/>
      <c r="I27" s="481"/>
      <c r="J27" s="481"/>
      <c r="K27" s="35"/>
      <c r="L27" s="36"/>
    </row>
    <row r="28" spans="2:22" ht="20.149999999999999" customHeight="1" x14ac:dyDescent="0.45">
      <c r="B28" s="34"/>
      <c r="C28" s="22"/>
      <c r="D28" s="508"/>
      <c r="E28" s="508"/>
      <c r="F28" s="508"/>
      <c r="G28" s="90"/>
      <c r="H28" s="68"/>
      <c r="I28" s="481"/>
      <c r="J28" s="481"/>
      <c r="K28" s="35"/>
      <c r="L28" s="36"/>
    </row>
    <row r="29" spans="2:22" ht="20.149999999999999" customHeight="1" x14ac:dyDescent="0.45">
      <c r="B29" s="34"/>
      <c r="C29" s="22"/>
      <c r="G29" s="90"/>
      <c r="H29" s="68"/>
      <c r="I29" s="68"/>
      <c r="J29" s="68"/>
      <c r="K29" s="35"/>
      <c r="L29" s="36"/>
    </row>
    <row r="30" spans="2:22" ht="20.149999999999999" customHeight="1" x14ac:dyDescent="0.45">
      <c r="B30" s="155"/>
      <c r="C30" s="156"/>
      <c r="D30" s="556"/>
      <c r="E30" s="556"/>
      <c r="F30" s="556"/>
      <c r="G30" s="156"/>
      <c r="H30" s="156"/>
      <c r="I30" s="189"/>
      <c r="J30" s="189"/>
      <c r="K30" s="163"/>
      <c r="L30" s="190"/>
    </row>
    <row r="31" spans="2:22" ht="20.149999999999999" customHeight="1" thickBot="1" x14ac:dyDescent="0.5">
      <c r="B31" s="41"/>
      <c r="L31" s="42"/>
    </row>
    <row r="32" spans="2:22" ht="20.149999999999999" customHeight="1" x14ac:dyDescent="0.45">
      <c r="B32" s="11" t="s">
        <v>18</v>
      </c>
      <c r="C32" s="7"/>
      <c r="D32" s="7"/>
      <c r="E32" s="7"/>
      <c r="F32" s="7"/>
      <c r="G32" s="7"/>
      <c r="H32" s="7"/>
      <c r="I32" s="7"/>
      <c r="J32" s="510" t="s">
        <v>15</v>
      </c>
      <c r="K32" s="511"/>
      <c r="L32" s="43">
        <f>SUM(L18:L31)</f>
        <v>75</v>
      </c>
      <c r="M32" s="76">
        <f>SUM(P18:P29)</f>
        <v>25.999999999999996</v>
      </c>
      <c r="N32" s="201">
        <f>M32/L32</f>
        <v>0.34666666666666662</v>
      </c>
    </row>
    <row r="33" spans="2:12" ht="20.149999999999999" customHeight="1" x14ac:dyDescent="0.45">
      <c r="B33" s="11" t="s">
        <v>19</v>
      </c>
      <c r="C33" s="7"/>
      <c r="D33" s="7"/>
      <c r="E33" s="7"/>
      <c r="F33" s="7"/>
      <c r="G33" s="7"/>
      <c r="H33" s="7"/>
      <c r="I33" s="7"/>
      <c r="J33" s="44" t="s">
        <v>22</v>
      </c>
      <c r="K33" s="45"/>
      <c r="L33" s="46">
        <f>L32*K33</f>
        <v>0</v>
      </c>
    </row>
    <row r="34" spans="2:12" ht="20.149999999999999" customHeight="1" x14ac:dyDescent="0.45">
      <c r="B34" s="11" t="s">
        <v>20</v>
      </c>
      <c r="C34" s="7"/>
      <c r="D34" s="7"/>
      <c r="E34" s="7"/>
      <c r="F34" s="7"/>
      <c r="G34" s="7"/>
      <c r="H34" s="7"/>
      <c r="I34" s="7"/>
      <c r="J34" s="486" t="s">
        <v>21</v>
      </c>
      <c r="K34" s="487"/>
      <c r="L34" s="46">
        <f>L32-L33</f>
        <v>75</v>
      </c>
    </row>
    <row r="35" spans="2:12" ht="20.149999999999999" customHeight="1" x14ac:dyDescent="0.45">
      <c r="B35" s="11" t="s">
        <v>24</v>
      </c>
      <c r="C35" s="7"/>
      <c r="D35" s="7"/>
      <c r="E35" s="7"/>
      <c r="F35" s="7"/>
      <c r="G35" s="7"/>
      <c r="H35" s="7"/>
      <c r="I35" s="7"/>
      <c r="J35" s="150" t="s">
        <v>17</v>
      </c>
      <c r="K35" s="151">
        <v>7.0000000000000007E-2</v>
      </c>
      <c r="L35" s="47">
        <f>L34*K35</f>
        <v>5.2500000000000009</v>
      </c>
    </row>
    <row r="36" spans="2:12" ht="20.149999999999999" customHeight="1" thickBot="1" x14ac:dyDescent="0.5">
      <c r="B36" s="11" t="s">
        <v>1400</v>
      </c>
      <c r="C36" s="7"/>
      <c r="D36" s="7"/>
      <c r="E36" s="7"/>
      <c r="F36" s="7"/>
      <c r="G36" s="7"/>
      <c r="H36" s="7"/>
      <c r="I36" s="7"/>
      <c r="J36" s="488" t="s">
        <v>23</v>
      </c>
      <c r="K36" s="489"/>
      <c r="L36" s="48">
        <f>L34+L35</f>
        <v>80.25</v>
      </c>
    </row>
    <row r="37" spans="2:12" ht="20.149999999999999" customHeight="1" x14ac:dyDescent="0.45">
      <c r="B37" s="11" t="s">
        <v>26</v>
      </c>
      <c r="C37" s="7"/>
      <c r="D37" s="7"/>
      <c r="E37" s="7"/>
      <c r="F37" s="7"/>
      <c r="G37" s="7"/>
      <c r="H37" s="7"/>
      <c r="I37" s="7"/>
      <c r="L37" s="42"/>
    </row>
    <row r="38" spans="2:12" ht="20.149999999999999" customHeight="1" x14ac:dyDescent="0.45">
      <c r="B38" s="224" t="s">
        <v>1379</v>
      </c>
      <c r="L38" s="42"/>
    </row>
    <row r="39" spans="2:12" ht="20.149999999999999" customHeight="1" x14ac:dyDescent="0.45">
      <c r="B39" s="41"/>
      <c r="L39" s="42"/>
    </row>
    <row r="40" spans="2:12" ht="20.149999999999999" customHeight="1" x14ac:dyDescent="0.45">
      <c r="B40" s="41"/>
      <c r="L40" s="42"/>
    </row>
    <row r="41" spans="2:12" ht="20.149999999999999" customHeight="1" x14ac:dyDescent="0.45">
      <c r="B41" s="41"/>
      <c r="L41" s="42"/>
    </row>
    <row r="42" spans="2:12" ht="20.149999999999999" customHeight="1" x14ac:dyDescent="0.45">
      <c r="B42" s="49"/>
      <c r="C42" s="50"/>
      <c r="D42" s="50"/>
      <c r="J42" s="50"/>
      <c r="K42" s="50"/>
      <c r="L42" s="51"/>
    </row>
    <row r="43" spans="2:12" ht="20.149999999999999" customHeight="1" x14ac:dyDescent="0.45">
      <c r="B43" s="41" t="s">
        <v>27</v>
      </c>
      <c r="J43" s="24" t="s">
        <v>28</v>
      </c>
      <c r="L43" s="42"/>
    </row>
    <row r="44" spans="2:12" ht="19" thickBot="1" x14ac:dyDescent="0.5">
      <c r="B44" s="52"/>
      <c r="C44" s="53"/>
      <c r="D44" s="53"/>
      <c r="E44" s="53"/>
      <c r="F44" s="53"/>
      <c r="G44" s="53"/>
      <c r="H44" s="53"/>
      <c r="I44" s="53"/>
      <c r="J44" s="53"/>
      <c r="K44" s="53"/>
      <c r="L44" s="54"/>
    </row>
  </sheetData>
  <mergeCells count="41">
    <mergeCell ref="D24:F24"/>
    <mergeCell ref="I24:J24"/>
    <mergeCell ref="J36:K36"/>
    <mergeCell ref="D25:F25"/>
    <mergeCell ref="I25:J25"/>
    <mergeCell ref="D26:F26"/>
    <mergeCell ref="I26:J26"/>
    <mergeCell ref="D27:F27"/>
    <mergeCell ref="I27:J27"/>
    <mergeCell ref="D28:F28"/>
    <mergeCell ref="I28:J28"/>
    <mergeCell ref="D30:F30"/>
    <mergeCell ref="J32:K32"/>
    <mergeCell ref="J34:K34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20">
    <cfRule type="duplicateValues" dxfId="92" priority="5"/>
  </conditionalFormatting>
  <conditionalFormatting sqref="C21">
    <cfRule type="duplicateValues" dxfId="91" priority="6"/>
  </conditionalFormatting>
  <conditionalFormatting sqref="C22">
    <cfRule type="duplicateValues" dxfId="90" priority="4"/>
  </conditionalFormatting>
  <conditionalFormatting sqref="C25">
    <cfRule type="duplicateValues" dxfId="89" priority="7"/>
  </conditionalFormatting>
  <conditionalFormatting sqref="C23">
    <cfRule type="duplicateValues" dxfId="88" priority="3"/>
  </conditionalFormatting>
  <conditionalFormatting sqref="C18">
    <cfRule type="duplicateValues" dxfId="87" priority="1"/>
  </conditionalFormatting>
  <conditionalFormatting sqref="C19">
    <cfRule type="duplicateValues" dxfId="86" priority="2"/>
  </conditionalFormatting>
  <pageMargins left="0.70866141732283505" right="0.31496062992126" top="0.59055118110236204" bottom="0" header="0.31496062992126" footer="0.31496062992126"/>
  <pageSetup paperSize="9" scale="76" orientation="portrait" horizontalDpi="300" verticalDpi="300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50FBF4-8B2F-4D69-8392-0878AA33DDD1}">
  <sheetPr codeName="Sheet30">
    <tabColor rgb="FF996600"/>
    <pageSetUpPr fitToPage="1"/>
  </sheetPr>
  <dimension ref="B1:V42"/>
  <sheetViews>
    <sheetView topLeftCell="A23" workbookViewId="0">
      <selection activeCell="M31" sqref="M31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9" style="24" customWidth="1"/>
    <col min="7" max="7" width="8.54296875" style="24" customWidth="1"/>
    <col min="8" max="8" width="14.36328125" style="24" customWidth="1"/>
    <col min="9" max="9" width="2" style="24" customWidth="1"/>
    <col min="10" max="10" width="15.54296875" style="24" customWidth="1"/>
    <col min="11" max="11" width="10.54296875" style="24" customWidth="1"/>
    <col min="12" max="12" width="12.54296875" style="24" customWidth="1"/>
    <col min="13" max="16384" width="12.54296875" style="24"/>
  </cols>
  <sheetData>
    <row r="1" spans="2:14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4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4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4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4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4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4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4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4" ht="19" thickBot="1" x14ac:dyDescent="0.5">
      <c r="B9" s="23"/>
    </row>
    <row r="10" spans="2:14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2049</v>
      </c>
      <c r="J10" s="29" t="s">
        <v>29</v>
      </c>
      <c r="K10" s="452">
        <v>202210016</v>
      </c>
      <c r="L10" s="453"/>
    </row>
    <row r="11" spans="2:14" ht="20.149999999999999" customHeight="1" x14ac:dyDescent="0.45">
      <c r="B11" s="454" t="s">
        <v>2050</v>
      </c>
      <c r="C11" s="455"/>
      <c r="D11" s="456"/>
      <c r="E11" s="30"/>
      <c r="F11" s="457" t="str">
        <f>VLOOKUP(H10,'Delivery Location'!A$4:N$416,2,0)</f>
        <v>FOOD REPUBLIC PTE LTD                                  Serangoon Nex@JUICE BAR                    23, Serangoon Central #B2-63                      Singapore 550683</v>
      </c>
      <c r="G11" s="458"/>
      <c r="H11" s="459"/>
      <c r="J11" s="31" t="s">
        <v>11</v>
      </c>
      <c r="K11" s="466">
        <v>44835</v>
      </c>
      <c r="L11" s="467"/>
    </row>
    <row r="12" spans="2:14" ht="20.149999999999999" customHeight="1" x14ac:dyDescent="0.45">
      <c r="B12" s="468" t="s">
        <v>2051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533</v>
      </c>
      <c r="L12" s="472"/>
    </row>
    <row r="13" spans="2:14" ht="20.149999999999999" customHeight="1" x14ac:dyDescent="0.45">
      <c r="B13" s="468" t="s">
        <v>2052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14</v>
      </c>
      <c r="L13" s="472"/>
    </row>
    <row r="14" spans="2:14" ht="20.149999999999999" customHeight="1" x14ac:dyDescent="0.45">
      <c r="B14" s="468" t="s">
        <v>2053</v>
      </c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  <c r="N14" s="24" t="s">
        <v>2044</v>
      </c>
    </row>
    <row r="15" spans="2:14" ht="18" customHeight="1" thickBot="1" x14ac:dyDescent="0.5">
      <c r="B15" s="463" t="s">
        <v>2026</v>
      </c>
      <c r="C15" s="464"/>
      <c r="D15" s="465"/>
      <c r="E15" s="26"/>
      <c r="F15" s="463"/>
      <c r="G15" s="464"/>
      <c r="H15" s="465"/>
      <c r="J15" s="32" t="s">
        <v>13</v>
      </c>
      <c r="K15" s="476"/>
      <c r="L15" s="477"/>
    </row>
    <row r="16" spans="2:14" ht="19" thickBot="1" x14ac:dyDescent="0.5">
      <c r="J16" s="22"/>
    </row>
    <row r="17" spans="2:22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22" ht="20.149999999999999" customHeight="1" x14ac:dyDescent="0.45">
      <c r="B18" s="70"/>
      <c r="C18" s="22" t="s">
        <v>2242</v>
      </c>
      <c r="D18" s="508" t="str">
        <f>VLOOKUP(C18,'Sales Master'!B$3:D$499,2,)</f>
        <v>ROCK SUGAR SYRUP</v>
      </c>
      <c r="E18" s="508"/>
      <c r="F18" s="508"/>
      <c r="G18" s="90">
        <v>11</v>
      </c>
      <c r="H18" s="386" t="str">
        <f>VLOOKUP(C18,'Sales Master'!$B$3:$F$3179,5,0)</f>
        <v>5 KG</v>
      </c>
      <c r="I18" s="513" t="str">
        <f>VLOOKUP(C18,'Sales Master'!$B$3:$E$3179,4,0)</f>
        <v>DO!</v>
      </c>
      <c r="J18" s="513"/>
      <c r="K18" s="98">
        <f>VLOOKUP(C18,'Sales Master'!B$3:I$581,8,0)</f>
        <v>8.5</v>
      </c>
      <c r="L18" s="99">
        <f t="shared" ref="L18" si="0">K18*G18</f>
        <v>93.5</v>
      </c>
      <c r="N18" s="225">
        <f>VLOOKUP(C18,'Sales Master'!$B$3:$DA$3038,104,0)</f>
        <v>5.5</v>
      </c>
      <c r="O18" s="225">
        <f t="shared" ref="O18" si="1">K18-N18</f>
        <v>3</v>
      </c>
      <c r="P18" s="225">
        <f t="shared" ref="P18" si="2">O18*G18</f>
        <v>33</v>
      </c>
      <c r="R18" s="125"/>
      <c r="S18" s="125"/>
      <c r="T18" s="125"/>
      <c r="U18" s="125"/>
      <c r="V18" s="125"/>
    </row>
    <row r="19" spans="2:22" ht="20.149999999999999" customHeight="1" x14ac:dyDescent="0.45">
      <c r="B19" s="34"/>
      <c r="C19" s="22"/>
      <c r="D19" s="508"/>
      <c r="E19" s="508"/>
      <c r="F19" s="508"/>
      <c r="G19" s="90"/>
      <c r="H19" s="386"/>
      <c r="I19" s="513"/>
      <c r="J19" s="513"/>
      <c r="K19" s="98"/>
      <c r="L19" s="99"/>
      <c r="N19" s="225"/>
      <c r="O19" s="225"/>
      <c r="P19" s="225"/>
    </row>
    <row r="20" spans="2:22" ht="20.149999999999999" customHeight="1" x14ac:dyDescent="0.45">
      <c r="B20" s="34"/>
      <c r="C20" s="22"/>
      <c r="G20" s="90"/>
      <c r="H20" s="68"/>
      <c r="I20" s="68"/>
      <c r="J20" s="68"/>
      <c r="K20" s="35"/>
      <c r="L20" s="36"/>
    </row>
    <row r="21" spans="2:22" ht="20.149999999999999" customHeight="1" x14ac:dyDescent="0.45">
      <c r="B21" s="34"/>
      <c r="C21" s="22"/>
      <c r="G21" s="90"/>
      <c r="H21" s="68"/>
      <c r="I21" s="68"/>
      <c r="J21" s="68"/>
      <c r="K21" s="35"/>
      <c r="L21" s="36"/>
    </row>
    <row r="22" spans="2:22" ht="20.149999999999999" customHeight="1" x14ac:dyDescent="0.45">
      <c r="B22" s="34"/>
      <c r="C22" s="22"/>
      <c r="G22" s="90"/>
      <c r="H22" s="68"/>
      <c r="I22" s="68"/>
      <c r="J22" s="68"/>
      <c r="K22" s="35"/>
      <c r="L22" s="36"/>
    </row>
    <row r="23" spans="2:22" ht="20.149999999999999" customHeight="1" x14ac:dyDescent="0.45">
      <c r="B23" s="34"/>
      <c r="C23" s="22"/>
      <c r="D23" s="508"/>
      <c r="E23" s="508"/>
      <c r="F23" s="508"/>
      <c r="G23" s="90"/>
      <c r="H23" s="68"/>
      <c r="I23" s="481"/>
      <c r="J23" s="481"/>
      <c r="K23" s="35"/>
      <c r="L23" s="36"/>
    </row>
    <row r="24" spans="2:22" ht="20.149999999999999" customHeight="1" x14ac:dyDescent="0.45">
      <c r="B24" s="34"/>
      <c r="C24" s="22"/>
      <c r="D24" s="508"/>
      <c r="E24" s="508"/>
      <c r="F24" s="508"/>
      <c r="G24" s="90"/>
      <c r="H24" s="68"/>
      <c r="I24" s="481"/>
      <c r="J24" s="481"/>
      <c r="K24" s="35"/>
      <c r="L24" s="36"/>
    </row>
    <row r="25" spans="2:22" ht="20.149999999999999" customHeight="1" x14ac:dyDescent="0.45">
      <c r="B25" s="34"/>
      <c r="C25" s="22"/>
      <c r="D25" s="508"/>
      <c r="E25" s="508"/>
      <c r="F25" s="508"/>
      <c r="G25" s="90"/>
      <c r="H25" s="68"/>
      <c r="I25" s="481"/>
      <c r="J25" s="481"/>
      <c r="K25" s="35"/>
      <c r="L25" s="36"/>
    </row>
    <row r="26" spans="2:22" ht="20.149999999999999" customHeight="1" x14ac:dyDescent="0.45">
      <c r="B26" s="34"/>
      <c r="C26" s="22"/>
      <c r="D26" s="508"/>
      <c r="E26" s="508"/>
      <c r="F26" s="508"/>
      <c r="G26" s="90"/>
      <c r="H26" s="68"/>
      <c r="I26" s="481"/>
      <c r="J26" s="481"/>
      <c r="K26" s="35"/>
      <c r="L26" s="36"/>
    </row>
    <row r="27" spans="2:22" ht="20.149999999999999" customHeight="1" x14ac:dyDescent="0.45">
      <c r="B27" s="34"/>
      <c r="C27" s="22"/>
      <c r="D27" s="508"/>
      <c r="E27" s="508"/>
      <c r="F27" s="508"/>
      <c r="G27" s="90"/>
      <c r="H27" s="68"/>
      <c r="I27" s="481"/>
      <c r="J27" s="481"/>
      <c r="K27" s="35"/>
      <c r="L27" s="36"/>
    </row>
    <row r="28" spans="2:22" ht="20.149999999999999" customHeight="1" x14ac:dyDescent="0.45">
      <c r="B28" s="155"/>
      <c r="C28" s="156"/>
      <c r="D28" s="556"/>
      <c r="E28" s="556"/>
      <c r="F28" s="556"/>
      <c r="G28" s="156"/>
      <c r="H28" s="156"/>
      <c r="I28" s="189"/>
      <c r="J28" s="189"/>
      <c r="K28" s="163"/>
      <c r="L28" s="190"/>
    </row>
    <row r="29" spans="2:22" ht="20.149999999999999" customHeight="1" thickBot="1" x14ac:dyDescent="0.5">
      <c r="B29" s="41"/>
      <c r="L29" s="42"/>
    </row>
    <row r="30" spans="2:22" ht="20.149999999999999" customHeight="1" x14ac:dyDescent="0.45">
      <c r="B30" s="11" t="s">
        <v>18</v>
      </c>
      <c r="C30" s="7"/>
      <c r="D30" s="7"/>
      <c r="E30" s="7"/>
      <c r="F30" s="7"/>
      <c r="G30" s="7"/>
      <c r="H30" s="7"/>
      <c r="I30" s="7"/>
      <c r="J30" s="510" t="s">
        <v>15</v>
      </c>
      <c r="K30" s="511"/>
      <c r="L30" s="43">
        <f>SUM(L18:L29)</f>
        <v>93.5</v>
      </c>
      <c r="M30" s="76">
        <f>SUM(P18:P30)</f>
        <v>33</v>
      </c>
      <c r="N30" s="201">
        <f>M30/L30</f>
        <v>0.35294117647058826</v>
      </c>
    </row>
    <row r="31" spans="2:22" ht="20.149999999999999" customHeight="1" x14ac:dyDescent="0.45">
      <c r="B31" s="11" t="s">
        <v>19</v>
      </c>
      <c r="C31" s="7"/>
      <c r="D31" s="7"/>
      <c r="E31" s="7"/>
      <c r="F31" s="7"/>
      <c r="G31" s="7"/>
      <c r="H31" s="7"/>
      <c r="I31" s="7"/>
      <c r="J31" s="44" t="s">
        <v>22</v>
      </c>
      <c r="K31" s="45"/>
      <c r="L31" s="46">
        <f>L30*K31</f>
        <v>0</v>
      </c>
    </row>
    <row r="32" spans="2:22" ht="20.149999999999999" customHeight="1" x14ac:dyDescent="0.45">
      <c r="B32" s="11" t="s">
        <v>20</v>
      </c>
      <c r="C32" s="7"/>
      <c r="D32" s="7"/>
      <c r="E32" s="7"/>
      <c r="F32" s="7"/>
      <c r="G32" s="7"/>
      <c r="H32" s="7"/>
      <c r="I32" s="7"/>
      <c r="J32" s="486" t="s">
        <v>21</v>
      </c>
      <c r="K32" s="487"/>
      <c r="L32" s="46">
        <f>L30-L31</f>
        <v>93.5</v>
      </c>
    </row>
    <row r="33" spans="2:12" ht="20.149999999999999" customHeight="1" x14ac:dyDescent="0.45">
      <c r="B33" s="11" t="s">
        <v>24</v>
      </c>
      <c r="C33" s="7"/>
      <c r="D33" s="7"/>
      <c r="E33" s="7"/>
      <c r="F33" s="7"/>
      <c r="G33" s="7"/>
      <c r="H33" s="7"/>
      <c r="I33" s="7"/>
      <c r="J33" s="150" t="s">
        <v>17</v>
      </c>
      <c r="K33" s="151">
        <v>7.0000000000000007E-2</v>
      </c>
      <c r="L33" s="47">
        <f>L32*K33</f>
        <v>6.5450000000000008</v>
      </c>
    </row>
    <row r="34" spans="2:12" ht="20.149999999999999" customHeight="1" thickBot="1" x14ac:dyDescent="0.5">
      <c r="B34" s="11" t="s">
        <v>1400</v>
      </c>
      <c r="C34" s="7"/>
      <c r="D34" s="7"/>
      <c r="E34" s="7"/>
      <c r="F34" s="7"/>
      <c r="G34" s="7"/>
      <c r="H34" s="7"/>
      <c r="I34" s="7"/>
      <c r="J34" s="488" t="s">
        <v>23</v>
      </c>
      <c r="K34" s="489"/>
      <c r="L34" s="48">
        <f>L32+L33</f>
        <v>100.045</v>
      </c>
    </row>
    <row r="35" spans="2:12" ht="20.149999999999999" customHeight="1" x14ac:dyDescent="0.45">
      <c r="B35" s="11" t="s">
        <v>26</v>
      </c>
      <c r="C35" s="7"/>
      <c r="D35" s="7"/>
      <c r="E35" s="7"/>
      <c r="F35" s="7"/>
      <c r="G35" s="7"/>
      <c r="H35" s="7"/>
      <c r="I35" s="7"/>
      <c r="L35" s="42"/>
    </row>
    <row r="36" spans="2:12" ht="20.149999999999999" customHeight="1" x14ac:dyDescent="0.45">
      <c r="B36" s="224" t="s">
        <v>1379</v>
      </c>
      <c r="L36" s="42"/>
    </row>
    <row r="37" spans="2:12" ht="20.149999999999999" customHeight="1" x14ac:dyDescent="0.45">
      <c r="B37" s="41"/>
      <c r="L37" s="42"/>
    </row>
    <row r="38" spans="2:12" ht="20.149999999999999" customHeight="1" x14ac:dyDescent="0.45">
      <c r="B38" s="41"/>
      <c r="L38" s="42"/>
    </row>
    <row r="39" spans="2:12" ht="20.149999999999999" customHeight="1" x14ac:dyDescent="0.45">
      <c r="B39" s="41"/>
      <c r="L39" s="42"/>
    </row>
    <row r="40" spans="2:12" ht="20.149999999999999" customHeight="1" x14ac:dyDescent="0.45">
      <c r="B40" s="49"/>
      <c r="C40" s="50"/>
      <c r="D40" s="50"/>
      <c r="J40" s="50"/>
      <c r="K40" s="50"/>
      <c r="L40" s="51"/>
    </row>
    <row r="41" spans="2:12" ht="20.149999999999999" customHeight="1" x14ac:dyDescent="0.45">
      <c r="B41" s="41" t="s">
        <v>27</v>
      </c>
      <c r="J41" s="24" t="s">
        <v>28</v>
      </c>
      <c r="L41" s="42"/>
    </row>
    <row r="42" spans="2:12" ht="19" thickBot="1" x14ac:dyDescent="0.5">
      <c r="B42" s="52"/>
      <c r="C42" s="53"/>
      <c r="D42" s="53"/>
      <c r="E42" s="53"/>
      <c r="F42" s="53"/>
      <c r="G42" s="53"/>
      <c r="H42" s="53"/>
      <c r="I42" s="53"/>
      <c r="J42" s="53"/>
      <c r="K42" s="53"/>
      <c r="L42" s="54"/>
    </row>
  </sheetData>
  <mergeCells count="33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8:F18"/>
    <mergeCell ref="I18:J18"/>
    <mergeCell ref="D19:F19"/>
    <mergeCell ref="I19:J19"/>
    <mergeCell ref="D17:F17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J34:K34"/>
    <mergeCell ref="D28:F28"/>
    <mergeCell ref="J30:K30"/>
    <mergeCell ref="J32:K32"/>
  </mergeCells>
  <conditionalFormatting sqref="C19:C22">
    <cfRule type="duplicateValues" dxfId="85" priority="6"/>
  </conditionalFormatting>
  <conditionalFormatting sqref="C23">
    <cfRule type="duplicateValues" dxfId="84" priority="7"/>
  </conditionalFormatting>
  <conditionalFormatting sqref="C24">
    <cfRule type="duplicateValues" dxfId="83" priority="4"/>
  </conditionalFormatting>
  <conditionalFormatting sqref="C27">
    <cfRule type="duplicateValues" dxfId="82" priority="9"/>
  </conditionalFormatting>
  <conditionalFormatting sqref="C25">
    <cfRule type="duplicateValues" dxfId="81" priority="3"/>
  </conditionalFormatting>
  <conditionalFormatting sqref="C18">
    <cfRule type="duplicateValues" dxfId="80" priority="2"/>
  </conditionalFormatting>
  <pageMargins left="0.70866141732283472" right="0.31496062992125984" top="0.59055118110236227" bottom="0" header="0.31496062992125984" footer="0.31496062992125984"/>
  <pageSetup paperSize="9" scale="77" orientation="portrait" horizontalDpi="300" verticalDpi="300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938D66-29CD-4D04-864D-0A495E7E4AFD}">
  <sheetPr codeName="Sheet31">
    <tabColor rgb="FF996600"/>
    <pageSetUpPr fitToPage="1"/>
  </sheetPr>
  <dimension ref="B1:V44"/>
  <sheetViews>
    <sheetView topLeftCell="A32" workbookViewId="0">
      <selection activeCell="G43" sqref="G43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9" style="24" customWidth="1"/>
    <col min="7" max="7" width="8.54296875" style="24" customWidth="1"/>
    <col min="8" max="8" width="15.54296875" style="24" customWidth="1"/>
    <col min="9" max="9" width="2" style="24" customWidth="1"/>
    <col min="10" max="10" width="15.54296875" style="24" customWidth="1"/>
    <col min="11" max="11" width="10.54296875" style="24" customWidth="1"/>
    <col min="12" max="12" width="12.54296875" style="24" customWidth="1"/>
    <col min="13" max="16384" width="12.54296875" style="24"/>
  </cols>
  <sheetData>
    <row r="1" spans="2:14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4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4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4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4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4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4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4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4" ht="19" thickBot="1" x14ac:dyDescent="0.5">
      <c r="B9" s="23"/>
    </row>
    <row r="10" spans="2:14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2055</v>
      </c>
      <c r="J10" s="29" t="s">
        <v>29</v>
      </c>
      <c r="K10" s="452">
        <v>202210013</v>
      </c>
      <c r="L10" s="453"/>
    </row>
    <row r="11" spans="2:14" ht="20.149999999999999" customHeight="1" x14ac:dyDescent="0.45">
      <c r="B11" s="454" t="s">
        <v>2050</v>
      </c>
      <c r="C11" s="455"/>
      <c r="D11" s="456"/>
      <c r="E11" s="30"/>
      <c r="F11" s="457" t="str">
        <f>VLOOKUP(H10,'Delivery Location'!A$4:N$416,2,0)</f>
        <v xml:space="preserve">FOOD REPUBLIC PTE LTD                                   Shaw Lido Orchard@ Juice Bar No 7                     1, Scotts Road #B1-01 Shaw Centre        Singapore 228208                                 </v>
      </c>
      <c r="G11" s="458"/>
      <c r="H11" s="459"/>
      <c r="J11" s="31" t="s">
        <v>11</v>
      </c>
      <c r="K11" s="565">
        <v>44835</v>
      </c>
      <c r="L11" s="467"/>
    </row>
    <row r="12" spans="2:14" ht="20.149999999999999" customHeight="1" x14ac:dyDescent="0.45">
      <c r="B12" s="468" t="s">
        <v>2051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533</v>
      </c>
      <c r="L12" s="472"/>
    </row>
    <row r="13" spans="2:14" ht="20.149999999999999" customHeight="1" x14ac:dyDescent="0.45">
      <c r="B13" s="468" t="s">
        <v>2052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14</v>
      </c>
      <c r="L13" s="472"/>
      <c r="N13" s="24" t="s">
        <v>2286</v>
      </c>
    </row>
    <row r="14" spans="2:14" ht="20.149999999999999" customHeight="1" x14ac:dyDescent="0.45">
      <c r="B14" s="468" t="s">
        <v>2053</v>
      </c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4" ht="18" customHeight="1" thickBot="1" x14ac:dyDescent="0.5">
      <c r="B15" s="463" t="s">
        <v>2026</v>
      </c>
      <c r="C15" s="464"/>
      <c r="D15" s="465"/>
      <c r="E15" s="26"/>
      <c r="F15" s="463"/>
      <c r="G15" s="464"/>
      <c r="H15" s="465"/>
      <c r="J15" s="32" t="s">
        <v>13</v>
      </c>
      <c r="K15" s="476"/>
      <c r="L15" s="477"/>
    </row>
    <row r="16" spans="2:14" ht="19" thickBot="1" x14ac:dyDescent="0.5">
      <c r="J16" s="22"/>
    </row>
    <row r="17" spans="2:22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22" ht="20.149999999999999" customHeight="1" x14ac:dyDescent="0.45">
      <c r="B18" s="70"/>
      <c r="C18" s="22" t="s">
        <v>2242</v>
      </c>
      <c r="D18" s="508" t="str">
        <f>VLOOKUP(C18,'Sales Master'!B$3:D$499,2,)</f>
        <v>ROCK SUGAR SYRUP</v>
      </c>
      <c r="E18" s="508"/>
      <c r="F18" s="508"/>
      <c r="G18" s="90">
        <v>16</v>
      </c>
      <c r="H18" s="97" t="str">
        <f>VLOOKUP(C18,'Sales Master'!$B$3:$F$3179,5,0)</f>
        <v>5 KG</v>
      </c>
      <c r="I18" s="506" t="str">
        <f>VLOOKUP(C18,'Sales Master'!$B$3:$E$3179,4,0)</f>
        <v>DO!</v>
      </c>
      <c r="J18" s="506"/>
      <c r="K18" s="98">
        <f>VLOOKUP(C18,'Sales Master'!B$3:I$581,8,0)</f>
        <v>8.5</v>
      </c>
      <c r="L18" s="99">
        <f>K18*G18</f>
        <v>136</v>
      </c>
      <c r="N18" s="225">
        <f>VLOOKUP(C18,'Sales Master'!$B$3:$DA$3038,104,0)</f>
        <v>5.5</v>
      </c>
      <c r="O18" s="225">
        <f>K18-N18</f>
        <v>3</v>
      </c>
      <c r="P18" s="225">
        <f>O18*G18</f>
        <v>48</v>
      </c>
      <c r="Q18" s="354"/>
      <c r="R18" s="125">
        <v>1</v>
      </c>
      <c r="S18" s="125" t="s">
        <v>260</v>
      </c>
      <c r="T18" s="125" t="s">
        <v>709</v>
      </c>
      <c r="U18" s="125"/>
      <c r="V18" s="125">
        <v>32</v>
      </c>
    </row>
    <row r="19" spans="2:22" ht="20.149999999999999" customHeight="1" x14ac:dyDescent="0.45">
      <c r="B19" s="70"/>
      <c r="C19" s="22"/>
      <c r="D19" s="508"/>
      <c r="E19" s="508"/>
      <c r="F19" s="508"/>
      <c r="G19" s="90"/>
      <c r="H19" s="97"/>
      <c r="I19" s="506"/>
      <c r="J19" s="506"/>
      <c r="K19" s="98"/>
      <c r="L19" s="99"/>
      <c r="N19" s="225"/>
      <c r="O19" s="225"/>
      <c r="P19" s="225"/>
      <c r="Q19" s="354"/>
      <c r="R19" s="125"/>
      <c r="S19" s="125"/>
      <c r="T19" s="125"/>
      <c r="U19" s="125"/>
      <c r="V19" s="125"/>
    </row>
    <row r="20" spans="2:22" ht="20.149999999999999" customHeight="1" x14ac:dyDescent="0.45">
      <c r="B20" s="34"/>
      <c r="C20" s="22"/>
      <c r="D20" s="508"/>
      <c r="E20" s="508"/>
      <c r="F20" s="508"/>
      <c r="G20" s="90"/>
      <c r="H20" s="68"/>
      <c r="I20" s="481"/>
      <c r="J20" s="481"/>
      <c r="K20" s="35"/>
      <c r="L20" s="36"/>
    </row>
    <row r="21" spans="2:22" ht="20.149999999999999" customHeight="1" x14ac:dyDescent="0.45">
      <c r="B21" s="34"/>
      <c r="C21" s="22"/>
      <c r="D21" s="508"/>
      <c r="E21" s="508"/>
      <c r="F21" s="508"/>
      <c r="G21" s="90"/>
      <c r="H21" s="68"/>
      <c r="I21" s="481"/>
      <c r="J21" s="481"/>
      <c r="K21" s="35"/>
      <c r="L21" s="36"/>
    </row>
    <row r="22" spans="2:22" ht="20.149999999999999" customHeight="1" x14ac:dyDescent="0.45">
      <c r="B22" s="34"/>
      <c r="C22" s="22"/>
      <c r="D22" s="508"/>
      <c r="E22" s="508"/>
      <c r="F22" s="508"/>
      <c r="G22" s="90"/>
      <c r="H22" s="68"/>
      <c r="I22" s="481"/>
      <c r="J22" s="481"/>
      <c r="K22" s="35"/>
      <c r="L22" s="36"/>
    </row>
    <row r="23" spans="2:22" ht="20.149999999999999" customHeight="1" x14ac:dyDescent="0.45">
      <c r="B23" s="34"/>
      <c r="C23" s="22"/>
      <c r="D23" s="508"/>
      <c r="E23" s="508"/>
      <c r="F23" s="508"/>
      <c r="G23" s="90"/>
      <c r="H23" s="68"/>
      <c r="I23" s="481"/>
      <c r="J23" s="481"/>
      <c r="K23" s="35"/>
      <c r="L23" s="36"/>
    </row>
    <row r="24" spans="2:22" ht="20.149999999999999" customHeight="1" x14ac:dyDescent="0.45">
      <c r="B24" s="34"/>
      <c r="C24" s="22"/>
      <c r="D24" s="508"/>
      <c r="E24" s="508"/>
      <c r="F24" s="508"/>
      <c r="G24" s="90"/>
      <c r="H24" s="68"/>
      <c r="I24" s="481"/>
      <c r="J24" s="481"/>
      <c r="K24" s="35"/>
      <c r="L24" s="36"/>
    </row>
    <row r="25" spans="2:22" ht="20.149999999999999" customHeight="1" x14ac:dyDescent="0.45">
      <c r="B25" s="34"/>
      <c r="C25" s="22"/>
      <c r="D25" s="508"/>
      <c r="E25" s="508"/>
      <c r="F25" s="508"/>
      <c r="G25" s="90"/>
      <c r="H25" s="68"/>
      <c r="I25" s="481"/>
      <c r="J25" s="481"/>
      <c r="K25" s="35"/>
      <c r="L25" s="36"/>
    </row>
    <row r="26" spans="2:22" ht="20.149999999999999" customHeight="1" x14ac:dyDescent="0.45">
      <c r="B26" s="34"/>
      <c r="C26" s="22"/>
      <c r="D26" s="508"/>
      <c r="E26" s="508"/>
      <c r="F26" s="508"/>
      <c r="G26" s="90"/>
      <c r="H26" s="68"/>
      <c r="I26" s="481"/>
      <c r="J26" s="481"/>
      <c r="K26" s="35"/>
      <c r="L26" s="36"/>
    </row>
    <row r="27" spans="2:22" ht="20.149999999999999" customHeight="1" x14ac:dyDescent="0.45">
      <c r="B27" s="34"/>
      <c r="C27" s="22"/>
      <c r="D27" s="508"/>
      <c r="E27" s="508"/>
      <c r="F27" s="508"/>
      <c r="G27" s="90"/>
      <c r="H27" s="68"/>
      <c r="I27" s="481"/>
      <c r="J27" s="481"/>
      <c r="K27" s="35"/>
      <c r="L27" s="36"/>
    </row>
    <row r="28" spans="2:22" ht="20.149999999999999" customHeight="1" x14ac:dyDescent="0.45">
      <c r="B28" s="34"/>
      <c r="C28" s="22"/>
      <c r="D28" s="508"/>
      <c r="E28" s="508"/>
      <c r="F28" s="508"/>
      <c r="G28" s="90"/>
      <c r="H28" s="68"/>
      <c r="I28" s="481"/>
      <c r="J28" s="481"/>
      <c r="K28" s="35"/>
      <c r="L28" s="36"/>
    </row>
    <row r="29" spans="2:22" ht="20.149999999999999" customHeight="1" x14ac:dyDescent="0.45">
      <c r="B29" s="34"/>
      <c r="C29" s="22"/>
      <c r="G29" s="90"/>
      <c r="H29" s="68"/>
      <c r="I29" s="68"/>
      <c r="J29" s="68"/>
      <c r="K29" s="35"/>
      <c r="L29" s="36"/>
    </row>
    <row r="30" spans="2:22" ht="20.149999999999999" customHeight="1" x14ac:dyDescent="0.45">
      <c r="B30" s="155"/>
      <c r="C30" s="156"/>
      <c r="D30" s="556"/>
      <c r="E30" s="556"/>
      <c r="F30" s="556"/>
      <c r="G30" s="156"/>
      <c r="H30" s="156"/>
      <c r="I30" s="189"/>
      <c r="J30" s="189"/>
      <c r="K30" s="163"/>
      <c r="L30" s="190"/>
    </row>
    <row r="31" spans="2:22" ht="20.149999999999999" customHeight="1" thickBot="1" x14ac:dyDescent="0.5">
      <c r="B31" s="41"/>
      <c r="L31" s="42"/>
    </row>
    <row r="32" spans="2:22" ht="20.149999999999999" customHeight="1" x14ac:dyDescent="0.45">
      <c r="B32" s="11" t="s">
        <v>18</v>
      </c>
      <c r="C32" s="7"/>
      <c r="D32" s="7"/>
      <c r="E32" s="7"/>
      <c r="F32" s="7"/>
      <c r="G32" s="7"/>
      <c r="H32" s="7"/>
      <c r="I32" s="7"/>
      <c r="J32" s="510" t="s">
        <v>15</v>
      </c>
      <c r="K32" s="511"/>
      <c r="L32" s="43">
        <f>SUM(L18:L31)</f>
        <v>136</v>
      </c>
      <c r="M32" s="76">
        <f>SUM(P18:P19)</f>
        <v>48</v>
      </c>
      <c r="N32" s="201">
        <f>M32/L32</f>
        <v>0.35294117647058826</v>
      </c>
    </row>
    <row r="33" spans="2:12" ht="20.149999999999999" customHeight="1" x14ac:dyDescent="0.45">
      <c r="B33" s="11" t="s">
        <v>19</v>
      </c>
      <c r="C33" s="7"/>
      <c r="D33" s="7"/>
      <c r="E33" s="7"/>
      <c r="F33" s="7"/>
      <c r="G33" s="7"/>
      <c r="H33" s="7"/>
      <c r="I33" s="7"/>
      <c r="J33" s="44" t="s">
        <v>22</v>
      </c>
      <c r="K33" s="45"/>
      <c r="L33" s="46">
        <f>L32*K33</f>
        <v>0</v>
      </c>
    </row>
    <row r="34" spans="2:12" ht="20.149999999999999" customHeight="1" x14ac:dyDescent="0.45">
      <c r="B34" s="11" t="s">
        <v>20</v>
      </c>
      <c r="C34" s="7"/>
      <c r="D34" s="7"/>
      <c r="E34" s="7"/>
      <c r="F34" s="7"/>
      <c r="G34" s="7"/>
      <c r="H34" s="7"/>
      <c r="I34" s="7"/>
      <c r="J34" s="486" t="s">
        <v>21</v>
      </c>
      <c r="K34" s="487"/>
      <c r="L34" s="46">
        <f>L32-L33</f>
        <v>136</v>
      </c>
    </row>
    <row r="35" spans="2:12" ht="20.149999999999999" customHeight="1" x14ac:dyDescent="0.45">
      <c r="B35" s="11" t="s">
        <v>24</v>
      </c>
      <c r="C35" s="7"/>
      <c r="D35" s="7"/>
      <c r="E35" s="7"/>
      <c r="F35" s="7"/>
      <c r="G35" s="7"/>
      <c r="H35" s="7"/>
      <c r="I35" s="7"/>
      <c r="J35" s="150" t="s">
        <v>17</v>
      </c>
      <c r="K35" s="151">
        <v>7.0000000000000007E-2</v>
      </c>
      <c r="L35" s="47">
        <f>L34*K35</f>
        <v>9.5200000000000014</v>
      </c>
    </row>
    <row r="36" spans="2:12" ht="20.149999999999999" customHeight="1" thickBot="1" x14ac:dyDescent="0.5">
      <c r="B36" s="11" t="s">
        <v>1400</v>
      </c>
      <c r="C36" s="7"/>
      <c r="D36" s="7"/>
      <c r="E36" s="7"/>
      <c r="F36" s="7"/>
      <c r="G36" s="7"/>
      <c r="H36" s="7"/>
      <c r="I36" s="7"/>
      <c r="J36" s="488" t="s">
        <v>23</v>
      </c>
      <c r="K36" s="489"/>
      <c r="L36" s="48">
        <f>L34+L35</f>
        <v>145.52000000000001</v>
      </c>
    </row>
    <row r="37" spans="2:12" ht="20.149999999999999" customHeight="1" x14ac:dyDescent="0.45">
      <c r="B37" s="11" t="s">
        <v>26</v>
      </c>
      <c r="C37" s="7"/>
      <c r="D37" s="7"/>
      <c r="E37" s="7"/>
      <c r="F37" s="7"/>
      <c r="G37" s="7"/>
      <c r="H37" s="7"/>
      <c r="I37" s="7"/>
      <c r="L37" s="42"/>
    </row>
    <row r="38" spans="2:12" ht="20.149999999999999" customHeight="1" x14ac:dyDescent="0.45">
      <c r="B38" s="224" t="s">
        <v>1379</v>
      </c>
      <c r="L38" s="42"/>
    </row>
    <row r="39" spans="2:12" ht="20.149999999999999" customHeight="1" x14ac:dyDescent="0.45">
      <c r="B39" s="41"/>
      <c r="L39" s="42"/>
    </row>
    <row r="40" spans="2:12" ht="20.149999999999999" customHeight="1" x14ac:dyDescent="0.45">
      <c r="B40" s="41"/>
      <c r="L40" s="42"/>
    </row>
    <row r="41" spans="2:12" ht="20.149999999999999" customHeight="1" x14ac:dyDescent="0.45">
      <c r="B41" s="41"/>
      <c r="L41" s="42"/>
    </row>
    <row r="42" spans="2:12" ht="20.149999999999999" customHeight="1" x14ac:dyDescent="0.45">
      <c r="B42" s="49"/>
      <c r="C42" s="50"/>
      <c r="D42" s="50"/>
      <c r="J42" s="50"/>
      <c r="K42" s="50"/>
      <c r="L42" s="51"/>
    </row>
    <row r="43" spans="2:12" ht="20.149999999999999" customHeight="1" x14ac:dyDescent="0.45">
      <c r="B43" s="41" t="s">
        <v>27</v>
      </c>
      <c r="J43" s="24" t="s">
        <v>28</v>
      </c>
      <c r="L43" s="42"/>
    </row>
    <row r="44" spans="2:12" ht="19" thickBot="1" x14ac:dyDescent="0.5">
      <c r="B44" s="52"/>
      <c r="C44" s="53"/>
      <c r="D44" s="53"/>
      <c r="E44" s="53"/>
      <c r="F44" s="53"/>
      <c r="G44" s="53"/>
      <c r="H44" s="53"/>
      <c r="I44" s="53"/>
      <c r="J44" s="53"/>
      <c r="K44" s="53"/>
      <c r="L44" s="54"/>
    </row>
  </sheetData>
  <mergeCells count="41">
    <mergeCell ref="D24:F24"/>
    <mergeCell ref="I24:J24"/>
    <mergeCell ref="J36:K36"/>
    <mergeCell ref="D25:F25"/>
    <mergeCell ref="I25:J25"/>
    <mergeCell ref="D26:F26"/>
    <mergeCell ref="I26:J26"/>
    <mergeCell ref="D27:F27"/>
    <mergeCell ref="I27:J27"/>
    <mergeCell ref="D28:F28"/>
    <mergeCell ref="I28:J28"/>
    <mergeCell ref="D30:F30"/>
    <mergeCell ref="J32:K32"/>
    <mergeCell ref="J34:K34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">
    <cfRule type="duplicateValues" dxfId="79" priority="3"/>
  </conditionalFormatting>
  <conditionalFormatting sqref="C20">
    <cfRule type="duplicateValues" dxfId="78" priority="4"/>
  </conditionalFormatting>
  <conditionalFormatting sqref="C21">
    <cfRule type="duplicateValues" dxfId="77" priority="5"/>
  </conditionalFormatting>
  <conditionalFormatting sqref="C22">
    <cfRule type="duplicateValues" dxfId="76" priority="2"/>
  </conditionalFormatting>
  <conditionalFormatting sqref="C19">
    <cfRule type="duplicateValues" dxfId="75" priority="6"/>
  </conditionalFormatting>
  <conditionalFormatting sqref="C25">
    <cfRule type="duplicateValues" dxfId="74" priority="7"/>
  </conditionalFormatting>
  <conditionalFormatting sqref="C23">
    <cfRule type="duplicateValues" dxfId="73" priority="1"/>
  </conditionalFormatting>
  <pageMargins left="0.70866141732283472" right="0.31496062992125984" top="0.59055118110236227" bottom="0" header="0.31496062992125984" footer="0.31496062992125984"/>
  <pageSetup paperSize="9" scale="76" orientation="portrait" horizontalDpi="300" verticalDpi="300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330234-B69C-488D-8020-C14B98C1D502}">
  <sheetPr codeName="Sheet32">
    <tabColor rgb="FF996600"/>
    <pageSetUpPr fitToPage="1"/>
  </sheetPr>
  <dimension ref="B1:V44"/>
  <sheetViews>
    <sheetView topLeftCell="B29" workbookViewId="0">
      <selection activeCell="J36" sqref="J36:K36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9" style="24" customWidth="1"/>
    <col min="7" max="7" width="8.54296875" style="24" customWidth="1"/>
    <col min="8" max="8" width="15.54296875" style="24" customWidth="1"/>
    <col min="9" max="9" width="2" style="24" customWidth="1"/>
    <col min="10" max="10" width="15.54296875" style="24" customWidth="1"/>
    <col min="11" max="11" width="10.54296875" style="24" customWidth="1"/>
    <col min="12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2062</v>
      </c>
      <c r="J10" s="29" t="s">
        <v>29</v>
      </c>
      <c r="K10" s="452">
        <v>202210024</v>
      </c>
      <c r="L10" s="453"/>
    </row>
    <row r="11" spans="2:12" ht="20.149999999999999" customHeight="1" x14ac:dyDescent="0.45">
      <c r="B11" s="454" t="s">
        <v>2050</v>
      </c>
      <c r="C11" s="455"/>
      <c r="D11" s="456"/>
      <c r="E11" s="30"/>
      <c r="F11" s="457" t="str">
        <f>VLOOKUP(H10,'Delivery Location'!A$4:N$416,2,0)</f>
        <v xml:space="preserve">FOOD REPUBLIC PTE LTD                                   Parkway Parade @Juice Bar                     80 Marine Parade Road #B1-85        Singapore 449269                            </v>
      </c>
      <c r="G11" s="458"/>
      <c r="H11" s="459"/>
      <c r="J11" s="31" t="s">
        <v>11</v>
      </c>
      <c r="K11" s="466">
        <v>44835</v>
      </c>
      <c r="L11" s="467"/>
    </row>
    <row r="12" spans="2:12" ht="20.149999999999999" customHeight="1" x14ac:dyDescent="0.45">
      <c r="B12" s="468" t="s">
        <v>2051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533</v>
      </c>
      <c r="L12" s="472"/>
    </row>
    <row r="13" spans="2:12" ht="20.149999999999999" customHeight="1" x14ac:dyDescent="0.45">
      <c r="B13" s="468" t="s">
        <v>2052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14</v>
      </c>
      <c r="L13" s="472"/>
    </row>
    <row r="14" spans="2:12" ht="20.149999999999999" customHeight="1" x14ac:dyDescent="0.45">
      <c r="B14" s="468" t="s">
        <v>2053</v>
      </c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463" t="s">
        <v>2026</v>
      </c>
      <c r="C15" s="464"/>
      <c r="D15" s="465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22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22" ht="20.149999999999999" customHeight="1" x14ac:dyDescent="0.45">
      <c r="B18" s="70"/>
      <c r="C18" s="22" t="s">
        <v>2242</v>
      </c>
      <c r="D18" s="508" t="str">
        <f>VLOOKUP(C18,'Sales Master'!B$3:D$499,2,)</f>
        <v>ROCK SUGAR SYRUP</v>
      </c>
      <c r="E18" s="508"/>
      <c r="F18" s="508"/>
      <c r="G18" s="90">
        <v>10</v>
      </c>
      <c r="H18" s="386" t="str">
        <f>VLOOKUP(C18,'Sales Master'!$B$3:$F$3179,5,0)</f>
        <v>5 KG</v>
      </c>
      <c r="I18" s="513" t="str">
        <f>VLOOKUP(C18,'Sales Master'!$B$3:$E$3179,4,0)</f>
        <v>DO!</v>
      </c>
      <c r="J18" s="513"/>
      <c r="K18" s="98">
        <f>VLOOKUP(C18,'Sales Master'!B$3:I$581,8,0)</f>
        <v>8.5</v>
      </c>
      <c r="L18" s="99">
        <f>K18*G18</f>
        <v>85</v>
      </c>
      <c r="N18" s="225">
        <f>VLOOKUP(C18,'Sales Master'!$B$3:$DA$3038,104,0)</f>
        <v>5.5</v>
      </c>
      <c r="O18" s="225">
        <f>K18-N18</f>
        <v>3</v>
      </c>
      <c r="P18" s="225">
        <f>O18*G18</f>
        <v>30</v>
      </c>
      <c r="R18" s="125">
        <v>1</v>
      </c>
      <c r="S18" s="125" t="s">
        <v>260</v>
      </c>
      <c r="T18" s="125" t="s">
        <v>709</v>
      </c>
      <c r="U18" s="125"/>
      <c r="V18" s="125">
        <v>32</v>
      </c>
    </row>
    <row r="19" spans="2:22" ht="20.149999999999999" customHeight="1" x14ac:dyDescent="0.45">
      <c r="B19" s="70"/>
      <c r="C19" s="22" t="s">
        <v>2044</v>
      </c>
      <c r="D19" s="508" t="str">
        <f>VLOOKUP(C19,'Sales Master'!B$3:D$499,2,)</f>
        <v xml:space="preserve">DRIED ROSELLE </v>
      </c>
      <c r="E19" s="508"/>
      <c r="F19" s="508"/>
      <c r="G19" s="90">
        <v>1</v>
      </c>
      <c r="H19" s="386" t="str">
        <f>VLOOKUP(C19,'Sales Master'!$B$3:$F$3179,5,0)</f>
        <v>1 KG</v>
      </c>
      <c r="I19" s="513" t="str">
        <f>VLOOKUP(C19,'Sales Master'!$B$3:$E$3179,4,0)</f>
        <v>China</v>
      </c>
      <c r="J19" s="513"/>
      <c r="K19" s="98">
        <f>VLOOKUP(C19,'Sales Master'!B$3:I$581,8,0)</f>
        <v>20</v>
      </c>
      <c r="L19" s="99">
        <f>K19*G19</f>
        <v>20</v>
      </c>
      <c r="N19" s="225">
        <f>VLOOKUP(C19,'Sales Master'!$B$3:$DA$3038,104,0)</f>
        <v>13.5</v>
      </c>
      <c r="O19" s="225">
        <f>K19-N19</f>
        <v>6.5</v>
      </c>
      <c r="P19" s="225">
        <f>O19*G19</f>
        <v>6.5</v>
      </c>
      <c r="R19" s="125"/>
      <c r="S19" s="125"/>
      <c r="T19" s="125"/>
      <c r="U19" s="125"/>
      <c r="V19" s="125"/>
    </row>
    <row r="20" spans="2:22" ht="20.149999999999999" customHeight="1" x14ac:dyDescent="0.45">
      <c r="B20" s="34"/>
      <c r="C20" s="22"/>
      <c r="D20" s="508"/>
      <c r="E20" s="508"/>
      <c r="F20" s="508"/>
      <c r="G20" s="90"/>
      <c r="H20" s="386"/>
      <c r="I20" s="550"/>
      <c r="J20" s="550"/>
      <c r="K20" s="98"/>
      <c r="L20" s="99"/>
      <c r="N20" s="225"/>
      <c r="O20" s="225"/>
      <c r="P20" s="225"/>
    </row>
    <row r="21" spans="2:22" ht="20.149999999999999" customHeight="1" x14ac:dyDescent="0.45">
      <c r="B21" s="34"/>
      <c r="C21" s="22"/>
      <c r="D21" s="508"/>
      <c r="E21" s="508"/>
      <c r="F21" s="508"/>
      <c r="G21" s="90"/>
      <c r="H21" s="68"/>
      <c r="I21" s="481"/>
      <c r="J21" s="481"/>
      <c r="K21" s="35"/>
      <c r="L21" s="36"/>
    </row>
    <row r="22" spans="2:22" ht="20.149999999999999" customHeight="1" x14ac:dyDescent="0.45">
      <c r="B22" s="34"/>
      <c r="C22" s="22"/>
      <c r="D22" s="508"/>
      <c r="E22" s="508"/>
      <c r="F22" s="508"/>
      <c r="G22" s="90"/>
      <c r="H22" s="68"/>
      <c r="I22" s="481"/>
      <c r="J22" s="481"/>
      <c r="K22" s="35"/>
      <c r="L22" s="36"/>
    </row>
    <row r="23" spans="2:22" ht="20.149999999999999" customHeight="1" x14ac:dyDescent="0.45">
      <c r="B23" s="34"/>
      <c r="C23" s="22"/>
      <c r="D23" s="508"/>
      <c r="E23" s="508"/>
      <c r="F23" s="508"/>
      <c r="G23" s="90"/>
      <c r="H23" s="68"/>
      <c r="I23" s="481"/>
      <c r="J23" s="481"/>
      <c r="K23" s="35"/>
      <c r="L23" s="36"/>
    </row>
    <row r="24" spans="2:22" ht="20.149999999999999" customHeight="1" x14ac:dyDescent="0.45">
      <c r="B24" s="34"/>
      <c r="C24" s="22"/>
      <c r="D24" s="508"/>
      <c r="E24" s="508"/>
      <c r="F24" s="508"/>
      <c r="G24" s="90"/>
      <c r="H24" s="68"/>
      <c r="I24" s="481"/>
      <c r="J24" s="481"/>
      <c r="K24" s="35"/>
      <c r="L24" s="36"/>
    </row>
    <row r="25" spans="2:22" ht="20.149999999999999" customHeight="1" x14ac:dyDescent="0.45">
      <c r="B25" s="34"/>
      <c r="C25" s="22"/>
      <c r="D25" s="508"/>
      <c r="E25" s="508"/>
      <c r="F25" s="508"/>
      <c r="G25" s="90"/>
      <c r="H25" s="68"/>
      <c r="I25" s="481"/>
      <c r="J25" s="481"/>
      <c r="K25" s="35"/>
      <c r="L25" s="36"/>
    </row>
    <row r="26" spans="2:22" ht="20.149999999999999" customHeight="1" x14ac:dyDescent="0.45">
      <c r="B26" s="34"/>
      <c r="C26" s="22"/>
      <c r="D26" s="508"/>
      <c r="E26" s="508"/>
      <c r="F26" s="508"/>
      <c r="G26" s="90"/>
      <c r="H26" s="68"/>
      <c r="I26" s="481"/>
      <c r="J26" s="481"/>
      <c r="K26" s="35"/>
      <c r="L26" s="36"/>
    </row>
    <row r="27" spans="2:22" ht="20.149999999999999" customHeight="1" x14ac:dyDescent="0.45">
      <c r="B27" s="34"/>
      <c r="C27" s="22"/>
      <c r="D27" s="508"/>
      <c r="E27" s="508"/>
      <c r="F27" s="508"/>
      <c r="G27" s="90"/>
      <c r="H27" s="68"/>
      <c r="I27" s="481"/>
      <c r="J27" s="481"/>
      <c r="K27" s="35"/>
      <c r="L27" s="36"/>
    </row>
    <row r="28" spans="2:22" ht="20.149999999999999" customHeight="1" x14ac:dyDescent="0.45">
      <c r="B28" s="34"/>
      <c r="C28" s="22"/>
      <c r="D28" s="508"/>
      <c r="E28" s="508"/>
      <c r="F28" s="508"/>
      <c r="G28" s="90"/>
      <c r="H28" s="68"/>
      <c r="I28" s="481"/>
      <c r="J28" s="481"/>
      <c r="K28" s="35"/>
      <c r="L28" s="36"/>
    </row>
    <row r="29" spans="2:22" ht="20.149999999999999" customHeight="1" x14ac:dyDescent="0.45">
      <c r="B29" s="34"/>
      <c r="C29" s="22"/>
      <c r="G29" s="90"/>
      <c r="H29" s="68"/>
      <c r="I29" s="68"/>
      <c r="J29" s="68"/>
      <c r="K29" s="35"/>
      <c r="L29" s="36"/>
    </row>
    <row r="30" spans="2:22" ht="20.149999999999999" customHeight="1" x14ac:dyDescent="0.45">
      <c r="B30" s="155"/>
      <c r="C30" s="156"/>
      <c r="D30" s="556"/>
      <c r="E30" s="556"/>
      <c r="F30" s="556"/>
      <c r="G30" s="156"/>
      <c r="H30" s="156"/>
      <c r="I30" s="189"/>
      <c r="J30" s="189"/>
      <c r="K30" s="163"/>
      <c r="L30" s="190"/>
    </row>
    <row r="31" spans="2:22" ht="20.149999999999999" customHeight="1" thickBot="1" x14ac:dyDescent="0.5">
      <c r="B31" s="41"/>
      <c r="L31" s="42"/>
    </row>
    <row r="32" spans="2:22" ht="20.149999999999999" customHeight="1" x14ac:dyDescent="0.45">
      <c r="B32" s="11" t="s">
        <v>18</v>
      </c>
      <c r="C32" s="7"/>
      <c r="D32" s="7"/>
      <c r="E32" s="7"/>
      <c r="F32" s="7"/>
      <c r="G32" s="7"/>
      <c r="H32" s="7"/>
      <c r="I32" s="7"/>
      <c r="J32" s="510" t="s">
        <v>15</v>
      </c>
      <c r="K32" s="511"/>
      <c r="L32" s="43">
        <f>SUM(L18:L31)</f>
        <v>105</v>
      </c>
      <c r="M32" s="76">
        <f>SUM(P18:P30)</f>
        <v>36.5</v>
      </c>
      <c r="N32" s="201">
        <f>M32/L32</f>
        <v>0.34761904761904761</v>
      </c>
    </row>
    <row r="33" spans="2:12" ht="20.149999999999999" customHeight="1" x14ac:dyDescent="0.45">
      <c r="B33" s="11" t="s">
        <v>19</v>
      </c>
      <c r="C33" s="7"/>
      <c r="D33" s="7"/>
      <c r="E33" s="7"/>
      <c r="F33" s="7"/>
      <c r="G33" s="7"/>
      <c r="H33" s="7"/>
      <c r="I33" s="7"/>
      <c r="J33" s="44" t="s">
        <v>22</v>
      </c>
      <c r="K33" s="45"/>
      <c r="L33" s="46">
        <f>L32*K33</f>
        <v>0</v>
      </c>
    </row>
    <row r="34" spans="2:12" ht="20.149999999999999" customHeight="1" x14ac:dyDescent="0.45">
      <c r="B34" s="11" t="s">
        <v>20</v>
      </c>
      <c r="C34" s="7"/>
      <c r="D34" s="7"/>
      <c r="E34" s="7"/>
      <c r="F34" s="7"/>
      <c r="G34" s="7"/>
      <c r="H34" s="7"/>
      <c r="I34" s="7"/>
      <c r="J34" s="486" t="s">
        <v>21</v>
      </c>
      <c r="K34" s="487"/>
      <c r="L34" s="46">
        <f>L32-L33</f>
        <v>105</v>
      </c>
    </row>
    <row r="35" spans="2:12" ht="20.149999999999999" customHeight="1" x14ac:dyDescent="0.45">
      <c r="B35" s="11" t="s">
        <v>24</v>
      </c>
      <c r="C35" s="7"/>
      <c r="D35" s="7"/>
      <c r="E35" s="7"/>
      <c r="F35" s="7"/>
      <c r="G35" s="7"/>
      <c r="H35" s="7"/>
      <c r="I35" s="7"/>
      <c r="J35" s="150" t="s">
        <v>17</v>
      </c>
      <c r="K35" s="151">
        <v>7.0000000000000007E-2</v>
      </c>
      <c r="L35" s="47">
        <f>L34*K35</f>
        <v>7.3500000000000005</v>
      </c>
    </row>
    <row r="36" spans="2:12" ht="20.149999999999999" customHeight="1" thickBot="1" x14ac:dyDescent="0.5">
      <c r="B36" s="11" t="s">
        <v>1400</v>
      </c>
      <c r="C36" s="7"/>
      <c r="D36" s="7"/>
      <c r="E36" s="7"/>
      <c r="F36" s="7"/>
      <c r="G36" s="7"/>
      <c r="H36" s="7"/>
      <c r="I36" s="7"/>
      <c r="J36" s="488" t="s">
        <v>23</v>
      </c>
      <c r="K36" s="489"/>
      <c r="L36" s="48">
        <f>L34+L35</f>
        <v>112.35</v>
      </c>
    </row>
    <row r="37" spans="2:12" ht="20.149999999999999" customHeight="1" x14ac:dyDescent="0.45">
      <c r="B37" s="11" t="s">
        <v>26</v>
      </c>
      <c r="C37" s="7"/>
      <c r="D37" s="7"/>
      <c r="E37" s="7"/>
      <c r="F37" s="7"/>
      <c r="G37" s="7"/>
      <c r="H37" s="7"/>
      <c r="I37" s="7"/>
      <c r="L37" s="42"/>
    </row>
    <row r="38" spans="2:12" ht="20.149999999999999" customHeight="1" x14ac:dyDescent="0.45">
      <c r="B38" s="224" t="s">
        <v>1379</v>
      </c>
      <c r="L38" s="42"/>
    </row>
    <row r="39" spans="2:12" ht="20.149999999999999" customHeight="1" x14ac:dyDescent="0.45">
      <c r="B39" s="41"/>
      <c r="L39" s="42"/>
    </row>
    <row r="40" spans="2:12" ht="20.149999999999999" customHeight="1" x14ac:dyDescent="0.45">
      <c r="B40" s="41"/>
      <c r="L40" s="42"/>
    </row>
    <row r="41" spans="2:12" ht="20.149999999999999" customHeight="1" x14ac:dyDescent="0.45">
      <c r="B41" s="41"/>
      <c r="L41" s="42"/>
    </row>
    <row r="42" spans="2:12" ht="20.149999999999999" customHeight="1" x14ac:dyDescent="0.45">
      <c r="B42" s="49"/>
      <c r="C42" s="50"/>
      <c r="D42" s="50"/>
      <c r="J42" s="50"/>
      <c r="K42" s="50"/>
      <c r="L42" s="51"/>
    </row>
    <row r="43" spans="2:12" ht="20.149999999999999" customHeight="1" x14ac:dyDescent="0.45">
      <c r="B43" s="41" t="s">
        <v>27</v>
      </c>
      <c r="J43" s="24" t="s">
        <v>28</v>
      </c>
      <c r="L43" s="42"/>
    </row>
    <row r="44" spans="2:12" ht="19" thickBot="1" x14ac:dyDescent="0.5">
      <c r="B44" s="52"/>
      <c r="C44" s="53"/>
      <c r="D44" s="53"/>
      <c r="E44" s="53"/>
      <c r="F44" s="53"/>
      <c r="G44" s="53"/>
      <c r="H44" s="53"/>
      <c r="I44" s="53"/>
      <c r="J44" s="53"/>
      <c r="K44" s="53"/>
      <c r="L44" s="54"/>
    </row>
  </sheetData>
  <mergeCells count="41">
    <mergeCell ref="D24:F24"/>
    <mergeCell ref="I24:J24"/>
    <mergeCell ref="J36:K36"/>
    <mergeCell ref="D25:F25"/>
    <mergeCell ref="I25:J25"/>
    <mergeCell ref="D26:F26"/>
    <mergeCell ref="I26:J26"/>
    <mergeCell ref="D27:F27"/>
    <mergeCell ref="I27:J27"/>
    <mergeCell ref="D28:F28"/>
    <mergeCell ref="I28:J28"/>
    <mergeCell ref="D30:F30"/>
    <mergeCell ref="J32:K32"/>
    <mergeCell ref="J34:K34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20">
    <cfRule type="duplicateValues" dxfId="72" priority="6"/>
  </conditionalFormatting>
  <conditionalFormatting sqref="C21">
    <cfRule type="duplicateValues" dxfId="71" priority="7"/>
  </conditionalFormatting>
  <conditionalFormatting sqref="C22">
    <cfRule type="duplicateValues" dxfId="70" priority="4"/>
  </conditionalFormatting>
  <conditionalFormatting sqref="C25">
    <cfRule type="duplicateValues" dxfId="69" priority="9"/>
  </conditionalFormatting>
  <conditionalFormatting sqref="C23">
    <cfRule type="duplicateValues" dxfId="68" priority="3"/>
  </conditionalFormatting>
  <conditionalFormatting sqref="C19">
    <cfRule type="duplicateValues" dxfId="67" priority="2"/>
  </conditionalFormatting>
  <conditionalFormatting sqref="C18">
    <cfRule type="duplicateValues" dxfId="66" priority="1"/>
  </conditionalFormatting>
  <pageMargins left="0.70866141732283472" right="0.31496062992125984" top="0.59055118110236227" bottom="0" header="0.31496062992125984" footer="0.31496062992125984"/>
  <pageSetup paperSize="9" scale="76" orientation="portrait" horizontalDpi="300" verticalDpi="300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D555C5-B5FE-4737-92EA-E8611830920C}">
  <sheetPr codeName="Sheet33">
    <tabColor rgb="FF996600"/>
    <pageSetUpPr fitToPage="1"/>
  </sheetPr>
  <dimension ref="B1:V42"/>
  <sheetViews>
    <sheetView topLeftCell="B24" workbookViewId="0">
      <selection activeCell="I35" sqref="I35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9" style="24" customWidth="1"/>
    <col min="7" max="7" width="8.54296875" style="24" customWidth="1"/>
    <col min="8" max="8" width="15.54296875" style="24" customWidth="1"/>
    <col min="9" max="9" width="2" style="24" customWidth="1"/>
    <col min="10" max="10" width="15.54296875" style="24" customWidth="1"/>
    <col min="11" max="11" width="10.54296875" style="24" customWidth="1"/>
    <col min="12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2066</v>
      </c>
      <c r="J10" s="29" t="s">
        <v>29</v>
      </c>
      <c r="K10" s="452">
        <v>202210044</v>
      </c>
      <c r="L10" s="453"/>
    </row>
    <row r="11" spans="2:12" ht="20.149999999999999" customHeight="1" x14ac:dyDescent="0.45">
      <c r="B11" s="454" t="s">
        <v>2050</v>
      </c>
      <c r="C11" s="455"/>
      <c r="D11" s="456"/>
      <c r="E11" s="30"/>
      <c r="F11" s="457" t="str">
        <f>VLOOKUP(H10,'Delivery Location'!A$4:N$416,2,0)</f>
        <v xml:space="preserve">FOOD REPUBLIC PTE LTD                                   Suntec City@Juice Bar                                            3, Temasek Boulevard #B1-115             Suntec City Mall Singapore 038983                          </v>
      </c>
      <c r="G11" s="458"/>
      <c r="H11" s="459"/>
      <c r="J11" s="31" t="s">
        <v>11</v>
      </c>
      <c r="K11" s="466">
        <v>44837</v>
      </c>
      <c r="L11" s="467"/>
    </row>
    <row r="12" spans="2:12" ht="20.149999999999999" customHeight="1" x14ac:dyDescent="0.45">
      <c r="B12" s="468" t="s">
        <v>2051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533</v>
      </c>
      <c r="L12" s="472"/>
    </row>
    <row r="13" spans="2:12" ht="20.149999999999999" customHeight="1" x14ac:dyDescent="0.45">
      <c r="B13" s="468" t="s">
        <v>2052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14</v>
      </c>
      <c r="L13" s="472"/>
    </row>
    <row r="14" spans="2:12" ht="20.149999999999999" customHeight="1" x14ac:dyDescent="0.45">
      <c r="B14" s="468" t="s">
        <v>2053</v>
      </c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463" t="s">
        <v>2026</v>
      </c>
      <c r="C15" s="464"/>
      <c r="D15" s="465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22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22" ht="20.149999999999999" customHeight="1" x14ac:dyDescent="0.45">
      <c r="B18" s="70"/>
      <c r="C18" s="22" t="s">
        <v>2242</v>
      </c>
      <c r="D18" s="508" t="str">
        <f>VLOOKUP(C18,'Sales Master'!B$3:D$499,2,)</f>
        <v>ROCK SUGAR SYRUP</v>
      </c>
      <c r="E18" s="508"/>
      <c r="F18" s="508"/>
      <c r="G18" s="90">
        <v>10</v>
      </c>
      <c r="H18" s="386" t="str">
        <f>VLOOKUP(C18,'Sales Master'!$B$3:$F$3179,5,0)</f>
        <v>5 KG</v>
      </c>
      <c r="I18" s="513" t="str">
        <f>VLOOKUP(C18,'Sales Master'!$B$3:$E$3179,4,0)</f>
        <v>DO!</v>
      </c>
      <c r="J18" s="513"/>
      <c r="K18" s="98">
        <f>VLOOKUP(C18,'Sales Master'!B$3:I$581,8,0)</f>
        <v>8.5</v>
      </c>
      <c r="L18" s="99">
        <f>K18*G18</f>
        <v>85</v>
      </c>
      <c r="N18" s="225">
        <f>VLOOKUP(C18,'Sales Master'!$B$3:$DA$3038,104,0)</f>
        <v>5.5</v>
      </c>
      <c r="O18" s="225">
        <f>K18-N18</f>
        <v>3</v>
      </c>
      <c r="P18" s="225">
        <f>O18*G18</f>
        <v>30</v>
      </c>
      <c r="Q18" s="354"/>
      <c r="R18" s="125">
        <v>1</v>
      </c>
      <c r="S18" s="125" t="s">
        <v>260</v>
      </c>
      <c r="T18" s="125" t="s">
        <v>709</v>
      </c>
      <c r="U18" s="125"/>
      <c r="V18" s="125">
        <v>32</v>
      </c>
    </row>
    <row r="19" spans="2:22" ht="20.149999999999999" customHeight="1" x14ac:dyDescent="0.45">
      <c r="B19" s="70"/>
      <c r="C19" s="22" t="s">
        <v>2044</v>
      </c>
      <c r="D19" s="508" t="str">
        <f>VLOOKUP(C19,'Sales Master'!B$3:D$499,2,)</f>
        <v xml:space="preserve">DRIED ROSELLE </v>
      </c>
      <c r="E19" s="508"/>
      <c r="F19" s="508"/>
      <c r="G19" s="90">
        <v>2</v>
      </c>
      <c r="H19" s="386" t="str">
        <f>VLOOKUP(C19,'Sales Master'!$B$3:$F$3179,5,0)</f>
        <v>1 KG</v>
      </c>
      <c r="I19" s="513" t="str">
        <f>VLOOKUP(C19,'Sales Master'!$B$3:$E$3179,4,0)</f>
        <v>China</v>
      </c>
      <c r="J19" s="513"/>
      <c r="K19" s="98">
        <f>VLOOKUP(C19,'Sales Master'!B$3:I$581,8,0)</f>
        <v>20</v>
      </c>
      <c r="L19" s="99">
        <f>K19*G19</f>
        <v>40</v>
      </c>
      <c r="N19" s="225">
        <f>VLOOKUP(C19,'Sales Master'!$B$3:$DA$3038,104,0)</f>
        <v>13.5</v>
      </c>
      <c r="O19" s="225">
        <f>K19-N19</f>
        <v>6.5</v>
      </c>
      <c r="P19" s="225">
        <f>O19*G19</f>
        <v>13</v>
      </c>
      <c r="Q19" s="354"/>
      <c r="R19" s="125"/>
      <c r="S19" s="125"/>
      <c r="T19" s="125"/>
      <c r="U19" s="125"/>
      <c r="V19" s="125"/>
    </row>
    <row r="20" spans="2:22" ht="20.149999999999999" customHeight="1" x14ac:dyDescent="0.45">
      <c r="B20" s="34"/>
      <c r="C20" s="22"/>
      <c r="D20" s="508"/>
      <c r="E20" s="508"/>
      <c r="F20" s="508"/>
      <c r="G20" s="90"/>
      <c r="H20" s="68"/>
      <c r="I20" s="481"/>
      <c r="J20" s="481"/>
      <c r="K20" s="35"/>
      <c r="L20" s="36"/>
    </row>
    <row r="21" spans="2:22" ht="20.149999999999999" customHeight="1" x14ac:dyDescent="0.45">
      <c r="B21" s="34"/>
      <c r="C21" s="22"/>
      <c r="D21" s="508"/>
      <c r="E21" s="508"/>
      <c r="F21" s="508"/>
      <c r="G21" s="90"/>
      <c r="H21" s="68"/>
      <c r="I21" s="481"/>
      <c r="J21" s="481"/>
      <c r="K21" s="35"/>
      <c r="L21" s="36"/>
    </row>
    <row r="22" spans="2:22" ht="20.149999999999999" customHeight="1" x14ac:dyDescent="0.45">
      <c r="B22" s="34"/>
      <c r="C22" s="22"/>
      <c r="D22" s="508"/>
      <c r="E22" s="508"/>
      <c r="F22" s="508"/>
      <c r="G22" s="90"/>
      <c r="H22" s="68"/>
      <c r="I22" s="481"/>
      <c r="J22" s="481"/>
      <c r="K22" s="35"/>
      <c r="L22" s="36"/>
    </row>
    <row r="23" spans="2:22" ht="20.149999999999999" customHeight="1" x14ac:dyDescent="0.45">
      <c r="B23" s="34"/>
      <c r="C23" s="22"/>
      <c r="D23" s="508"/>
      <c r="E23" s="508"/>
      <c r="F23" s="508"/>
      <c r="G23" s="90"/>
      <c r="H23" s="68"/>
      <c r="I23" s="481"/>
      <c r="J23" s="481"/>
      <c r="K23" s="35"/>
      <c r="L23" s="36"/>
    </row>
    <row r="24" spans="2:22" ht="20.149999999999999" customHeight="1" x14ac:dyDescent="0.45">
      <c r="B24" s="34"/>
      <c r="C24" s="22"/>
      <c r="D24" s="508"/>
      <c r="E24" s="508"/>
      <c r="F24" s="508"/>
      <c r="G24" s="90"/>
      <c r="H24" s="68"/>
      <c r="I24" s="481"/>
      <c r="J24" s="481"/>
      <c r="K24" s="35"/>
      <c r="L24" s="36"/>
    </row>
    <row r="25" spans="2:22" ht="20.149999999999999" customHeight="1" x14ac:dyDescent="0.45">
      <c r="B25" s="34"/>
      <c r="C25" s="22"/>
      <c r="D25" s="508"/>
      <c r="E25" s="508"/>
      <c r="F25" s="508"/>
      <c r="G25" s="90"/>
      <c r="H25" s="68"/>
      <c r="I25" s="481"/>
      <c r="J25" s="481"/>
      <c r="K25" s="35"/>
      <c r="L25" s="36"/>
    </row>
    <row r="26" spans="2:22" ht="20.149999999999999" customHeight="1" x14ac:dyDescent="0.45">
      <c r="B26" s="34"/>
      <c r="C26" s="22"/>
      <c r="D26" s="508"/>
      <c r="E26" s="508"/>
      <c r="F26" s="508"/>
      <c r="G26" s="90"/>
      <c r="H26" s="68"/>
      <c r="I26" s="481"/>
      <c r="J26" s="481"/>
      <c r="K26" s="35"/>
      <c r="L26" s="36"/>
    </row>
    <row r="27" spans="2:22" ht="20.149999999999999" customHeight="1" x14ac:dyDescent="0.45">
      <c r="B27" s="34"/>
      <c r="C27" s="22"/>
      <c r="G27" s="90"/>
      <c r="H27" s="68"/>
      <c r="I27" s="68"/>
      <c r="J27" s="68"/>
      <c r="K27" s="35"/>
      <c r="L27" s="36"/>
    </row>
    <row r="28" spans="2:22" ht="20.149999999999999" customHeight="1" x14ac:dyDescent="0.45">
      <c r="B28" s="155"/>
      <c r="C28" s="156"/>
      <c r="D28" s="556"/>
      <c r="E28" s="556"/>
      <c r="F28" s="556"/>
      <c r="G28" s="156"/>
      <c r="H28" s="156"/>
      <c r="I28" s="189"/>
      <c r="J28" s="189"/>
      <c r="K28" s="163"/>
      <c r="L28" s="190"/>
    </row>
    <row r="29" spans="2:22" ht="20.149999999999999" customHeight="1" thickBot="1" x14ac:dyDescent="0.5">
      <c r="B29" s="41"/>
      <c r="L29" s="42"/>
    </row>
    <row r="30" spans="2:22" ht="20.149999999999999" customHeight="1" x14ac:dyDescent="0.45">
      <c r="B30" s="11" t="s">
        <v>18</v>
      </c>
      <c r="C30" s="7"/>
      <c r="D30" s="7"/>
      <c r="E30" s="7"/>
      <c r="F30" s="7"/>
      <c r="G30" s="7"/>
      <c r="H30" s="7"/>
      <c r="I30" s="7"/>
      <c r="J30" s="510" t="s">
        <v>15</v>
      </c>
      <c r="K30" s="511"/>
      <c r="L30" s="43">
        <f>SUM(L18:L29)</f>
        <v>125</v>
      </c>
      <c r="M30" s="76">
        <f>SUM(P18:P19)</f>
        <v>43</v>
      </c>
      <c r="N30" s="201">
        <f>M30/L30</f>
        <v>0.34399999999999997</v>
      </c>
    </row>
    <row r="31" spans="2:22" ht="20.149999999999999" customHeight="1" x14ac:dyDescent="0.45">
      <c r="B31" s="11" t="s">
        <v>19</v>
      </c>
      <c r="C31" s="7"/>
      <c r="D31" s="7"/>
      <c r="E31" s="7"/>
      <c r="F31" s="7"/>
      <c r="G31" s="7"/>
      <c r="H31" s="7"/>
      <c r="I31" s="7"/>
      <c r="J31" s="44" t="s">
        <v>22</v>
      </c>
      <c r="K31" s="45"/>
      <c r="L31" s="46">
        <f>L30*K31</f>
        <v>0</v>
      </c>
    </row>
    <row r="32" spans="2:22" ht="20.149999999999999" customHeight="1" x14ac:dyDescent="0.45">
      <c r="B32" s="11" t="s">
        <v>20</v>
      </c>
      <c r="C32" s="7"/>
      <c r="D32" s="7"/>
      <c r="E32" s="7"/>
      <c r="F32" s="7"/>
      <c r="G32" s="7"/>
      <c r="H32" s="7"/>
      <c r="I32" s="7"/>
      <c r="J32" s="486" t="s">
        <v>21</v>
      </c>
      <c r="K32" s="487"/>
      <c r="L32" s="46">
        <f>L30-L31</f>
        <v>125</v>
      </c>
    </row>
    <row r="33" spans="2:12" ht="20.149999999999999" customHeight="1" x14ac:dyDescent="0.45">
      <c r="B33" s="11" t="s">
        <v>24</v>
      </c>
      <c r="C33" s="7"/>
      <c r="D33" s="7"/>
      <c r="E33" s="7"/>
      <c r="F33" s="7"/>
      <c r="G33" s="7"/>
      <c r="H33" s="7"/>
      <c r="I33" s="7"/>
      <c r="J33" s="150" t="s">
        <v>17</v>
      </c>
      <c r="K33" s="151">
        <v>7.0000000000000007E-2</v>
      </c>
      <c r="L33" s="47">
        <f>L32*K33</f>
        <v>8.75</v>
      </c>
    </row>
    <row r="34" spans="2:12" ht="20.149999999999999" customHeight="1" thickBot="1" x14ac:dyDescent="0.5">
      <c r="B34" s="11" t="s">
        <v>1400</v>
      </c>
      <c r="C34" s="7"/>
      <c r="D34" s="7"/>
      <c r="E34" s="7"/>
      <c r="F34" s="7"/>
      <c r="G34" s="7"/>
      <c r="H34" s="7"/>
      <c r="I34" s="7"/>
      <c r="J34" s="488" t="s">
        <v>23</v>
      </c>
      <c r="K34" s="489"/>
      <c r="L34" s="48">
        <f>L32+L33</f>
        <v>133.75</v>
      </c>
    </row>
    <row r="35" spans="2:12" ht="20.149999999999999" customHeight="1" x14ac:dyDescent="0.45">
      <c r="B35" s="11" t="s">
        <v>26</v>
      </c>
      <c r="C35" s="7"/>
      <c r="D35" s="7"/>
      <c r="E35" s="7"/>
      <c r="F35" s="7"/>
      <c r="G35" s="7"/>
      <c r="H35" s="7"/>
      <c r="I35" s="7"/>
      <c r="L35" s="42"/>
    </row>
    <row r="36" spans="2:12" ht="20.149999999999999" customHeight="1" x14ac:dyDescent="0.45">
      <c r="B36" s="224" t="s">
        <v>1379</v>
      </c>
      <c r="L36" s="42"/>
    </row>
    <row r="37" spans="2:12" ht="20.149999999999999" customHeight="1" x14ac:dyDescent="0.45">
      <c r="B37" s="41"/>
      <c r="L37" s="42"/>
    </row>
    <row r="38" spans="2:12" ht="20.149999999999999" customHeight="1" x14ac:dyDescent="0.45">
      <c r="B38" s="41"/>
      <c r="L38" s="42"/>
    </row>
    <row r="39" spans="2:12" ht="20.149999999999999" customHeight="1" x14ac:dyDescent="0.45">
      <c r="B39" s="41"/>
      <c r="L39" s="42"/>
    </row>
    <row r="40" spans="2:12" ht="20.149999999999999" customHeight="1" x14ac:dyDescent="0.45">
      <c r="B40" s="49"/>
      <c r="C40" s="50"/>
      <c r="D40" s="50"/>
      <c r="J40" s="50"/>
      <c r="K40" s="50"/>
      <c r="L40" s="51"/>
    </row>
    <row r="41" spans="2:12" ht="20.149999999999999" customHeight="1" x14ac:dyDescent="0.45">
      <c r="B41" s="41" t="s">
        <v>27</v>
      </c>
      <c r="J41" s="24" t="s">
        <v>28</v>
      </c>
      <c r="L41" s="42"/>
    </row>
    <row r="42" spans="2:12" ht="19" thickBot="1" x14ac:dyDescent="0.5">
      <c r="B42" s="52"/>
      <c r="C42" s="53"/>
      <c r="D42" s="53"/>
      <c r="E42" s="53"/>
      <c r="F42" s="53"/>
      <c r="G42" s="53"/>
      <c r="H42" s="53"/>
      <c r="I42" s="53"/>
      <c r="J42" s="53"/>
      <c r="K42" s="53"/>
      <c r="L42" s="54"/>
    </row>
  </sheetData>
  <mergeCells count="37">
    <mergeCell ref="D22:F22"/>
    <mergeCell ref="I22:J22"/>
    <mergeCell ref="J34:K34"/>
    <mergeCell ref="D23:F23"/>
    <mergeCell ref="I23:J23"/>
    <mergeCell ref="D24:F24"/>
    <mergeCell ref="I24:J24"/>
    <mergeCell ref="D25:F25"/>
    <mergeCell ref="I25:J25"/>
    <mergeCell ref="D26:F26"/>
    <mergeCell ref="I26:J26"/>
    <mergeCell ref="D28:F28"/>
    <mergeCell ref="J30:K30"/>
    <mergeCell ref="J32:K32"/>
    <mergeCell ref="D21:F21"/>
    <mergeCell ref="I21:J21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">
    <cfRule type="duplicateValues" dxfId="65" priority="4"/>
  </conditionalFormatting>
  <conditionalFormatting sqref="C20">
    <cfRule type="duplicateValues" dxfId="64" priority="5"/>
  </conditionalFormatting>
  <conditionalFormatting sqref="C23">
    <cfRule type="duplicateValues" dxfId="63" priority="8"/>
  </conditionalFormatting>
  <conditionalFormatting sqref="C21">
    <cfRule type="duplicateValues" dxfId="62" priority="2"/>
  </conditionalFormatting>
  <conditionalFormatting sqref="C19">
    <cfRule type="duplicateValues" dxfId="61" priority="1"/>
  </conditionalFormatting>
  <pageMargins left="0.70866141732283472" right="0.31496062992125984" top="0.59055118110236227" bottom="0" header="0.31496062992125984" footer="0.31496062992125984"/>
  <pageSetup paperSize="9" scale="76" orientation="portrait" horizontalDpi="300" verticalDpi="300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C14F78-CE83-4CC4-A42D-F4EC421075BC}">
  <sheetPr codeName="Sheet34">
    <tabColor rgb="FFFFC000"/>
    <pageSetUpPr fitToPage="1"/>
  </sheetPr>
  <dimension ref="B1:V42"/>
  <sheetViews>
    <sheetView workbookViewId="0">
      <selection activeCell="B1" sqref="B1:L42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9" style="24" customWidth="1"/>
    <col min="7" max="7" width="8.54296875" style="24" customWidth="1"/>
    <col min="8" max="8" width="15.54296875" style="24" customWidth="1"/>
    <col min="9" max="9" width="2" style="24" customWidth="1"/>
    <col min="10" max="10" width="15.54296875" style="24" customWidth="1"/>
    <col min="11" max="11" width="10.54296875" style="24" customWidth="1"/>
    <col min="12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1990</v>
      </c>
      <c r="J10" s="29" t="s">
        <v>29</v>
      </c>
      <c r="K10" s="452">
        <v>202210002</v>
      </c>
      <c r="L10" s="453"/>
    </row>
    <row r="11" spans="2:12" ht="20.149999999999999" customHeight="1" x14ac:dyDescent="0.45">
      <c r="B11" s="454" t="s">
        <v>2037</v>
      </c>
      <c r="C11" s="455"/>
      <c r="D11" s="456"/>
      <c r="E11" s="30"/>
      <c r="F11" s="457" t="str">
        <f>VLOOKUP(H10,'Delivery Location'!A$4:N$416,2,0)</f>
        <v xml:space="preserve">Koufu - DIM SUM                                          Block 168 Punggol Field #01-01      Punggol Plaza Singapore 820168               </v>
      </c>
      <c r="G11" s="458"/>
      <c r="H11" s="459"/>
      <c r="J11" s="31" t="s">
        <v>11</v>
      </c>
      <c r="K11" s="466">
        <v>44835</v>
      </c>
      <c r="L11" s="467"/>
    </row>
    <row r="12" spans="2:12" ht="20.149999999999999" customHeight="1" x14ac:dyDescent="0.45">
      <c r="B12" s="468" t="s">
        <v>2139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533</v>
      </c>
      <c r="L12" s="472"/>
    </row>
    <row r="13" spans="2:12" ht="20.149999999999999" customHeight="1" x14ac:dyDescent="0.45">
      <c r="B13" s="468" t="s">
        <v>2024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14</v>
      </c>
      <c r="L13" s="472"/>
    </row>
    <row r="14" spans="2:12" ht="20.149999999999999" customHeight="1" x14ac:dyDescent="0.45">
      <c r="B14" s="468" t="s">
        <v>2025</v>
      </c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463" t="s">
        <v>2026</v>
      </c>
      <c r="C15" s="464"/>
      <c r="D15" s="465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22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22" ht="20.149999999999999" customHeight="1" x14ac:dyDescent="0.45">
      <c r="B18" s="34"/>
      <c r="C18" s="22" t="s">
        <v>1789</v>
      </c>
      <c r="D18" s="508" t="str">
        <f>VLOOKUP(C18,'Sales Master'!B$3:D$499,2,)</f>
        <v>Sweet Potato 番薯</v>
      </c>
      <c r="E18" s="508"/>
      <c r="F18" s="508"/>
      <c r="G18" s="90">
        <v>20</v>
      </c>
      <c r="H18" s="389" t="str">
        <f>VLOOKUP(C18,'Sales Master'!$B$3:$F$3247,5,0)</f>
        <v>1 KG</v>
      </c>
      <c r="I18" s="482" t="str">
        <f>VLOOKUP(C18,'Sales Master'!$B$3:$E$3247,4,0)</f>
        <v>Malaysia</v>
      </c>
      <c r="J18" s="482"/>
      <c r="K18" s="35">
        <f>VLOOKUP(C18,'Sales Master'!$B$3:$AU$583,46,0)</f>
        <v>2.5</v>
      </c>
      <c r="L18" s="36">
        <f>K18*G18</f>
        <v>50</v>
      </c>
      <c r="N18" s="225">
        <f>VLOOKUP(C18,'Sales Master'!$B$3:$DA$3038,104,0)</f>
        <v>1.8666666666666665</v>
      </c>
      <c r="O18" s="225">
        <f>K18-N18</f>
        <v>0.63333333333333353</v>
      </c>
      <c r="P18" s="225">
        <f>O18*G18</f>
        <v>12.666666666666671</v>
      </c>
      <c r="Q18" s="354"/>
      <c r="R18" s="125">
        <v>1</v>
      </c>
      <c r="S18" s="125" t="s">
        <v>260</v>
      </c>
      <c r="T18" s="125" t="s">
        <v>709</v>
      </c>
      <c r="U18" s="125"/>
      <c r="V18" s="125">
        <v>32</v>
      </c>
    </row>
    <row r="19" spans="2:22" ht="20.149999999999999" customHeight="1" x14ac:dyDescent="0.45">
      <c r="B19" s="34"/>
      <c r="C19" s="22"/>
      <c r="D19" s="508"/>
      <c r="E19" s="508"/>
      <c r="F19" s="508"/>
      <c r="G19" s="90"/>
      <c r="H19" s="68"/>
      <c r="I19" s="481"/>
      <c r="J19" s="481"/>
      <c r="K19" s="35"/>
      <c r="L19" s="36"/>
      <c r="N19" s="225"/>
      <c r="O19" s="225"/>
      <c r="P19" s="225"/>
      <c r="Q19" s="125"/>
      <c r="R19" s="125"/>
      <c r="S19" s="125"/>
      <c r="T19" s="125"/>
      <c r="U19" s="125"/>
      <c r="V19" s="125"/>
    </row>
    <row r="20" spans="2:22" ht="20.149999999999999" customHeight="1" x14ac:dyDescent="0.45">
      <c r="B20" s="34"/>
      <c r="C20" s="22"/>
      <c r="D20" s="508"/>
      <c r="E20" s="508"/>
      <c r="F20" s="508"/>
      <c r="G20" s="90"/>
      <c r="H20" s="68"/>
      <c r="I20" s="481"/>
      <c r="J20" s="481"/>
      <c r="K20" s="35"/>
      <c r="L20" s="36"/>
    </row>
    <row r="21" spans="2:22" ht="20.149999999999999" customHeight="1" x14ac:dyDescent="0.45">
      <c r="B21" s="34"/>
      <c r="C21" s="22"/>
      <c r="D21" s="508"/>
      <c r="E21" s="508"/>
      <c r="F21" s="508"/>
      <c r="G21" s="90"/>
      <c r="H21" s="68"/>
      <c r="I21" s="481"/>
      <c r="J21" s="481"/>
      <c r="K21" s="35"/>
      <c r="L21" s="36"/>
    </row>
    <row r="22" spans="2:22" ht="20.149999999999999" customHeight="1" x14ac:dyDescent="0.45">
      <c r="B22" s="34"/>
      <c r="C22" s="22"/>
      <c r="D22" s="508"/>
      <c r="E22" s="508"/>
      <c r="F22" s="508"/>
      <c r="G22" s="90"/>
      <c r="H22" s="68"/>
      <c r="I22" s="481"/>
      <c r="J22" s="481"/>
      <c r="K22" s="35"/>
      <c r="L22" s="36"/>
    </row>
    <row r="23" spans="2:22" ht="20.149999999999999" customHeight="1" x14ac:dyDescent="0.45">
      <c r="B23" s="34"/>
      <c r="C23" s="22"/>
      <c r="D23" s="508"/>
      <c r="E23" s="508"/>
      <c r="F23" s="508"/>
      <c r="G23" s="90"/>
      <c r="H23" s="68"/>
      <c r="I23" s="481"/>
      <c r="J23" s="481"/>
      <c r="K23" s="35"/>
      <c r="L23" s="36"/>
    </row>
    <row r="24" spans="2:22" ht="20.149999999999999" customHeight="1" x14ac:dyDescent="0.45">
      <c r="B24" s="34"/>
      <c r="C24" s="22"/>
      <c r="D24" s="508"/>
      <c r="E24" s="508"/>
      <c r="F24" s="508"/>
      <c r="G24" s="90"/>
      <c r="H24" s="68"/>
      <c r="I24" s="481"/>
      <c r="J24" s="481"/>
      <c r="K24" s="35"/>
      <c r="L24" s="36"/>
    </row>
    <row r="25" spans="2:22" ht="20.149999999999999" customHeight="1" x14ac:dyDescent="0.45">
      <c r="B25" s="34"/>
      <c r="C25" s="22"/>
      <c r="D25" s="508"/>
      <c r="E25" s="508"/>
      <c r="F25" s="508"/>
      <c r="G25" s="90"/>
      <c r="H25" s="68"/>
      <c r="I25" s="481"/>
      <c r="J25" s="481"/>
      <c r="K25" s="35"/>
      <c r="L25" s="36"/>
    </row>
    <row r="26" spans="2:22" ht="20.149999999999999" customHeight="1" x14ac:dyDescent="0.45">
      <c r="B26" s="34"/>
      <c r="C26" s="22"/>
      <c r="D26" s="508"/>
      <c r="E26" s="508"/>
      <c r="F26" s="508"/>
      <c r="G26" s="90"/>
      <c r="H26" s="68"/>
      <c r="I26" s="481"/>
      <c r="J26" s="481"/>
      <c r="K26" s="35"/>
      <c r="L26" s="36"/>
    </row>
    <row r="27" spans="2:22" ht="20.149999999999999" customHeight="1" x14ac:dyDescent="0.45">
      <c r="B27" s="34"/>
      <c r="C27" s="22"/>
      <c r="G27" s="90"/>
      <c r="H27" s="68"/>
      <c r="I27" s="68"/>
      <c r="J27" s="68"/>
      <c r="K27" s="35"/>
      <c r="L27" s="36"/>
    </row>
    <row r="28" spans="2:22" ht="20.149999999999999" customHeight="1" x14ac:dyDescent="0.45">
      <c r="B28" s="155"/>
      <c r="C28" s="156"/>
      <c r="D28" s="556"/>
      <c r="E28" s="556"/>
      <c r="F28" s="556"/>
      <c r="G28" s="156"/>
      <c r="H28" s="156"/>
      <c r="I28" s="189"/>
      <c r="J28" s="189"/>
      <c r="K28" s="163"/>
      <c r="L28" s="190"/>
    </row>
    <row r="29" spans="2:22" ht="20.149999999999999" customHeight="1" thickBot="1" x14ac:dyDescent="0.5">
      <c r="B29" s="41"/>
      <c r="L29" s="42"/>
    </row>
    <row r="30" spans="2:22" ht="20.149999999999999" customHeight="1" x14ac:dyDescent="0.45">
      <c r="B30" s="11" t="s">
        <v>18</v>
      </c>
      <c r="C30" s="7"/>
      <c r="D30" s="7"/>
      <c r="E30" s="7"/>
      <c r="F30" s="7"/>
      <c r="G30" s="7"/>
      <c r="H30" s="7"/>
      <c r="I30" s="7"/>
      <c r="J30" s="510" t="s">
        <v>15</v>
      </c>
      <c r="K30" s="511"/>
      <c r="L30" s="43">
        <f>SUM(L18:L29)</f>
        <v>50</v>
      </c>
      <c r="M30" s="76">
        <f>SUM(P18)-L30*0.02</f>
        <v>11.666666666666671</v>
      </c>
      <c r="N30" s="201">
        <f>M30/L30</f>
        <v>0.23333333333333342</v>
      </c>
    </row>
    <row r="31" spans="2:22" ht="20.149999999999999" customHeight="1" x14ac:dyDescent="0.45">
      <c r="B31" s="11" t="s">
        <v>19</v>
      </c>
      <c r="C31" s="7"/>
      <c r="D31" s="7"/>
      <c r="E31" s="7"/>
      <c r="F31" s="7"/>
      <c r="G31" s="7"/>
      <c r="H31" s="7"/>
      <c r="I31" s="7"/>
      <c r="J31" s="44" t="s">
        <v>22</v>
      </c>
      <c r="K31" s="45"/>
      <c r="L31" s="46">
        <f>L30*K31</f>
        <v>0</v>
      </c>
    </row>
    <row r="32" spans="2:22" ht="20.149999999999999" customHeight="1" x14ac:dyDescent="0.45">
      <c r="B32" s="11" t="s">
        <v>20</v>
      </c>
      <c r="C32" s="7"/>
      <c r="D32" s="7"/>
      <c r="E32" s="7"/>
      <c r="F32" s="7"/>
      <c r="G32" s="7"/>
      <c r="H32" s="7"/>
      <c r="I32" s="7"/>
      <c r="J32" s="486" t="s">
        <v>21</v>
      </c>
      <c r="K32" s="487"/>
      <c r="L32" s="46">
        <f>L30-L31</f>
        <v>50</v>
      </c>
    </row>
    <row r="33" spans="2:12" ht="20.149999999999999" customHeight="1" x14ac:dyDescent="0.45">
      <c r="B33" s="11" t="s">
        <v>24</v>
      </c>
      <c r="C33" s="7"/>
      <c r="D33" s="7"/>
      <c r="E33" s="7"/>
      <c r="F33" s="7"/>
      <c r="G33" s="7"/>
      <c r="H33" s="7"/>
      <c r="I33" s="7"/>
      <c r="J33" s="150" t="s">
        <v>17</v>
      </c>
      <c r="K33" s="151">
        <v>7.0000000000000007E-2</v>
      </c>
      <c r="L33" s="47">
        <f>L32*K33</f>
        <v>3.5000000000000004</v>
      </c>
    </row>
    <row r="34" spans="2:12" ht="20.149999999999999" customHeight="1" thickBot="1" x14ac:dyDescent="0.5">
      <c r="B34" s="11" t="s">
        <v>1400</v>
      </c>
      <c r="C34" s="7"/>
      <c r="D34" s="7"/>
      <c r="E34" s="7"/>
      <c r="F34" s="7"/>
      <c r="G34" s="7"/>
      <c r="H34" s="7"/>
      <c r="I34" s="7"/>
      <c r="J34" s="488" t="s">
        <v>23</v>
      </c>
      <c r="K34" s="489"/>
      <c r="L34" s="48">
        <f>L32+L33</f>
        <v>53.5</v>
      </c>
    </row>
    <row r="35" spans="2:12" ht="20.149999999999999" customHeight="1" x14ac:dyDescent="0.45">
      <c r="B35" s="11" t="s">
        <v>26</v>
      </c>
      <c r="C35" s="7"/>
      <c r="D35" s="7"/>
      <c r="E35" s="7"/>
      <c r="F35" s="7"/>
      <c r="G35" s="7"/>
      <c r="H35" s="7"/>
      <c r="I35" s="7"/>
      <c r="L35" s="42"/>
    </row>
    <row r="36" spans="2:12" ht="20.149999999999999" customHeight="1" x14ac:dyDescent="0.45">
      <c r="B36" s="224" t="s">
        <v>1379</v>
      </c>
      <c r="L36" s="42"/>
    </row>
    <row r="37" spans="2:12" ht="20.149999999999999" customHeight="1" x14ac:dyDescent="0.45">
      <c r="B37" s="41"/>
      <c r="L37" s="42"/>
    </row>
    <row r="38" spans="2:12" ht="20.149999999999999" customHeight="1" x14ac:dyDescent="0.45">
      <c r="B38" s="41"/>
      <c r="L38" s="42"/>
    </row>
    <row r="39" spans="2:12" ht="20.149999999999999" customHeight="1" x14ac:dyDescent="0.45">
      <c r="B39" s="41"/>
      <c r="L39" s="42"/>
    </row>
    <row r="40" spans="2:12" ht="20.149999999999999" customHeight="1" x14ac:dyDescent="0.45">
      <c r="B40" s="49"/>
      <c r="C40" s="50"/>
      <c r="D40" s="50"/>
      <c r="J40" s="50"/>
      <c r="K40" s="50"/>
      <c r="L40" s="51"/>
    </row>
    <row r="41" spans="2:12" ht="20.149999999999999" customHeight="1" x14ac:dyDescent="0.45">
      <c r="B41" s="41" t="s">
        <v>27</v>
      </c>
      <c r="J41" s="24" t="s">
        <v>28</v>
      </c>
      <c r="L41" s="42"/>
    </row>
    <row r="42" spans="2:12" ht="19" thickBot="1" x14ac:dyDescent="0.5">
      <c r="B42" s="52"/>
      <c r="C42" s="53"/>
      <c r="D42" s="53"/>
      <c r="E42" s="53"/>
      <c r="F42" s="53"/>
      <c r="G42" s="53"/>
      <c r="H42" s="53"/>
      <c r="I42" s="53"/>
      <c r="J42" s="53"/>
      <c r="K42" s="53"/>
      <c r="L42" s="54"/>
    </row>
  </sheetData>
  <mergeCells count="37">
    <mergeCell ref="D28:F28"/>
    <mergeCell ref="J30:K30"/>
    <mergeCell ref="J32:K32"/>
    <mergeCell ref="J34:K34"/>
    <mergeCell ref="D26:F26"/>
    <mergeCell ref="I26:J26"/>
    <mergeCell ref="D23:F23"/>
    <mergeCell ref="I23:J23"/>
    <mergeCell ref="D24:F24"/>
    <mergeCell ref="I24:J24"/>
    <mergeCell ref="D25:F25"/>
    <mergeCell ref="I25:J25"/>
    <mergeCell ref="D20:F20"/>
    <mergeCell ref="I20:J20"/>
    <mergeCell ref="D21:F21"/>
    <mergeCell ref="I21:J21"/>
    <mergeCell ref="D22:F22"/>
    <mergeCell ref="I22:J22"/>
    <mergeCell ref="D17:F17"/>
    <mergeCell ref="I17:J17"/>
    <mergeCell ref="D18:F18"/>
    <mergeCell ref="I18:J18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</mergeCells>
  <conditionalFormatting sqref="C18">
    <cfRule type="duplicateValues" dxfId="60" priority="3"/>
  </conditionalFormatting>
  <conditionalFormatting sqref="C20">
    <cfRule type="duplicateValues" dxfId="59" priority="4"/>
  </conditionalFormatting>
  <conditionalFormatting sqref="C21">
    <cfRule type="duplicateValues" dxfId="58" priority="5"/>
  </conditionalFormatting>
  <conditionalFormatting sqref="C22">
    <cfRule type="duplicateValues" dxfId="57" priority="2"/>
  </conditionalFormatting>
  <conditionalFormatting sqref="C19">
    <cfRule type="duplicateValues" dxfId="56" priority="6"/>
  </conditionalFormatting>
  <conditionalFormatting sqref="C25">
    <cfRule type="duplicateValues" dxfId="55" priority="7"/>
  </conditionalFormatting>
  <conditionalFormatting sqref="C23">
    <cfRule type="duplicateValues" dxfId="54" priority="1"/>
  </conditionalFormatting>
  <pageMargins left="0.70866141732283505" right="0.31496062992126" top="0.59055118110236204" bottom="0" header="0.31496062992126" footer="0.31496062992126"/>
  <pageSetup paperSize="9" scale="76" orientation="portrait" horizontalDpi="300" verticalDpi="300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143CB9-F3DC-49DB-80FE-38C04ED59ACB}">
  <sheetPr>
    <tabColor rgb="FF996600"/>
    <pageSetUpPr fitToPage="1"/>
  </sheetPr>
  <dimension ref="B1:V44"/>
  <sheetViews>
    <sheetView zoomScale="98" zoomScaleNormal="98" workbookViewId="0">
      <selection activeCell="B1" sqref="B1:L44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9" style="24" customWidth="1"/>
    <col min="7" max="7" width="8.54296875" style="24" customWidth="1"/>
    <col min="8" max="8" width="15.54296875" style="24" customWidth="1"/>
    <col min="9" max="9" width="2" style="24" customWidth="1"/>
    <col min="10" max="10" width="15.54296875" style="24" customWidth="1"/>
    <col min="11" max="11" width="10.54296875" style="24" customWidth="1"/>
    <col min="12" max="12" width="12.54296875" style="24" customWidth="1"/>
    <col min="13" max="16384" width="12.54296875" style="24"/>
  </cols>
  <sheetData>
    <row r="1" spans="2:14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4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4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4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4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4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4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4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4" ht="19" thickBot="1" x14ac:dyDescent="0.5">
      <c r="B9" s="23"/>
    </row>
    <row r="10" spans="2:14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2056</v>
      </c>
      <c r="J10" s="29" t="s">
        <v>29</v>
      </c>
      <c r="K10" s="452">
        <v>202209479</v>
      </c>
      <c r="L10" s="453"/>
    </row>
    <row r="11" spans="2:14" ht="20.149999999999999" customHeight="1" x14ac:dyDescent="0.45">
      <c r="B11" s="454" t="s">
        <v>2050</v>
      </c>
      <c r="C11" s="455"/>
      <c r="D11" s="456"/>
      <c r="E11" s="30"/>
      <c r="F11" s="457" t="str">
        <f>VLOOKUP(H10,'Delivery Location'!A$4:N$416,2,0)</f>
        <v xml:space="preserve">FOOD REPUBLIC PTE LTD                                   Shaw Lido Orchard@ICE shop                    1, Scotts Road #B1-01 Shaw Centre        Singapore 228208                                 </v>
      </c>
      <c r="G11" s="458"/>
      <c r="H11" s="459"/>
      <c r="J11" s="31" t="s">
        <v>11</v>
      </c>
      <c r="K11" s="565">
        <v>44834</v>
      </c>
      <c r="L11" s="467"/>
    </row>
    <row r="12" spans="2:14" ht="20.149999999999999" customHeight="1" x14ac:dyDescent="0.45">
      <c r="B12" s="468" t="s">
        <v>2051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533</v>
      </c>
      <c r="L12" s="472"/>
    </row>
    <row r="13" spans="2:14" ht="20.149999999999999" customHeight="1" x14ac:dyDescent="0.45">
      <c r="B13" s="468" t="s">
        <v>2052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14</v>
      </c>
      <c r="L13" s="472"/>
      <c r="N13" s="24" t="s">
        <v>2286</v>
      </c>
    </row>
    <row r="14" spans="2:14" ht="20.149999999999999" customHeight="1" x14ac:dyDescent="0.45">
      <c r="B14" s="468" t="s">
        <v>2053</v>
      </c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4" ht="18" customHeight="1" thickBot="1" x14ac:dyDescent="0.5">
      <c r="B15" s="463" t="s">
        <v>2026</v>
      </c>
      <c r="C15" s="464"/>
      <c r="D15" s="465"/>
      <c r="E15" s="26"/>
      <c r="F15" s="463"/>
      <c r="G15" s="464"/>
      <c r="H15" s="465"/>
      <c r="J15" s="32" t="s">
        <v>13</v>
      </c>
      <c r="K15" s="476"/>
      <c r="L15" s="477"/>
    </row>
    <row r="16" spans="2:14" ht="19" thickBot="1" x14ac:dyDescent="0.5">
      <c r="J16" s="22"/>
    </row>
    <row r="17" spans="2:22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22" ht="20.149999999999999" customHeight="1" x14ac:dyDescent="0.45">
      <c r="B18" s="70"/>
      <c r="C18" s="22" t="s">
        <v>2242</v>
      </c>
      <c r="D18" s="508" t="str">
        <f>VLOOKUP(C18,'Sales Master'!B$3:D$499,2,)</f>
        <v>ROCK SUGAR SYRUP</v>
      </c>
      <c r="E18" s="508"/>
      <c r="F18" s="508"/>
      <c r="G18" s="90">
        <v>3</v>
      </c>
      <c r="H18" s="97" t="str">
        <f>VLOOKUP(C18,'Sales Master'!$B$3:$F$3179,5,0)</f>
        <v>5 KG</v>
      </c>
      <c r="I18" s="506" t="str">
        <f>VLOOKUP(C18,'Sales Master'!$B$3:$E$3179,4,0)</f>
        <v>DO!</v>
      </c>
      <c r="J18" s="506"/>
      <c r="K18" s="98">
        <f>VLOOKUP(C18,'Sales Master'!B$3:I$581,8,0)</f>
        <v>8.5</v>
      </c>
      <c r="L18" s="99">
        <f>K18*G18</f>
        <v>25.5</v>
      </c>
      <c r="N18" s="225">
        <f>VLOOKUP(C18,'Sales Master'!$B$3:$DA$3038,104,0)</f>
        <v>5.5</v>
      </c>
      <c r="O18" s="225">
        <f>K18-N18</f>
        <v>3</v>
      </c>
      <c r="P18" s="225">
        <f>O18*G18</f>
        <v>9</v>
      </c>
      <c r="Q18" s="354"/>
      <c r="R18" s="125">
        <v>1</v>
      </c>
      <c r="S18" s="125" t="s">
        <v>260</v>
      </c>
      <c r="T18" s="125" t="s">
        <v>709</v>
      </c>
      <c r="U18" s="125"/>
      <c r="V18" s="125">
        <v>32</v>
      </c>
    </row>
    <row r="19" spans="2:22" ht="20.149999999999999" customHeight="1" x14ac:dyDescent="0.45">
      <c r="B19" s="70"/>
      <c r="C19" s="22" t="s">
        <v>1574</v>
      </c>
      <c r="D19" s="508" t="str">
        <f>VLOOKUP(C19,'Sales Master'!B$3:D$499,2,)</f>
        <v>Red Bean红豆</v>
      </c>
      <c r="E19" s="508"/>
      <c r="F19" s="508"/>
      <c r="G19" s="90">
        <v>1</v>
      </c>
      <c r="H19" s="97" t="str">
        <f>VLOOKUP(C19,'Sales Master'!$B$3:$F$3179,5,0)</f>
        <v>3 kgs</v>
      </c>
      <c r="I19" s="506" t="str">
        <f>VLOOKUP(C19,'Sales Master'!$B$3:$E$3179,4,0)</f>
        <v>-</v>
      </c>
      <c r="J19" s="506"/>
      <c r="K19" s="98">
        <f>VLOOKUP(C19,'Sales Master'!B$3:I$581,8,0)</f>
        <v>12.3</v>
      </c>
      <c r="L19" s="99">
        <f>K19*G19</f>
        <v>12.3</v>
      </c>
      <c r="N19" s="225">
        <f>VLOOKUP(C19,'Sales Master'!$B$3:$DA$3038,104,0)</f>
        <v>10.199999999999999</v>
      </c>
      <c r="O19" s="225">
        <f>K19-N19</f>
        <v>2.1000000000000014</v>
      </c>
      <c r="P19" s="225">
        <f>O19*G19</f>
        <v>2.1000000000000014</v>
      </c>
      <c r="Q19" s="354"/>
      <c r="R19" s="125"/>
      <c r="S19" s="125"/>
      <c r="T19" s="125"/>
      <c r="U19" s="125"/>
      <c r="V19" s="125"/>
    </row>
    <row r="20" spans="2:22" ht="20.149999999999999" customHeight="1" x14ac:dyDescent="0.45">
      <c r="B20" s="34"/>
      <c r="C20" s="22" t="s">
        <v>2354</v>
      </c>
      <c r="D20" s="508" t="str">
        <f>VLOOKUP(C20,'Sales Master'!B$3:D$499,2,)</f>
        <v>Green Bean 绿豆</v>
      </c>
      <c r="E20" s="508"/>
      <c r="F20" s="508"/>
      <c r="G20" s="90">
        <v>1</v>
      </c>
      <c r="H20" s="97" t="str">
        <f>VLOOKUP(C20,'Sales Master'!$B$3:$F$3179,5,0)</f>
        <v>3 KGS</v>
      </c>
      <c r="I20" s="506" t="str">
        <f>VLOOKUP(C20,'Sales Master'!$B$3:$E$3179,4,0)</f>
        <v>-</v>
      </c>
      <c r="J20" s="506"/>
      <c r="K20" s="98">
        <f>VLOOKUP(C20,'Sales Master'!B$3:I$581,8,0)</f>
        <v>8.6999999999999993</v>
      </c>
      <c r="L20" s="99">
        <f>K20*G20</f>
        <v>8.6999999999999993</v>
      </c>
      <c r="N20" s="225">
        <f>VLOOKUP(C20,'Sales Master'!$B$3:$DA$3038,104,0)</f>
        <v>5.64</v>
      </c>
      <c r="O20" s="225">
        <f>K20-N20</f>
        <v>3.0599999999999996</v>
      </c>
      <c r="P20" s="225">
        <f>O20*G20</f>
        <v>3.0599999999999996</v>
      </c>
    </row>
    <row r="21" spans="2:22" ht="20.149999999999999" customHeight="1" x14ac:dyDescent="0.45">
      <c r="B21" s="34"/>
      <c r="C21" s="22" t="s">
        <v>1594</v>
      </c>
      <c r="D21" s="508" t="str">
        <f>VLOOKUP(C21,'Sales Master'!B$3:D$499,2,)</f>
        <v>Split Green Mung Bean豆畔</v>
      </c>
      <c r="E21" s="508"/>
      <c r="F21" s="508"/>
      <c r="G21" s="90">
        <v>1</v>
      </c>
      <c r="H21" s="97" t="str">
        <f>VLOOKUP(C21,'Sales Master'!$B$3:$F$3179,5,0)</f>
        <v>3 KG</v>
      </c>
      <c r="I21" s="506" t="str">
        <f>VLOOKUP(C21,'Sales Master'!$B$3:$E$3179,4,0)</f>
        <v>-</v>
      </c>
      <c r="J21" s="506"/>
      <c r="K21" s="98">
        <f>VLOOKUP(C21,'Sales Master'!B$3:I$581,8,0)</f>
        <v>10.5</v>
      </c>
      <c r="L21" s="99">
        <f>K21*G21</f>
        <v>10.5</v>
      </c>
      <c r="N21" s="225">
        <f>VLOOKUP(C21,'Sales Master'!$B$3:$DA$3038,104,0)</f>
        <v>7.2999999999999989</v>
      </c>
      <c r="O21" s="225">
        <f>K21-N21</f>
        <v>3.2000000000000011</v>
      </c>
      <c r="P21" s="225">
        <f>O21*G21</f>
        <v>3.2000000000000011</v>
      </c>
    </row>
    <row r="22" spans="2:22" ht="20.149999999999999" customHeight="1" x14ac:dyDescent="0.45">
      <c r="B22" s="34"/>
      <c r="C22" s="22" t="s">
        <v>1616</v>
      </c>
      <c r="D22" s="508" t="str">
        <f>VLOOKUP(C22,'Sales Master'!B$3:D$499,2,)</f>
        <v>Small Sago 小丸</v>
      </c>
      <c r="E22" s="508"/>
      <c r="F22" s="508"/>
      <c r="G22" s="90">
        <v>1</v>
      </c>
      <c r="H22" s="97" t="str">
        <f>VLOOKUP(C22,'Sales Master'!$B$3:$F$3179,5,0)</f>
        <v>1 kg</v>
      </c>
      <c r="I22" s="506" t="str">
        <f>VLOOKUP(C22,'Sales Master'!$B$3:$E$3179,4,0)</f>
        <v>-</v>
      </c>
      <c r="J22" s="506"/>
      <c r="K22" s="98">
        <f>VLOOKUP(C22,'Sales Master'!B$3:I$581,8,0)</f>
        <v>2.2000000000000002</v>
      </c>
      <c r="L22" s="99">
        <f>K22*G22</f>
        <v>2.2000000000000002</v>
      </c>
      <c r="N22" s="225">
        <f>VLOOKUP(C22,'Sales Master'!$B$3:$DA$3038,104,0)</f>
        <v>1.6</v>
      </c>
      <c r="O22" s="225">
        <f>K22-N22</f>
        <v>0.60000000000000009</v>
      </c>
      <c r="P22" s="225">
        <f>O22*G22</f>
        <v>0.60000000000000009</v>
      </c>
    </row>
    <row r="23" spans="2:22" ht="20.149999999999999" customHeight="1" x14ac:dyDescent="0.45">
      <c r="B23" s="34"/>
      <c r="C23" s="22"/>
      <c r="D23" s="508"/>
      <c r="E23" s="508"/>
      <c r="F23" s="508"/>
      <c r="G23" s="90"/>
      <c r="H23" s="68"/>
      <c r="I23" s="481"/>
      <c r="J23" s="481"/>
      <c r="K23" s="35"/>
      <c r="L23" s="36"/>
    </row>
    <row r="24" spans="2:22" ht="20.149999999999999" customHeight="1" x14ac:dyDescent="0.45">
      <c r="B24" s="34"/>
      <c r="C24" s="22"/>
      <c r="D24" s="508"/>
      <c r="E24" s="508"/>
      <c r="F24" s="508"/>
      <c r="G24" s="90"/>
      <c r="H24" s="68"/>
      <c r="I24" s="481"/>
      <c r="J24" s="481"/>
      <c r="K24" s="35"/>
      <c r="L24" s="36"/>
    </row>
    <row r="25" spans="2:22" ht="20.149999999999999" customHeight="1" x14ac:dyDescent="0.45">
      <c r="B25" s="34"/>
      <c r="C25" s="22"/>
      <c r="D25" s="508"/>
      <c r="E25" s="508"/>
      <c r="F25" s="508"/>
      <c r="G25" s="90"/>
      <c r="H25" s="68"/>
      <c r="I25" s="481"/>
      <c r="J25" s="481"/>
      <c r="K25" s="35"/>
      <c r="L25" s="36"/>
    </row>
    <row r="26" spans="2:22" ht="20.149999999999999" customHeight="1" x14ac:dyDescent="0.45">
      <c r="B26" s="34"/>
      <c r="C26" s="22"/>
      <c r="D26" s="508"/>
      <c r="E26" s="508"/>
      <c r="F26" s="508"/>
      <c r="G26" s="90"/>
      <c r="H26" s="68"/>
      <c r="I26" s="481"/>
      <c r="J26" s="481"/>
      <c r="K26" s="35"/>
      <c r="L26" s="36"/>
    </row>
    <row r="27" spans="2:22" ht="20.149999999999999" customHeight="1" x14ac:dyDescent="0.45">
      <c r="B27" s="34"/>
      <c r="C27" s="22"/>
      <c r="D27" s="508"/>
      <c r="E27" s="508"/>
      <c r="F27" s="508"/>
      <c r="G27" s="90"/>
      <c r="H27" s="68"/>
      <c r="I27" s="481"/>
      <c r="J27" s="481"/>
      <c r="K27" s="35"/>
      <c r="L27" s="36"/>
    </row>
    <row r="28" spans="2:22" ht="20.149999999999999" customHeight="1" x14ac:dyDescent="0.45">
      <c r="B28" s="34"/>
      <c r="C28" s="22"/>
      <c r="D28" s="508"/>
      <c r="E28" s="508"/>
      <c r="F28" s="508"/>
      <c r="G28" s="90"/>
      <c r="H28" s="68"/>
      <c r="I28" s="481"/>
      <c r="J28" s="481"/>
      <c r="K28" s="35"/>
      <c r="L28" s="36"/>
    </row>
    <row r="29" spans="2:22" ht="20.149999999999999" customHeight="1" x14ac:dyDescent="0.45">
      <c r="B29" s="34"/>
      <c r="C29" s="22"/>
      <c r="G29" s="90"/>
      <c r="H29" s="68"/>
      <c r="I29" s="68"/>
      <c r="J29" s="68"/>
      <c r="K29" s="35"/>
      <c r="L29" s="36"/>
    </row>
    <row r="30" spans="2:22" ht="20.149999999999999" customHeight="1" x14ac:dyDescent="0.45">
      <c r="B30" s="155"/>
      <c r="C30" s="156"/>
      <c r="D30" s="556"/>
      <c r="E30" s="556"/>
      <c r="F30" s="556"/>
      <c r="G30" s="156"/>
      <c r="H30" s="156"/>
      <c r="I30" s="189"/>
      <c r="J30" s="189"/>
      <c r="K30" s="163"/>
      <c r="L30" s="190"/>
    </row>
    <row r="31" spans="2:22" ht="20.149999999999999" customHeight="1" thickBot="1" x14ac:dyDescent="0.5">
      <c r="B31" s="41"/>
      <c r="L31" s="42"/>
    </row>
    <row r="32" spans="2:22" ht="20.149999999999999" customHeight="1" x14ac:dyDescent="0.45">
      <c r="B32" s="11" t="s">
        <v>18</v>
      </c>
      <c r="C32" s="7"/>
      <c r="D32" s="7"/>
      <c r="E32" s="7"/>
      <c r="F32" s="7"/>
      <c r="G32" s="7"/>
      <c r="H32" s="7"/>
      <c r="I32" s="7"/>
      <c r="J32" s="510" t="s">
        <v>15</v>
      </c>
      <c r="K32" s="511"/>
      <c r="L32" s="43">
        <f>SUM(L18:L31)</f>
        <v>59.2</v>
      </c>
      <c r="M32" s="76">
        <f>SUM(P18:P19)</f>
        <v>11.100000000000001</v>
      </c>
      <c r="N32" s="201">
        <f>M32/L32</f>
        <v>0.18750000000000003</v>
      </c>
    </row>
    <row r="33" spans="2:12" ht="20.149999999999999" customHeight="1" x14ac:dyDescent="0.45">
      <c r="B33" s="11" t="s">
        <v>19</v>
      </c>
      <c r="C33" s="7"/>
      <c r="D33" s="7"/>
      <c r="E33" s="7"/>
      <c r="F33" s="7"/>
      <c r="G33" s="7"/>
      <c r="H33" s="7"/>
      <c r="I33" s="7"/>
      <c r="J33" s="44" t="s">
        <v>22</v>
      </c>
      <c r="K33" s="45"/>
      <c r="L33" s="46">
        <f>L32*K33</f>
        <v>0</v>
      </c>
    </row>
    <row r="34" spans="2:12" ht="20.149999999999999" customHeight="1" x14ac:dyDescent="0.45">
      <c r="B34" s="11" t="s">
        <v>20</v>
      </c>
      <c r="C34" s="7"/>
      <c r="D34" s="7"/>
      <c r="E34" s="7"/>
      <c r="F34" s="7"/>
      <c r="G34" s="7"/>
      <c r="H34" s="7"/>
      <c r="I34" s="7"/>
      <c r="J34" s="486" t="s">
        <v>21</v>
      </c>
      <c r="K34" s="487"/>
      <c r="L34" s="46">
        <f>L32-L33</f>
        <v>59.2</v>
      </c>
    </row>
    <row r="35" spans="2:12" ht="20.149999999999999" customHeight="1" x14ac:dyDescent="0.45">
      <c r="B35" s="11" t="s">
        <v>24</v>
      </c>
      <c r="C35" s="7"/>
      <c r="D35" s="7"/>
      <c r="E35" s="7"/>
      <c r="F35" s="7"/>
      <c r="G35" s="7"/>
      <c r="H35" s="7"/>
      <c r="I35" s="7"/>
      <c r="J35" s="150" t="s">
        <v>17</v>
      </c>
      <c r="K35" s="151">
        <v>7.0000000000000007E-2</v>
      </c>
      <c r="L35" s="47">
        <f>L34*K35</f>
        <v>4.144000000000001</v>
      </c>
    </row>
    <row r="36" spans="2:12" ht="20.149999999999999" customHeight="1" thickBot="1" x14ac:dyDescent="0.5">
      <c r="B36" s="11" t="s">
        <v>1400</v>
      </c>
      <c r="C36" s="7"/>
      <c r="D36" s="7"/>
      <c r="E36" s="7"/>
      <c r="F36" s="7"/>
      <c r="G36" s="7"/>
      <c r="H36" s="7"/>
      <c r="I36" s="7"/>
      <c r="J36" s="488" t="s">
        <v>23</v>
      </c>
      <c r="K36" s="489"/>
      <c r="L36" s="48">
        <f>L34+L35</f>
        <v>63.344000000000001</v>
      </c>
    </row>
    <row r="37" spans="2:12" ht="20.149999999999999" customHeight="1" x14ac:dyDescent="0.45">
      <c r="B37" s="11" t="s">
        <v>26</v>
      </c>
      <c r="C37" s="7"/>
      <c r="D37" s="7"/>
      <c r="E37" s="7"/>
      <c r="F37" s="7"/>
      <c r="G37" s="7"/>
      <c r="H37" s="7"/>
      <c r="I37" s="7"/>
      <c r="L37" s="42"/>
    </row>
    <row r="38" spans="2:12" ht="20.149999999999999" customHeight="1" x14ac:dyDescent="0.45">
      <c r="B38" s="224" t="s">
        <v>1379</v>
      </c>
      <c r="L38" s="42"/>
    </row>
    <row r="39" spans="2:12" ht="20.149999999999999" customHeight="1" x14ac:dyDescent="0.45">
      <c r="B39" s="41"/>
      <c r="L39" s="42"/>
    </row>
    <row r="40" spans="2:12" ht="20.149999999999999" customHeight="1" x14ac:dyDescent="0.45">
      <c r="B40" s="41"/>
      <c r="L40" s="42"/>
    </row>
    <row r="41" spans="2:12" ht="20.149999999999999" customHeight="1" x14ac:dyDescent="0.45">
      <c r="B41" s="41"/>
      <c r="L41" s="42"/>
    </row>
    <row r="42" spans="2:12" ht="20.149999999999999" customHeight="1" x14ac:dyDescent="0.45">
      <c r="B42" s="49"/>
      <c r="C42" s="50"/>
      <c r="D42" s="50"/>
      <c r="J42" s="50"/>
      <c r="K42" s="50"/>
      <c r="L42" s="51"/>
    </row>
    <row r="43" spans="2:12" ht="20.149999999999999" customHeight="1" x14ac:dyDescent="0.45">
      <c r="B43" s="41" t="s">
        <v>27</v>
      </c>
      <c r="J43" s="24" t="s">
        <v>28</v>
      </c>
      <c r="L43" s="42"/>
    </row>
    <row r="44" spans="2:12" ht="19" thickBot="1" x14ac:dyDescent="0.5">
      <c r="B44" s="52"/>
      <c r="C44" s="53"/>
      <c r="D44" s="53"/>
      <c r="E44" s="53"/>
      <c r="F44" s="53"/>
      <c r="G44" s="53"/>
      <c r="H44" s="53"/>
      <c r="I44" s="53"/>
      <c r="J44" s="53"/>
      <c r="K44" s="53"/>
      <c r="L44" s="54"/>
    </row>
  </sheetData>
  <mergeCells count="41">
    <mergeCell ref="D24:F24"/>
    <mergeCell ref="I24:J24"/>
    <mergeCell ref="J36:K36"/>
    <mergeCell ref="D25:F25"/>
    <mergeCell ref="I25:J25"/>
    <mergeCell ref="D26:F26"/>
    <mergeCell ref="I26:J26"/>
    <mergeCell ref="D27:F27"/>
    <mergeCell ref="I27:J27"/>
    <mergeCell ref="D28:F28"/>
    <mergeCell ref="I28:J28"/>
    <mergeCell ref="D30:F30"/>
    <mergeCell ref="J32:K32"/>
    <mergeCell ref="J34:K34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">
    <cfRule type="duplicateValues" dxfId="53" priority="3"/>
  </conditionalFormatting>
  <conditionalFormatting sqref="C19:C22">
    <cfRule type="duplicateValues" dxfId="52" priority="6"/>
  </conditionalFormatting>
  <conditionalFormatting sqref="C25">
    <cfRule type="duplicateValues" dxfId="51" priority="7"/>
  </conditionalFormatting>
  <conditionalFormatting sqref="C23">
    <cfRule type="duplicateValues" dxfId="50" priority="1"/>
  </conditionalFormatting>
  <pageMargins left="0.70866141732283472" right="0.31496062992125984" top="0.59055118110236227" bottom="0" header="0.31496062992125984" footer="0.31496062992125984"/>
  <pageSetup paperSize="9" scale="76" orientation="portrait" horizontalDpi="300" verticalDpi="300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93A242-75A5-43C3-B19C-A4A1D60964D1}">
  <sheetPr codeName="Sheet35">
    <tabColor rgb="FFFFC000"/>
    <pageSetUpPr fitToPage="1"/>
  </sheetPr>
  <dimension ref="B1:V55"/>
  <sheetViews>
    <sheetView topLeftCell="B40" zoomScaleNormal="100" workbookViewId="0">
      <selection activeCell="G22" sqref="G22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9" style="24" customWidth="1"/>
    <col min="7" max="7" width="8.54296875" style="24" customWidth="1"/>
    <col min="8" max="8" width="15.54296875" style="24" customWidth="1"/>
    <col min="9" max="9" width="2" style="24" customWidth="1"/>
    <col min="10" max="10" width="15.54296875" style="24" customWidth="1"/>
    <col min="11" max="11" width="10.54296875" style="24" customWidth="1"/>
    <col min="12" max="12" width="14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x14ac:dyDescent="0.45">
      <c r="B9" s="23"/>
      <c r="J9" s="50"/>
      <c r="K9" s="564"/>
      <c r="L9" s="564"/>
    </row>
    <row r="10" spans="2:12" ht="18" customHeight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263</v>
      </c>
      <c r="J10" s="188" t="s">
        <v>29</v>
      </c>
      <c r="K10" s="566">
        <v>202210001</v>
      </c>
      <c r="L10" s="567"/>
    </row>
    <row r="11" spans="2:12" ht="20.149999999999999" customHeight="1" x14ac:dyDescent="0.45">
      <c r="B11" s="454" t="s">
        <v>2037</v>
      </c>
      <c r="C11" s="455"/>
      <c r="D11" s="456"/>
      <c r="E11" s="30"/>
      <c r="F11" s="457" t="str">
        <f>VLOOKUP(H10,'Delivery Location'!A$4:N$416,2,0)</f>
        <v xml:space="preserve">Koufu - Dessert                                              Block 168 Punggol Field #01-01      Punggol Plaza Singapore 820168               </v>
      </c>
      <c r="G11" s="458"/>
      <c r="H11" s="459"/>
      <c r="J11" s="31" t="s">
        <v>11</v>
      </c>
      <c r="K11" s="466">
        <v>44835</v>
      </c>
      <c r="L11" s="467"/>
    </row>
    <row r="12" spans="2:12" ht="20.149999999999999" customHeight="1" x14ac:dyDescent="0.45">
      <c r="B12" s="468" t="s">
        <v>2139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533</v>
      </c>
      <c r="L12" s="472"/>
    </row>
    <row r="13" spans="2:12" ht="20.149999999999999" customHeight="1" x14ac:dyDescent="0.45">
      <c r="B13" s="468" t="s">
        <v>2024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14</v>
      </c>
      <c r="L13" s="472"/>
    </row>
    <row r="14" spans="2:12" ht="20.149999999999999" customHeight="1" x14ac:dyDescent="0.45">
      <c r="B14" s="468" t="s">
        <v>2025</v>
      </c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463" t="s">
        <v>2026</v>
      </c>
      <c r="C15" s="464"/>
      <c r="D15" s="465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22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22" ht="20.149999999999999" customHeight="1" x14ac:dyDescent="0.45">
      <c r="B18" s="34"/>
      <c r="C18" s="22" t="s">
        <v>1441</v>
      </c>
      <c r="D18" s="508" t="str">
        <f>VLOOKUP(C18,'Sales Master'!B$3:D$499,2,)</f>
        <v xml:space="preserve">Fresh Soursop 红毛榴莲 </v>
      </c>
      <c r="E18" s="508"/>
      <c r="F18" s="508"/>
      <c r="G18" s="90">
        <v>2</v>
      </c>
      <c r="H18" s="102" t="str">
        <f>VLOOKUP(C18,'Sales Master'!$B$3:$F$3247,5,0)</f>
        <v>5 KGS/TUB</v>
      </c>
      <c r="I18" s="482" t="str">
        <f>VLOOKUP(C18,'Sales Master'!$B$3:$E$3247,4,0)</f>
        <v>DO!</v>
      </c>
      <c r="J18" s="482"/>
      <c r="K18" s="35">
        <f>VLOOKUP(C18,'Sales Master'!$B$3:$AU$583,46,0)</f>
        <v>30</v>
      </c>
      <c r="L18" s="36">
        <f t="shared" ref="L18" si="0">K18*G18</f>
        <v>60</v>
      </c>
      <c r="M18" s="76"/>
      <c r="N18" s="225">
        <f>VLOOKUP(C18,'Sales Master'!$B$3:$DA$3038,104,0)</f>
        <v>20.27</v>
      </c>
      <c r="O18" s="225">
        <f t="shared" ref="O18" si="1">K18-N18</f>
        <v>9.73</v>
      </c>
      <c r="P18" s="225">
        <f t="shared" ref="P18" si="2">O18*G18</f>
        <v>19.46</v>
      </c>
      <c r="Q18" s="354"/>
      <c r="R18" s="125"/>
      <c r="S18" s="125"/>
      <c r="T18" s="125"/>
      <c r="U18" s="125"/>
      <c r="V18" s="125"/>
    </row>
    <row r="19" spans="2:22" ht="20.149999999999999" customHeight="1" x14ac:dyDescent="0.45">
      <c r="B19" s="34"/>
      <c r="C19" s="22" t="s">
        <v>1457</v>
      </c>
      <c r="D19" s="508" t="str">
        <f>VLOOKUP(C19,'Sales Master'!B$3:D$499,2,)</f>
        <v>Bobo ChaCha Cubes 摩摩喳喳</v>
      </c>
      <c r="E19" s="508"/>
      <c r="F19" s="508"/>
      <c r="G19" s="90">
        <v>3</v>
      </c>
      <c r="H19" s="102" t="str">
        <f>VLOOKUP(C19,'Sales Master'!$B$3:$F$3247,5,0)</f>
        <v>800 GM/BAG</v>
      </c>
      <c r="I19" s="482" t="str">
        <f>VLOOKUP(C19,'Sales Master'!$B$3:$E$3247,4,0)</f>
        <v>DO!</v>
      </c>
      <c r="J19" s="482"/>
      <c r="K19" s="35">
        <f>VLOOKUP(C19,'Sales Master'!$B$3:$AU$583,46,0)</f>
        <v>6</v>
      </c>
      <c r="L19" s="36">
        <f t="shared" ref="L19:L27" si="3">K19*G19</f>
        <v>18</v>
      </c>
      <c r="M19" s="76"/>
      <c r="N19" s="225">
        <f>VLOOKUP(C19,'Sales Master'!$B$3:$DA$3038,104,0)</f>
        <v>0.71</v>
      </c>
      <c r="O19" s="225">
        <f t="shared" ref="O19:O27" si="4">K19-N19</f>
        <v>5.29</v>
      </c>
      <c r="P19" s="225">
        <f t="shared" ref="P19:P27" si="5">O19*G19</f>
        <v>15.870000000000001</v>
      </c>
      <c r="Q19" s="354"/>
      <c r="R19" s="125"/>
      <c r="S19" s="125"/>
      <c r="T19" s="125"/>
      <c r="U19" s="125"/>
      <c r="V19" s="125"/>
    </row>
    <row r="20" spans="2:22" ht="20.149999999999999" customHeight="1" x14ac:dyDescent="0.45">
      <c r="B20" s="34"/>
      <c r="C20" s="22" t="s">
        <v>1462</v>
      </c>
      <c r="D20" s="508" t="str">
        <f>VLOOKUP(C20,'Sales Master'!B$3:D$499,2,)</f>
        <v>Pong Thai Hai (Wet) 碰大海</v>
      </c>
      <c r="E20" s="508"/>
      <c r="F20" s="508"/>
      <c r="G20" s="90">
        <v>7</v>
      </c>
      <c r="H20" s="102" t="str">
        <f>VLOOKUP(C20,'Sales Master'!$B$3:$F$3247,5,0)</f>
        <v>1KG</v>
      </c>
      <c r="I20" s="482" t="str">
        <f>VLOOKUP(C20,'Sales Master'!$B$3:$E$3247,4,0)</f>
        <v>DO!</v>
      </c>
      <c r="J20" s="482"/>
      <c r="K20" s="35">
        <f>VLOOKUP(C20,'Sales Master'!$B$3:$AU$583,46,0)</f>
        <v>7</v>
      </c>
      <c r="L20" s="36">
        <f t="shared" si="3"/>
        <v>49</v>
      </c>
      <c r="M20" s="76"/>
      <c r="N20" s="225">
        <f>VLOOKUP(C20,'Sales Master'!$B$3:$DA$3038,104,0)</f>
        <v>0.85</v>
      </c>
      <c r="O20" s="225">
        <f t="shared" si="4"/>
        <v>6.15</v>
      </c>
      <c r="P20" s="225">
        <f t="shared" si="5"/>
        <v>43.050000000000004</v>
      </c>
      <c r="Q20" s="354"/>
      <c r="R20" s="125"/>
      <c r="S20" s="125"/>
      <c r="T20" s="125"/>
      <c r="U20" s="125"/>
      <c r="V20" s="125"/>
    </row>
    <row r="21" spans="2:22" ht="20.149999999999999" customHeight="1" x14ac:dyDescent="0.45">
      <c r="B21" s="34"/>
      <c r="C21" s="22" t="s">
        <v>1482</v>
      </c>
      <c r="D21" s="508" t="str">
        <f>VLOOKUP(C21,'Sales Master'!B$3:D$499,2,)</f>
        <v>Tadpole蝌蚪</v>
      </c>
      <c r="E21" s="508"/>
      <c r="F21" s="508"/>
      <c r="G21" s="90">
        <v>3</v>
      </c>
      <c r="H21" s="442" t="str">
        <f>VLOOKUP(C21,'Sales Master'!$B$3:$F$3247,5,0)</f>
        <v>1 kg/Bag</v>
      </c>
      <c r="I21" s="482" t="str">
        <f>VLOOKUP(C21,'Sales Master'!$B$3:$E$3247,4,0)</f>
        <v>FJ</v>
      </c>
      <c r="J21" s="482"/>
      <c r="K21" s="35">
        <f>VLOOKUP(C21,'Sales Master'!$B$3:$AU$583,46,0)</f>
        <v>6</v>
      </c>
      <c r="L21" s="36">
        <f t="shared" si="3"/>
        <v>18</v>
      </c>
      <c r="M21" s="76"/>
      <c r="N21" s="225">
        <f>VLOOKUP(C21,'Sales Master'!$B$3:$DA$3038,104,0)</f>
        <v>5</v>
      </c>
      <c r="O21" s="225">
        <f t="shared" si="4"/>
        <v>1</v>
      </c>
      <c r="P21" s="225">
        <f t="shared" si="5"/>
        <v>3</v>
      </c>
      <c r="Q21" s="354"/>
      <c r="R21" s="125"/>
      <c r="S21" s="125"/>
      <c r="T21" s="125"/>
      <c r="U21" s="125"/>
      <c r="V21" s="125"/>
    </row>
    <row r="22" spans="2:22" ht="20.149999999999999" customHeight="1" x14ac:dyDescent="0.45">
      <c r="B22" s="34"/>
      <c r="C22" s="22" t="s">
        <v>1498</v>
      </c>
      <c r="D22" s="558" t="str">
        <f>VLOOKUP(C22,'Sales Master'!B$3:D$499,2,)</f>
        <v>Jelly Powder "文头雪粉" (CARRAGEENAN)</v>
      </c>
      <c r="E22" s="558"/>
      <c r="F22" s="558"/>
      <c r="G22" s="90">
        <v>1</v>
      </c>
      <c r="H22" s="442" t="str">
        <f>VLOOKUP(C22,'Sales Master'!$B$3:$F$3247,5,0)</f>
        <v>42gm x 10PKT/Bag</v>
      </c>
      <c r="I22" s="482" t="str">
        <f>VLOOKUP(C22,'Sales Master'!$B$3:$E$3247,4,0)</f>
        <v>500/4000</v>
      </c>
      <c r="J22" s="482"/>
      <c r="K22" s="35">
        <f>VLOOKUP(C22,'Sales Master'!$B$3:$AU$583,46,0)</f>
        <v>28</v>
      </c>
      <c r="L22" s="36">
        <f t="shared" si="3"/>
        <v>28</v>
      </c>
      <c r="M22" s="76"/>
      <c r="N22" s="225">
        <f>VLOOKUP(C22,'Sales Master'!$B$3:$DA$3038,104,0)</f>
        <v>10.5</v>
      </c>
      <c r="O22" s="225">
        <f t="shared" si="4"/>
        <v>17.5</v>
      </c>
      <c r="P22" s="225">
        <f t="shared" si="5"/>
        <v>17.5</v>
      </c>
      <c r="Q22" s="354"/>
      <c r="R22" s="125"/>
      <c r="S22" s="125"/>
      <c r="T22" s="125"/>
      <c r="U22" s="125"/>
      <c r="V22" s="125"/>
    </row>
    <row r="23" spans="2:22" ht="20.149999999999999" customHeight="1" x14ac:dyDescent="0.45">
      <c r="B23" s="34"/>
      <c r="C23" s="22" t="s">
        <v>1532</v>
      </c>
      <c r="D23" s="508" t="str">
        <f>VLOOKUP(C23,'Sales Master'!B$3:D$499,2,)</f>
        <v>Sweet Potato Powder番薯粉</v>
      </c>
      <c r="E23" s="508"/>
      <c r="F23" s="508"/>
      <c r="G23" s="90">
        <v>1</v>
      </c>
      <c r="H23" s="442" t="str">
        <f>VLOOKUP(C23,'Sales Master'!$B$3:$F$3247,5,0)</f>
        <v>(500gm x 20Pkt)包</v>
      </c>
      <c r="I23" s="482" t="str">
        <f>VLOOKUP(C23,'Sales Master'!$B$3:$E$3247,4,0)</f>
        <v>RE-PACK</v>
      </c>
      <c r="J23" s="482"/>
      <c r="K23" s="35">
        <f>VLOOKUP(C23,'Sales Master'!$B$3:$AU$583,46,0)</f>
        <v>32</v>
      </c>
      <c r="L23" s="36">
        <f t="shared" si="3"/>
        <v>32</v>
      </c>
      <c r="M23" s="76"/>
      <c r="N23" s="225">
        <f>VLOOKUP(C23,'Sales Master'!$B$3:$DA$3038,104,0)</f>
        <v>24.8</v>
      </c>
      <c r="O23" s="225">
        <f t="shared" si="4"/>
        <v>7.1999999999999993</v>
      </c>
      <c r="P23" s="225">
        <f t="shared" si="5"/>
        <v>7.1999999999999993</v>
      </c>
      <c r="Q23" s="354"/>
      <c r="R23" s="125"/>
      <c r="S23" s="125"/>
      <c r="T23" s="125"/>
      <c r="U23" s="125"/>
      <c r="V23" s="125"/>
    </row>
    <row r="24" spans="2:22" ht="20.149999999999999" customHeight="1" x14ac:dyDescent="0.45">
      <c r="B24" s="34"/>
      <c r="C24" s="22" t="s">
        <v>1564</v>
      </c>
      <c r="D24" s="508" t="str">
        <f>VLOOKUP(C24,'Sales Master'!B$3:D$499,2,)</f>
        <v>Atap Seeds in Syrup亚嗒子</v>
      </c>
      <c r="E24" s="508"/>
      <c r="F24" s="508"/>
      <c r="G24" s="90">
        <v>4</v>
      </c>
      <c r="H24" s="442" t="str">
        <f>VLOOKUP(C24,'Sales Master'!$B$3:$F$3247,5,0)</f>
        <v>NW (1.6:0.6) 2.2 kgs</v>
      </c>
      <c r="I24" s="482" t="str">
        <f>VLOOKUP(C24,'Sales Master'!$B$3:$E$3247,4,0)</f>
        <v>DO!</v>
      </c>
      <c r="J24" s="482"/>
      <c r="K24" s="35">
        <f>VLOOKUP(C24,'Sales Master'!$B$3:$AU$583,46,0)</f>
        <v>9</v>
      </c>
      <c r="L24" s="36">
        <f t="shared" ref="L24" si="6">K24*G24</f>
        <v>36</v>
      </c>
      <c r="M24" s="76"/>
      <c r="N24" s="225">
        <f>VLOOKUP(C24,'Sales Master'!$B$3:$DA$3038,104,0)</f>
        <v>4.8240000000000007</v>
      </c>
      <c r="O24" s="225">
        <f t="shared" ref="O24" si="7">K24-N24</f>
        <v>4.1759999999999993</v>
      </c>
      <c r="P24" s="225">
        <f t="shared" ref="P24" si="8">O24*G24</f>
        <v>16.703999999999997</v>
      </c>
      <c r="Q24" s="354"/>
      <c r="R24" s="125"/>
      <c r="S24" s="125"/>
      <c r="T24" s="125"/>
      <c r="U24" s="125"/>
      <c r="V24" s="125"/>
    </row>
    <row r="25" spans="2:22" ht="20.149999999999999" customHeight="1" x14ac:dyDescent="0.45">
      <c r="B25" s="34"/>
      <c r="C25" s="22" t="s">
        <v>1572</v>
      </c>
      <c r="D25" s="508" t="str">
        <f>VLOOKUP(C25,'Sales Master'!B$3:D$499,2,)</f>
        <v>Red Bean红豆 (5.5 mm)</v>
      </c>
      <c r="E25" s="508"/>
      <c r="F25" s="508"/>
      <c r="G25" s="90">
        <v>5</v>
      </c>
      <c r="H25" s="102" t="str">
        <f>VLOOKUP(C25,'Sales Master'!$B$3:$F$3247,5,0)</f>
        <v>5 kgs</v>
      </c>
      <c r="I25" s="482" t="str">
        <f>VLOOKUP(C25,'Sales Master'!$B$3:$E$3247,4,0)</f>
        <v>-</v>
      </c>
      <c r="J25" s="482"/>
      <c r="K25" s="35">
        <f>VLOOKUP(C25,'Sales Master'!$B$3:$AU$583,46,0)</f>
        <v>20.5</v>
      </c>
      <c r="L25" s="36">
        <f t="shared" si="3"/>
        <v>102.5</v>
      </c>
      <c r="M25" s="76"/>
      <c r="N25" s="225">
        <f>VLOOKUP(C25,'Sales Master'!$B$3:$DA$3038,104,0)</f>
        <v>17</v>
      </c>
      <c r="O25" s="225">
        <f t="shared" si="4"/>
        <v>3.5</v>
      </c>
      <c r="P25" s="225">
        <f t="shared" si="5"/>
        <v>17.5</v>
      </c>
      <c r="Q25" s="354"/>
      <c r="R25" s="125"/>
      <c r="S25" s="125"/>
      <c r="T25" s="125"/>
      <c r="U25" s="125"/>
      <c r="V25" s="125"/>
    </row>
    <row r="26" spans="2:22" ht="20.149999999999999" customHeight="1" x14ac:dyDescent="0.45">
      <c r="B26" s="34"/>
      <c r="C26" s="22" t="s">
        <v>1606</v>
      </c>
      <c r="D26" s="508" t="str">
        <f>VLOOKUP(C26,'Sales Master'!B$3:D$499,2,)</f>
        <v>White Wheat 大麦</v>
      </c>
      <c r="E26" s="508"/>
      <c r="F26" s="508"/>
      <c r="G26" s="90">
        <v>2</v>
      </c>
      <c r="H26" s="102" t="str">
        <f>VLOOKUP(C26,'Sales Master'!$B$3:$F$3247,5,0)</f>
        <v>10PKT/BAG</v>
      </c>
      <c r="I26" s="482" t="str">
        <f>VLOOKUP(C26,'Sales Master'!$B$3:$E$3247,4,0)</f>
        <v>-</v>
      </c>
      <c r="J26" s="482"/>
      <c r="K26" s="35">
        <f>VLOOKUP(C26,'Sales Master'!$B$3:$AU$583,46,0)</f>
        <v>9.5</v>
      </c>
      <c r="L26" s="36">
        <f t="shared" si="3"/>
        <v>19</v>
      </c>
      <c r="M26" s="76"/>
      <c r="N26" s="225">
        <f>VLOOKUP(C26,'Sales Master'!$B$3:$DA$3038,104,0)</f>
        <v>7.5</v>
      </c>
      <c r="O26" s="225">
        <f t="shared" si="4"/>
        <v>2</v>
      </c>
      <c r="P26" s="225">
        <f t="shared" si="5"/>
        <v>4</v>
      </c>
      <c r="Q26" s="354"/>
      <c r="R26" s="125"/>
      <c r="S26" s="125"/>
      <c r="T26" s="125"/>
      <c r="U26" s="125"/>
      <c r="V26" s="125"/>
    </row>
    <row r="27" spans="2:22" ht="20.149999999999999" customHeight="1" x14ac:dyDescent="0.45">
      <c r="B27" s="34"/>
      <c r="C27" s="22" t="s">
        <v>1608</v>
      </c>
      <c r="D27" s="508" t="str">
        <f>VLOOKUP(C27,'Sales Master'!B$3:D$499,2,)</f>
        <v>Pearl Barley 薏米</v>
      </c>
      <c r="E27" s="508"/>
      <c r="F27" s="508"/>
      <c r="G27" s="90">
        <v>3</v>
      </c>
      <c r="H27" s="102" t="str">
        <f>VLOOKUP(C27,'Sales Master'!$B$3:$F$3247,5,0)</f>
        <v>5 kgs</v>
      </c>
      <c r="I27" s="482" t="str">
        <f>VLOOKUP(C27,'Sales Master'!$B$3:$E$3247,4,0)</f>
        <v>-</v>
      </c>
      <c r="J27" s="482"/>
      <c r="K27" s="35">
        <f>VLOOKUP(C27,'Sales Master'!$B$3:$AU$583,46,0)</f>
        <v>10</v>
      </c>
      <c r="L27" s="36">
        <f t="shared" si="3"/>
        <v>30</v>
      </c>
      <c r="M27" s="76"/>
      <c r="N27" s="225">
        <f>VLOOKUP(C27,'Sales Master'!$B$3:$DA$3038,104,0)</f>
        <v>6.8000000000000007</v>
      </c>
      <c r="O27" s="225">
        <f t="shared" si="4"/>
        <v>3.1999999999999993</v>
      </c>
      <c r="P27" s="225">
        <f t="shared" si="5"/>
        <v>9.5999999999999979</v>
      </c>
      <c r="Q27" s="354"/>
      <c r="R27" s="125"/>
      <c r="S27" s="125"/>
      <c r="T27" s="125"/>
      <c r="U27" s="125"/>
      <c r="V27" s="125"/>
    </row>
    <row r="28" spans="2:22" ht="20.149999999999999" customHeight="1" x14ac:dyDescent="0.45">
      <c r="B28" s="34"/>
      <c r="C28" s="22" t="s">
        <v>1615</v>
      </c>
      <c r="D28" s="508" t="str">
        <f>VLOOKUP(C28,'Sales Master'!B$3:D$499,2,)</f>
        <v>Small Sago 小丸</v>
      </c>
      <c r="E28" s="508"/>
      <c r="F28" s="508"/>
      <c r="G28" s="90">
        <v>2</v>
      </c>
      <c r="H28" s="102" t="str">
        <f>VLOOKUP(C28,'Sales Master'!$B$3:$F$3247,5,0)</f>
        <v>5 kgs</v>
      </c>
      <c r="I28" s="482" t="str">
        <f>VLOOKUP(C28,'Sales Master'!$B$3:$E$3247,4,0)</f>
        <v>-</v>
      </c>
      <c r="J28" s="482"/>
      <c r="K28" s="35">
        <f>VLOOKUP(C28,'Sales Master'!$B$3:$AU$583,46,0)</f>
        <v>10</v>
      </c>
      <c r="L28" s="36">
        <f t="shared" ref="L28" si="9">K28*G28</f>
        <v>20</v>
      </c>
      <c r="M28" s="76"/>
      <c r="N28" s="225">
        <f>VLOOKUP(C28,'Sales Master'!$B$3:$DA$3038,104,0)</f>
        <v>8</v>
      </c>
      <c r="O28" s="225">
        <f t="shared" ref="O28" si="10">K28-N28</f>
        <v>2</v>
      </c>
      <c r="P28" s="225">
        <f t="shared" ref="P28" si="11">O28*G28</f>
        <v>4</v>
      </c>
      <c r="Q28" s="354"/>
      <c r="R28" s="125"/>
      <c r="S28" s="125"/>
      <c r="T28" s="125"/>
      <c r="U28" s="125"/>
      <c r="V28" s="125"/>
    </row>
    <row r="29" spans="2:22" ht="20.149999999999999" customHeight="1" x14ac:dyDescent="0.45">
      <c r="B29" s="34"/>
      <c r="C29" s="22" t="s">
        <v>1624</v>
      </c>
      <c r="D29" s="508" t="str">
        <f>VLOOKUP(C29,'Sales Master'!B$3:D$499,2,)</f>
        <v>Fungus黄 木耳朵</v>
      </c>
      <c r="E29" s="508"/>
      <c r="F29" s="508"/>
      <c r="G29" s="90">
        <v>1</v>
      </c>
      <c r="H29" s="102" t="str">
        <f>VLOOKUP(C29,'Sales Master'!$B$3:$F$3247,5,0)</f>
        <v>1 kg</v>
      </c>
      <c r="I29" s="482" t="str">
        <f>VLOOKUP(C29,'Sales Master'!$B$3:$E$3247,4,0)</f>
        <v>黄</v>
      </c>
      <c r="J29" s="482"/>
      <c r="K29" s="35">
        <f>VLOOKUP(C29,'Sales Master'!$B$3:$AU$583,46,0)</f>
        <v>16</v>
      </c>
      <c r="L29" s="36">
        <f t="shared" ref="L29" si="12">K29*G29</f>
        <v>16</v>
      </c>
      <c r="M29" s="76"/>
      <c r="N29" s="225">
        <f>VLOOKUP(C29,'Sales Master'!$B$3:$DA$3038,104,0)</f>
        <v>11</v>
      </c>
      <c r="O29" s="225">
        <f t="shared" ref="O29" si="13">K29-N29</f>
        <v>5</v>
      </c>
      <c r="P29" s="225">
        <f t="shared" ref="P29" si="14">O29*G29</f>
        <v>5</v>
      </c>
      <c r="Q29" s="354"/>
      <c r="R29" s="125"/>
      <c r="S29" s="125"/>
      <c r="T29" s="125"/>
      <c r="U29" s="125"/>
      <c r="V29" s="125"/>
    </row>
    <row r="30" spans="2:22" ht="20.149999999999999" customHeight="1" x14ac:dyDescent="0.45">
      <c r="B30" s="34"/>
      <c r="C30" s="22" t="s">
        <v>1696</v>
      </c>
      <c r="D30" s="508" t="str">
        <f>VLOOKUP(C30,'Sales Master'!B$3:D$499,2,)</f>
        <v>Longan in Syrup龙眼</v>
      </c>
      <c r="E30" s="508"/>
      <c r="F30" s="508"/>
      <c r="G30" s="90">
        <v>2</v>
      </c>
      <c r="H30" s="102" t="str">
        <f>VLOOKUP(C30,'Sales Master'!$B$3:$F$3247,5,0)</f>
        <v>(565gm x 12)/箱</v>
      </c>
      <c r="I30" s="482" t="str">
        <f>VLOOKUP(C30,'Sales Master'!$B$3:$E$3247,4,0)</f>
        <v>YiFong</v>
      </c>
      <c r="J30" s="482"/>
      <c r="K30" s="35">
        <f>VLOOKUP(C30,'Sales Master'!$B$3:$AU$583,46,0)</f>
        <v>24</v>
      </c>
      <c r="L30" s="36">
        <f t="shared" ref="L30:L39" si="15">K30*G30</f>
        <v>48</v>
      </c>
      <c r="M30" s="76"/>
      <c r="N30" s="225">
        <f>VLOOKUP(C30,'Sales Master'!$B$3:$DA$3038,104,0)</f>
        <v>18.055555555555557</v>
      </c>
      <c r="O30" s="225">
        <f t="shared" ref="O30:O39" si="16">K30-N30</f>
        <v>5.9444444444444429</v>
      </c>
      <c r="P30" s="225">
        <f t="shared" ref="P30:P39" si="17">O30*G30</f>
        <v>11.888888888888886</v>
      </c>
      <c r="Q30" s="354"/>
      <c r="R30" s="125"/>
      <c r="S30" s="125"/>
      <c r="T30" s="125"/>
      <c r="U30" s="125"/>
      <c r="V30" s="125"/>
    </row>
    <row r="31" spans="2:22" ht="20.149999999999999" customHeight="1" x14ac:dyDescent="0.45">
      <c r="B31" s="34"/>
      <c r="C31" s="22" t="s">
        <v>1726</v>
      </c>
      <c r="D31" s="508" t="str">
        <f>VLOOKUP(C31,'Sales Master'!B$3:D$499,2,)</f>
        <v>GingKo Nut白果罐</v>
      </c>
      <c r="E31" s="508"/>
      <c r="F31" s="508"/>
      <c r="G31" s="90">
        <v>1</v>
      </c>
      <c r="H31" s="102" t="str">
        <f>VLOOKUP(C31,'Sales Master'!$B$3:$F$3247,5,0)</f>
        <v>(397gm x 24)/箱</v>
      </c>
      <c r="I31" s="482" t="str">
        <f>VLOOKUP(C31,'Sales Master'!$B$3:$E$3247,4,0)</f>
        <v>MiLi</v>
      </c>
      <c r="J31" s="482"/>
      <c r="K31" s="35">
        <f>VLOOKUP(C31,'Sales Master'!$B$3:$AU$583,46,0)</f>
        <v>32</v>
      </c>
      <c r="L31" s="36">
        <f t="shared" si="15"/>
        <v>32</v>
      </c>
      <c r="M31" s="76"/>
      <c r="N31" s="225">
        <f>VLOOKUP(C31,'Sales Master'!$B$3:$DA$3038,104,0)</f>
        <v>21</v>
      </c>
      <c r="O31" s="225">
        <f t="shared" si="16"/>
        <v>11</v>
      </c>
      <c r="P31" s="225">
        <f t="shared" si="17"/>
        <v>11</v>
      </c>
      <c r="Q31" s="354"/>
      <c r="R31" s="125"/>
      <c r="S31" s="125"/>
      <c r="T31" s="125"/>
      <c r="U31" s="125"/>
      <c r="V31" s="125"/>
    </row>
    <row r="32" spans="2:22" ht="20.149999999999999" customHeight="1" x14ac:dyDescent="0.45">
      <c r="B32" s="34"/>
      <c r="C32" s="22" t="s">
        <v>2073</v>
      </c>
      <c r="D32" s="508" t="str">
        <f>VLOOKUP(C32,'Sales Master'!B$3:D$499,2,)</f>
        <v>Water Chestnut 马蹄 - Can</v>
      </c>
      <c r="E32" s="508"/>
      <c r="F32" s="508"/>
      <c r="G32" s="90">
        <v>1</v>
      </c>
      <c r="H32" s="102" t="str">
        <f>VLOOKUP(C32,'Sales Master'!$B$3:$F$3247,5,0)</f>
        <v>(567gm x 24)/箱</v>
      </c>
      <c r="I32" s="482" t="str">
        <f>VLOOKUP(C32,'Sales Master'!$B$3:$E$3247,4,0)</f>
        <v>GOLDEN CHAMP</v>
      </c>
      <c r="J32" s="482"/>
      <c r="K32" s="35">
        <f>VLOOKUP(C32,'Sales Master'!$B$3:$AU$583,46,0)</f>
        <v>34</v>
      </c>
      <c r="L32" s="36">
        <f t="shared" si="15"/>
        <v>34</v>
      </c>
      <c r="M32" s="76"/>
      <c r="N32" s="225">
        <f>VLOOKUP(C32,'Sales Master'!$B$3:$DA$3038,104,0)</f>
        <v>28</v>
      </c>
      <c r="O32" s="225">
        <f t="shared" si="16"/>
        <v>6</v>
      </c>
      <c r="P32" s="225">
        <f t="shared" si="17"/>
        <v>6</v>
      </c>
      <c r="Q32" s="354"/>
      <c r="R32" s="125"/>
      <c r="S32" s="125"/>
      <c r="T32" s="125"/>
      <c r="U32" s="125"/>
      <c r="V32" s="125"/>
    </row>
    <row r="33" spans="2:22" ht="20.149999999999999" customHeight="1" x14ac:dyDescent="0.45">
      <c r="B33" s="34"/>
      <c r="C33" s="22" t="s">
        <v>1736</v>
      </c>
      <c r="D33" s="508" t="str">
        <f>VLOOKUP(C33,'Sales Master'!B$3:D$499,2,)</f>
        <v>Coconut Milk 椰浆</v>
      </c>
      <c r="E33" s="508"/>
      <c r="F33" s="508"/>
      <c r="G33" s="90">
        <v>3</v>
      </c>
      <c r="H33" s="102" t="str">
        <f>VLOOKUP(C33,'Sales Master'!$B$3:$F$3247,5,0)</f>
        <v>(1L x 12bag)/箱</v>
      </c>
      <c r="I33" s="482" t="str">
        <f>VLOOKUP(C33,'Sales Master'!$B$3:$E$3247,4,0)</f>
        <v>Kara UHT</v>
      </c>
      <c r="J33" s="482"/>
      <c r="K33" s="35">
        <f>VLOOKUP(C33,'Sales Master'!$B$3:$AU$583,46,0)</f>
        <v>42</v>
      </c>
      <c r="L33" s="36">
        <f t="shared" si="15"/>
        <v>126</v>
      </c>
      <c r="M33" s="76"/>
      <c r="N33" s="225">
        <f>VLOOKUP(C33,'Sales Master'!$B$3:$DA$3038,104,0)</f>
        <v>35.5</v>
      </c>
      <c r="O33" s="225">
        <f t="shared" si="16"/>
        <v>6.5</v>
      </c>
      <c r="P33" s="225">
        <f t="shared" si="17"/>
        <v>19.5</v>
      </c>
      <c r="Q33" s="354"/>
      <c r="R33" s="125"/>
      <c r="S33" s="125"/>
      <c r="T33" s="125"/>
      <c r="U33" s="125"/>
      <c r="V33" s="125"/>
    </row>
    <row r="34" spans="2:22" ht="20.149999999999999" customHeight="1" x14ac:dyDescent="0.45">
      <c r="B34" s="34"/>
      <c r="C34" s="22" t="s">
        <v>1789</v>
      </c>
      <c r="D34" s="508" t="str">
        <f>VLOOKUP(C34,'Sales Master'!B$3:D$499,2,)</f>
        <v>Sweet Potato 番薯</v>
      </c>
      <c r="E34" s="508"/>
      <c r="F34" s="508"/>
      <c r="G34" s="90">
        <v>20</v>
      </c>
      <c r="H34" s="102" t="str">
        <f>VLOOKUP(C34,'Sales Master'!$B$3:$F$3247,5,0)</f>
        <v>1 KG</v>
      </c>
      <c r="I34" s="482" t="str">
        <f>VLOOKUP(C34,'Sales Master'!$B$3:$E$3247,4,0)</f>
        <v>Malaysia</v>
      </c>
      <c r="J34" s="482"/>
      <c r="K34" s="35">
        <f>VLOOKUP(C34,'Sales Master'!$B$3:$AU$583,46,0)</f>
        <v>2.5</v>
      </c>
      <c r="L34" s="36">
        <f t="shared" si="15"/>
        <v>50</v>
      </c>
      <c r="M34" s="76"/>
      <c r="N34" s="225">
        <f>VLOOKUP(C34,'Sales Master'!$B$3:$DA$3038,104,0)</f>
        <v>1.8666666666666665</v>
      </c>
      <c r="O34" s="225">
        <f t="shared" si="16"/>
        <v>0.63333333333333353</v>
      </c>
      <c r="P34" s="225">
        <f t="shared" si="17"/>
        <v>12.666666666666671</v>
      </c>
      <c r="Q34" s="354"/>
      <c r="R34" s="125"/>
      <c r="S34" s="125"/>
      <c r="T34" s="125"/>
      <c r="U34" s="125"/>
      <c r="V34" s="125"/>
    </row>
    <row r="35" spans="2:22" ht="20.149999999999999" customHeight="1" x14ac:dyDescent="0.45">
      <c r="B35" s="34"/>
      <c r="C35" s="22" t="s">
        <v>1792</v>
      </c>
      <c r="D35" s="508" t="str">
        <f>VLOOKUP(C35,'Sales Master'!B$3:D$499,2,)</f>
        <v>Yam 芋头</v>
      </c>
      <c r="E35" s="508"/>
      <c r="F35" s="508"/>
      <c r="G35" s="90">
        <v>4</v>
      </c>
      <c r="H35" s="102" t="str">
        <f>VLOOKUP(C35,'Sales Master'!$B$3:$F$3247,5,0)</f>
        <v>1 KG</v>
      </c>
      <c r="I35" s="482" t="str">
        <f>VLOOKUP(C35,'Sales Master'!$B$3:$E$3247,4,0)</f>
        <v>Malaysia</v>
      </c>
      <c r="J35" s="482"/>
      <c r="K35" s="35">
        <f>VLOOKUP(C35,'Sales Master'!$B$3:$AU$583,46,0)</f>
        <v>3</v>
      </c>
      <c r="L35" s="36">
        <f t="shared" si="15"/>
        <v>12</v>
      </c>
      <c r="M35" s="76"/>
      <c r="N35" s="225">
        <f>VLOOKUP(C35,'Sales Master'!$B$3:$DA$3038,104,0)</f>
        <v>1.8</v>
      </c>
      <c r="O35" s="225">
        <f t="shared" si="16"/>
        <v>1.2</v>
      </c>
      <c r="P35" s="225">
        <f t="shared" si="17"/>
        <v>4.8</v>
      </c>
      <c r="Q35" s="354"/>
      <c r="R35" s="125"/>
      <c r="S35" s="125"/>
      <c r="T35" s="125"/>
      <c r="U35" s="125"/>
      <c r="V35" s="125"/>
    </row>
    <row r="36" spans="2:22" ht="20.149999999999999" customHeight="1" x14ac:dyDescent="0.45">
      <c r="B36" s="34"/>
      <c r="C36" s="22" t="s">
        <v>1794</v>
      </c>
      <c r="D36" s="508" t="str">
        <f>VLOOKUP(C36,'Sales Master'!B$3:D$499,2,)</f>
        <v>Pandan Leaf 班兰叶</v>
      </c>
      <c r="E36" s="508"/>
      <c r="F36" s="508"/>
      <c r="G36" s="90">
        <v>7</v>
      </c>
      <c r="H36" s="102" t="str">
        <f>VLOOKUP(C36,'Sales Master'!$B$3:$F$3247,5,0)</f>
        <v>1 kg</v>
      </c>
      <c r="I36" s="482" t="str">
        <f>VLOOKUP(C36,'Sales Master'!$B$3:$E$3247,4,0)</f>
        <v>-</v>
      </c>
      <c r="J36" s="482"/>
      <c r="K36" s="35">
        <f>VLOOKUP(C36,'Sales Master'!$B$3:$AU$583,46,0)</f>
        <v>1.8</v>
      </c>
      <c r="L36" s="36">
        <f t="shared" si="15"/>
        <v>12.6</v>
      </c>
      <c r="M36" s="76"/>
      <c r="N36" s="225">
        <f>VLOOKUP(C36,'Sales Master'!$B$3:$DA$3038,104,0)</f>
        <v>1</v>
      </c>
      <c r="O36" s="225">
        <f t="shared" si="16"/>
        <v>0.8</v>
      </c>
      <c r="P36" s="225">
        <f t="shared" si="17"/>
        <v>5.6000000000000005</v>
      </c>
      <c r="Q36" s="125"/>
      <c r="R36" s="125"/>
      <c r="S36" s="125"/>
      <c r="T36" s="125"/>
      <c r="U36" s="125"/>
      <c r="V36" s="125"/>
    </row>
    <row r="37" spans="2:22" ht="20.149999999999999" customHeight="1" x14ac:dyDescent="0.45">
      <c r="B37" s="34"/>
      <c r="C37" s="22" t="s">
        <v>1795</v>
      </c>
      <c r="D37" s="508" t="str">
        <f>VLOOKUP(C37,'Sales Master'!B$3:D$499,2,)</f>
        <v>Lime 酸甘</v>
      </c>
      <c r="E37" s="508"/>
      <c r="F37" s="508"/>
      <c r="G37" s="90">
        <v>2</v>
      </c>
      <c r="H37" s="102" t="str">
        <f>VLOOKUP(C37,'Sales Master'!$B$3:$F$3247,5,0)</f>
        <v>1 kg</v>
      </c>
      <c r="I37" s="482" t="str">
        <f>VLOOKUP(C37,'Sales Master'!$B$3:$E$3247,4,0)</f>
        <v>-</v>
      </c>
      <c r="J37" s="482"/>
      <c r="K37" s="35">
        <f>VLOOKUP(C37,'Sales Master'!$B$3:$AU$583,46,0)</f>
        <v>2.8</v>
      </c>
      <c r="L37" s="36">
        <f t="shared" si="15"/>
        <v>5.6</v>
      </c>
      <c r="M37" s="76"/>
      <c r="N37" s="225">
        <f>VLOOKUP(C37,'Sales Master'!$B$3:$DA$3038,104,0)</f>
        <v>1.9</v>
      </c>
      <c r="O37" s="225">
        <f t="shared" si="16"/>
        <v>0.89999999999999991</v>
      </c>
      <c r="P37" s="225">
        <f t="shared" si="17"/>
        <v>1.7999999999999998</v>
      </c>
      <c r="Q37" s="125"/>
      <c r="R37" s="125"/>
      <c r="S37" s="125"/>
      <c r="T37" s="125"/>
      <c r="U37" s="125"/>
      <c r="V37" s="125"/>
    </row>
    <row r="38" spans="2:22" ht="20.149999999999999" customHeight="1" x14ac:dyDescent="0.45">
      <c r="B38" s="34"/>
      <c r="C38" s="22" t="s">
        <v>1805</v>
      </c>
      <c r="D38" s="555" t="str">
        <f>VLOOKUP(C38,'Sales Master'!B$3:D$499,2,)</f>
        <v>Food Coloring - Liquid)颜色-水</v>
      </c>
      <c r="E38" s="555"/>
      <c r="F38" s="555"/>
      <c r="G38" s="90">
        <v>1</v>
      </c>
      <c r="H38" s="102" t="str">
        <f>VLOOKUP(C38,'Sales Master'!$B$3:$F$3247,5,0)</f>
        <v>500 ML/BTL</v>
      </c>
      <c r="I38" s="482" t="str">
        <f>VLOOKUP(C38,'Sales Master'!$B$3:$E$3247,4,0)</f>
        <v>Red/红</v>
      </c>
      <c r="J38" s="482"/>
      <c r="K38" s="35">
        <f>VLOOKUP(C38,'Sales Master'!$B$3:$AU$583,46,0)</f>
        <v>2.5</v>
      </c>
      <c r="L38" s="36">
        <f t="shared" si="15"/>
        <v>2.5</v>
      </c>
      <c r="M38" s="76"/>
      <c r="N38" s="225">
        <f>VLOOKUP(C38,'Sales Master'!$B$3:$DA$3038,104,0)</f>
        <v>1.5999999999999999</v>
      </c>
      <c r="O38" s="225">
        <f t="shared" si="16"/>
        <v>0.90000000000000013</v>
      </c>
      <c r="P38" s="225">
        <f t="shared" si="17"/>
        <v>0.90000000000000013</v>
      </c>
      <c r="Q38" s="125"/>
      <c r="R38" s="125"/>
      <c r="S38" s="125"/>
      <c r="T38" s="125"/>
      <c r="U38" s="125"/>
      <c r="V38" s="125"/>
    </row>
    <row r="39" spans="2:22" ht="20.149999999999999" customHeight="1" x14ac:dyDescent="0.45">
      <c r="B39" s="34"/>
      <c r="C39" s="22" t="s">
        <v>1813</v>
      </c>
      <c r="D39" s="508" t="str">
        <f>VLOOKUP(C39,'Sales Master'!B$3:D$499,2,)</f>
        <v>Flavour Essence香精</v>
      </c>
      <c r="E39" s="508"/>
      <c r="F39" s="508"/>
      <c r="G39" s="90">
        <v>1</v>
      </c>
      <c r="H39" s="102" t="str">
        <f>VLOOKUP(C39,'Sales Master'!$B$3:$F$3247,5,0)</f>
        <v>450 ML/BTL</v>
      </c>
      <c r="I39" s="482" t="str">
        <f>VLOOKUP(C39,'Sales Master'!$B$3:$E$3247,4,0)</f>
        <v>Almond No 1</v>
      </c>
      <c r="J39" s="482"/>
      <c r="K39" s="35">
        <f>VLOOKUP(C39,'Sales Master'!$B$3:$AU$583,46,0)</f>
        <v>15</v>
      </c>
      <c r="L39" s="36">
        <f t="shared" si="15"/>
        <v>15</v>
      </c>
      <c r="M39" s="76"/>
      <c r="N39" s="225">
        <f>VLOOKUP(C39,'Sales Master'!$B$3:$DA$3038,104,0)</f>
        <v>10.5</v>
      </c>
      <c r="O39" s="225">
        <f t="shared" si="16"/>
        <v>4.5</v>
      </c>
      <c r="P39" s="225">
        <f t="shared" si="17"/>
        <v>4.5</v>
      </c>
      <c r="Q39" s="125"/>
      <c r="R39" s="125"/>
      <c r="S39" s="125"/>
      <c r="T39" s="125"/>
      <c r="U39" s="125"/>
      <c r="V39" s="125"/>
    </row>
    <row r="40" spans="2:22" ht="20.149999999999999" customHeight="1" x14ac:dyDescent="0.45">
      <c r="B40" s="34"/>
      <c r="C40" s="22"/>
      <c r="G40" s="90"/>
      <c r="H40" s="102"/>
      <c r="I40" s="438"/>
      <c r="J40" s="438"/>
      <c r="K40" s="35"/>
      <c r="L40" s="36"/>
      <c r="M40" s="76"/>
      <c r="N40" s="225"/>
      <c r="O40" s="225"/>
      <c r="P40" s="225"/>
      <c r="Q40" s="125"/>
      <c r="R40" s="125"/>
      <c r="S40" s="125"/>
      <c r="T40" s="125"/>
      <c r="U40" s="125"/>
      <c r="V40" s="125"/>
    </row>
    <row r="41" spans="2:22" ht="20.149999999999999" customHeight="1" x14ac:dyDescent="0.45">
      <c r="B41" s="155"/>
      <c r="C41" s="50"/>
      <c r="D41" s="50"/>
      <c r="E41" s="50"/>
      <c r="F41" s="50"/>
      <c r="G41" s="196"/>
      <c r="H41" s="409"/>
      <c r="I41" s="106"/>
      <c r="J41" s="106"/>
      <c r="K41" s="163"/>
      <c r="L41" s="190"/>
      <c r="M41" s="76"/>
      <c r="N41" s="225"/>
      <c r="O41" s="225"/>
      <c r="P41" s="225"/>
      <c r="Q41" s="125"/>
    </row>
    <row r="42" spans="2:22" ht="20.149999999999999" customHeight="1" thickBot="1" x14ac:dyDescent="0.5">
      <c r="B42" s="41"/>
      <c r="L42" s="42"/>
    </row>
    <row r="43" spans="2:22" ht="20.149999999999999" customHeight="1" x14ac:dyDescent="0.45">
      <c r="B43" s="11" t="s">
        <v>18</v>
      </c>
      <c r="C43" s="7"/>
      <c r="D43" s="7"/>
      <c r="E43" s="7"/>
      <c r="F43" s="7"/>
      <c r="G43" s="7"/>
      <c r="H43" s="7"/>
      <c r="I43" s="7"/>
      <c r="J43" s="510" t="s">
        <v>15</v>
      </c>
      <c r="K43" s="511"/>
      <c r="L43" s="43">
        <f>SUM(L17:L42)</f>
        <v>766.2</v>
      </c>
      <c r="M43" s="76">
        <f>SUM(P18:P41)-L43*0.02</f>
        <v>226.21555555555557</v>
      </c>
      <c r="N43" s="201">
        <f>M43/L43</f>
        <v>0.29524348153948782</v>
      </c>
    </row>
    <row r="44" spans="2:22" ht="20.149999999999999" customHeight="1" x14ac:dyDescent="0.45">
      <c r="B44" s="11" t="s">
        <v>19</v>
      </c>
      <c r="C44" s="7"/>
      <c r="D44" s="7"/>
      <c r="E44" s="7"/>
      <c r="F44" s="7"/>
      <c r="G44" s="7"/>
      <c r="H44" s="7"/>
      <c r="I44" s="7"/>
      <c r="J44" s="44" t="s">
        <v>22</v>
      </c>
      <c r="K44" s="45"/>
      <c r="L44" s="46">
        <f>L43*K44</f>
        <v>0</v>
      </c>
    </row>
    <row r="45" spans="2:22" ht="20.149999999999999" customHeight="1" x14ac:dyDescent="0.45">
      <c r="B45" s="11" t="s">
        <v>20</v>
      </c>
      <c r="C45" s="7"/>
      <c r="D45" s="7"/>
      <c r="E45" s="7"/>
      <c r="F45" s="7"/>
      <c r="G45" s="7"/>
      <c r="H45" s="7"/>
      <c r="I45" s="7"/>
      <c r="J45" s="486" t="s">
        <v>21</v>
      </c>
      <c r="K45" s="487"/>
      <c r="L45" s="46">
        <f>L43-L44</f>
        <v>766.2</v>
      </c>
    </row>
    <row r="46" spans="2:22" ht="20.149999999999999" customHeight="1" x14ac:dyDescent="0.45">
      <c r="B46" s="11" t="s">
        <v>24</v>
      </c>
      <c r="C46" s="7"/>
      <c r="D46" s="7"/>
      <c r="E46" s="7"/>
      <c r="F46" s="7"/>
      <c r="G46" s="7"/>
      <c r="H46" s="7"/>
      <c r="I46" s="7"/>
      <c r="J46" s="150" t="s">
        <v>17</v>
      </c>
      <c r="K46" s="151">
        <v>7.0000000000000007E-2</v>
      </c>
      <c r="L46" s="47">
        <f>L45*K46</f>
        <v>53.634000000000007</v>
      </c>
    </row>
    <row r="47" spans="2:22" ht="20.149999999999999" customHeight="1" thickBot="1" x14ac:dyDescent="0.5">
      <c r="B47" s="11" t="s">
        <v>1400</v>
      </c>
      <c r="C47" s="7"/>
      <c r="D47" s="7"/>
      <c r="E47" s="7"/>
      <c r="F47" s="7"/>
      <c r="G47" s="7"/>
      <c r="H47" s="7"/>
      <c r="I47" s="7"/>
      <c r="J47" s="488" t="s">
        <v>23</v>
      </c>
      <c r="K47" s="489"/>
      <c r="L47" s="48">
        <f>L45+L46</f>
        <v>819.83400000000006</v>
      </c>
    </row>
    <row r="48" spans="2:22" ht="20.149999999999999" customHeight="1" x14ac:dyDescent="0.45">
      <c r="B48" s="11" t="s">
        <v>26</v>
      </c>
      <c r="C48" s="7"/>
      <c r="D48" s="7"/>
      <c r="E48" s="7"/>
      <c r="F48" s="7"/>
      <c r="G48" s="7"/>
      <c r="H48" s="7"/>
      <c r="I48" s="7"/>
      <c r="L48" s="42"/>
    </row>
    <row r="49" spans="2:12" ht="20.149999999999999" customHeight="1" x14ac:dyDescent="0.45">
      <c r="B49" s="224" t="s">
        <v>1379</v>
      </c>
      <c r="L49" s="42"/>
    </row>
    <row r="50" spans="2:12" ht="20.149999999999999" customHeight="1" x14ac:dyDescent="0.45">
      <c r="B50" s="41"/>
      <c r="L50" s="42"/>
    </row>
    <row r="51" spans="2:12" ht="20.149999999999999" customHeight="1" x14ac:dyDescent="0.45">
      <c r="B51" s="41"/>
      <c r="L51" s="42"/>
    </row>
    <row r="52" spans="2:12" ht="20.149999999999999" customHeight="1" x14ac:dyDescent="0.45">
      <c r="B52" s="41"/>
      <c r="L52" s="42"/>
    </row>
    <row r="53" spans="2:12" ht="20.149999999999999" customHeight="1" x14ac:dyDescent="0.45">
      <c r="B53" s="49"/>
      <c r="C53" s="50"/>
      <c r="D53" s="50"/>
      <c r="J53" s="50"/>
      <c r="K53" s="50"/>
      <c r="L53" s="51"/>
    </row>
    <row r="54" spans="2:12" ht="20.149999999999999" customHeight="1" x14ac:dyDescent="0.45">
      <c r="B54" s="41" t="s">
        <v>27</v>
      </c>
      <c r="J54" s="24" t="s">
        <v>28</v>
      </c>
      <c r="L54" s="42"/>
    </row>
    <row r="55" spans="2:12" ht="19" thickBot="1" x14ac:dyDescent="0.5">
      <c r="B55" s="52"/>
      <c r="C55" s="53"/>
      <c r="D55" s="53"/>
      <c r="E55" s="53"/>
      <c r="F55" s="53"/>
      <c r="G55" s="53"/>
      <c r="H55" s="53"/>
      <c r="I55" s="53"/>
      <c r="J55" s="53"/>
      <c r="K55" s="53"/>
      <c r="L55" s="54"/>
    </row>
  </sheetData>
  <mergeCells count="63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  <mergeCell ref="J47:K47"/>
    <mergeCell ref="J45:K45"/>
    <mergeCell ref="J43:K43"/>
    <mergeCell ref="K9:L9"/>
    <mergeCell ref="D18:F18"/>
    <mergeCell ref="I18:J18"/>
    <mergeCell ref="D19:F19"/>
    <mergeCell ref="I19:J19"/>
    <mergeCell ref="I17:J17"/>
    <mergeCell ref="D17:F17"/>
    <mergeCell ref="D20:F20"/>
    <mergeCell ref="D29:F29"/>
    <mergeCell ref="D30:F30"/>
    <mergeCell ref="I27:J27"/>
    <mergeCell ref="D37:F37"/>
    <mergeCell ref="I36:J36"/>
    <mergeCell ref="I30:J30"/>
    <mergeCell ref="D36:F36"/>
    <mergeCell ref="D28:F28"/>
    <mergeCell ref="I32:J32"/>
    <mergeCell ref="I33:J33"/>
    <mergeCell ref="I34:J34"/>
    <mergeCell ref="I35:J35"/>
    <mergeCell ref="I28:J28"/>
    <mergeCell ref="I29:J29"/>
    <mergeCell ref="D27:F27"/>
    <mergeCell ref="D32:F32"/>
    <mergeCell ref="D33:F33"/>
    <mergeCell ref="D34:F34"/>
    <mergeCell ref="D35:F35"/>
    <mergeCell ref="I20:J20"/>
    <mergeCell ref="I21:J21"/>
    <mergeCell ref="I22:J22"/>
    <mergeCell ref="I23:J23"/>
    <mergeCell ref="I26:J26"/>
    <mergeCell ref="I25:J25"/>
    <mergeCell ref="I24:J24"/>
    <mergeCell ref="D21:F21"/>
    <mergeCell ref="D22:F22"/>
    <mergeCell ref="D23:F23"/>
    <mergeCell ref="D26:F26"/>
    <mergeCell ref="D25:F25"/>
    <mergeCell ref="D24:F24"/>
    <mergeCell ref="D38:F38"/>
    <mergeCell ref="D39:F39"/>
    <mergeCell ref="D31:F31"/>
    <mergeCell ref="I31:J31"/>
    <mergeCell ref="I38:J38"/>
    <mergeCell ref="I39:J39"/>
    <mergeCell ref="I37:J37"/>
  </mergeCells>
  <conditionalFormatting sqref="C19:C40">
    <cfRule type="duplicateValues" dxfId="49" priority="1158"/>
  </conditionalFormatting>
  <conditionalFormatting sqref="C18:C40">
    <cfRule type="duplicateValues" dxfId="48" priority="1160"/>
  </conditionalFormatting>
  <pageMargins left="0.70866141732283505" right="0.31496062992126" top="0.511811023622047" bottom="0.23622047244094499" header="0.31496062992126" footer="0.31496062992126"/>
  <pageSetup paperSize="9" scale="72" orientation="portrait" horizontalDpi="300" verticalDpi="300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D4F74B-8EBD-4E70-B283-AE595BDEC2CF}">
  <sheetPr codeName="Sheet36">
    <tabColor rgb="FFFFC000"/>
    <pageSetUpPr fitToPage="1"/>
  </sheetPr>
  <dimension ref="B1:Q46"/>
  <sheetViews>
    <sheetView topLeftCell="A12" workbookViewId="0">
      <selection activeCell="L22" sqref="L22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7.54296875" style="24" customWidth="1"/>
    <col min="7" max="7" width="8.54296875" style="24" customWidth="1"/>
    <col min="8" max="8" width="15.54296875" style="24" customWidth="1"/>
    <col min="9" max="9" width="1.453125" style="24" customWidth="1"/>
    <col min="10" max="10" width="15.54296875" style="24" customWidth="1"/>
    <col min="11" max="11" width="10.54296875" style="24" customWidth="1"/>
    <col min="12" max="12" width="12.54296875" style="24" customWidth="1"/>
    <col min="13" max="13" width="12.54296875" style="24"/>
    <col min="14" max="17" width="12.6328125" style="24" customWidth="1"/>
    <col min="18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91</v>
      </c>
      <c r="J10" s="29" t="s">
        <v>29</v>
      </c>
      <c r="K10" s="452">
        <v>202210029</v>
      </c>
      <c r="L10" s="453"/>
    </row>
    <row r="11" spans="2:12" ht="20.149999999999999" customHeight="1" x14ac:dyDescent="0.45">
      <c r="B11" s="454" t="s">
        <v>2037</v>
      </c>
      <c r="C11" s="455"/>
      <c r="D11" s="456"/>
      <c r="E11" s="30"/>
      <c r="F11" s="457" t="str">
        <f>VLOOKUP(H10,'Delivery Location'!A$4:N$416,2,0)</f>
        <v>Koufu Rasapura Masters                           2, Bayfront Avenue #B2-49A/50A Singapore 018972                              (Dessert)</v>
      </c>
      <c r="G11" s="458"/>
      <c r="H11" s="459"/>
      <c r="J11" s="31" t="s">
        <v>11</v>
      </c>
      <c r="K11" s="466">
        <v>44835</v>
      </c>
      <c r="L11" s="467"/>
    </row>
    <row r="12" spans="2:12" ht="20.149999999999999" customHeight="1" x14ac:dyDescent="0.45">
      <c r="B12" s="468" t="s">
        <v>2139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2375</v>
      </c>
      <c r="L12" s="472"/>
    </row>
    <row r="13" spans="2:12" ht="20.149999999999999" customHeight="1" x14ac:dyDescent="0.45">
      <c r="B13" s="468" t="s">
        <v>2024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14</v>
      </c>
      <c r="L13" s="472"/>
    </row>
    <row r="14" spans="2:12" ht="20.149999999999999" customHeight="1" x14ac:dyDescent="0.45">
      <c r="B14" s="468" t="s">
        <v>2025</v>
      </c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463" t="s">
        <v>2026</v>
      </c>
      <c r="C15" s="464"/>
      <c r="D15" s="465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17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17" ht="20.149999999999999" customHeight="1" x14ac:dyDescent="0.45">
      <c r="B18" s="34"/>
      <c r="C18" s="22" t="s">
        <v>1447</v>
      </c>
      <c r="D18" s="508" t="str">
        <f>VLOOKUP(C18,'Sales Master'!B$3:D$499,2,)</f>
        <v>Durian Puree 榴莲</v>
      </c>
      <c r="E18" s="508"/>
      <c r="F18" s="508"/>
      <c r="G18" s="22">
        <v>3</v>
      </c>
      <c r="H18" s="389" t="str">
        <f>VLOOKUP(C18,'Sales Master'!$B$3:$F$3179,5,0)</f>
        <v>BOX/盒</v>
      </c>
      <c r="I18" s="482" t="str">
        <f>VLOOKUP(C18,'Sales Master'!$B$3:$E$3179,4,0)</f>
        <v>DO!</v>
      </c>
      <c r="J18" s="482"/>
      <c r="K18" s="35">
        <f>VLOOKUP(C18,'Sales Master'!$B$3:$J$583,9,0)</f>
        <v>7</v>
      </c>
      <c r="L18" s="36">
        <f t="shared" ref="L18" si="0">K18*G18</f>
        <v>21</v>
      </c>
      <c r="N18" s="225">
        <f>VLOOKUP(C18,'Sales Master'!$B$3:$DA$3038,104,0)</f>
        <v>4.95</v>
      </c>
      <c r="O18" s="225">
        <f t="shared" ref="O18" si="1">K18-N18</f>
        <v>2.0499999999999998</v>
      </c>
      <c r="P18" s="225">
        <f t="shared" ref="P18" si="2">O18*G18</f>
        <v>6.1499999999999995</v>
      </c>
      <c r="Q18" s="354"/>
    </row>
    <row r="19" spans="2:17" ht="20.149999999999999" customHeight="1" x14ac:dyDescent="0.45">
      <c r="B19" s="34"/>
      <c r="C19" s="22" t="s">
        <v>1448</v>
      </c>
      <c r="D19" s="508" t="str">
        <f>VLOOKUP(C19,'Sales Master'!B$3:D$499,2,)</f>
        <v>Mango Puree芒果</v>
      </c>
      <c r="E19" s="508"/>
      <c r="F19" s="508"/>
      <c r="G19" s="22">
        <v>3</v>
      </c>
      <c r="H19" s="389" t="str">
        <f>VLOOKUP(C19,'Sales Master'!$B$3:$F$3179,5,0)</f>
        <v>BOX/盒</v>
      </c>
      <c r="I19" s="482" t="str">
        <f>VLOOKUP(C19,'Sales Master'!$B$3:$E$3179,4,0)</f>
        <v>DO!</v>
      </c>
      <c r="J19" s="482"/>
      <c r="K19" s="35">
        <f>VLOOKUP(C19,'Sales Master'!$B$3:$J$583,9,0)</f>
        <v>7</v>
      </c>
      <c r="L19" s="36">
        <f t="shared" ref="L19" si="3">K19*G19</f>
        <v>21</v>
      </c>
      <c r="N19" s="225">
        <f>VLOOKUP(C19,'Sales Master'!$B$3:$DA$3038,104,0)</f>
        <v>2</v>
      </c>
      <c r="O19" s="225">
        <f t="shared" ref="O19" si="4">K19-N19</f>
        <v>5</v>
      </c>
      <c r="P19" s="225">
        <f t="shared" ref="P19" si="5">O19*G19</f>
        <v>15</v>
      </c>
      <c r="Q19" s="354"/>
    </row>
    <row r="20" spans="2:17" ht="20.149999999999999" customHeight="1" x14ac:dyDescent="0.45">
      <c r="B20" s="34"/>
      <c r="C20" s="22" t="s">
        <v>1457</v>
      </c>
      <c r="D20" s="508" t="str">
        <f>VLOOKUP(C20,'Sales Master'!B$3:D$499,2,)</f>
        <v>Bobo ChaCha Cubes 摩摩喳喳</v>
      </c>
      <c r="E20" s="508"/>
      <c r="F20" s="508"/>
      <c r="G20" s="22">
        <v>3</v>
      </c>
      <c r="H20" s="389" t="str">
        <f>VLOOKUP(C20,'Sales Master'!$B$3:$F$3179,5,0)</f>
        <v>800 GM/BAG</v>
      </c>
      <c r="I20" s="482" t="str">
        <f>VLOOKUP(C20,'Sales Master'!$B$3:$E$3179,4,0)</f>
        <v>DO!</v>
      </c>
      <c r="J20" s="482"/>
      <c r="K20" s="35">
        <f>VLOOKUP(C20,'Sales Master'!$B$3:$J$583,9,0)</f>
        <v>6</v>
      </c>
      <c r="L20" s="36">
        <f t="shared" ref="L20:L25" si="6">K20*G20</f>
        <v>18</v>
      </c>
      <c r="N20" s="225">
        <f>VLOOKUP(C20,'Sales Master'!$B$3:$DA$3038,104,0)</f>
        <v>0.71</v>
      </c>
      <c r="O20" s="225">
        <f t="shared" ref="O20:O25" si="7">K20-N20</f>
        <v>5.29</v>
      </c>
      <c r="P20" s="225">
        <f t="shared" ref="P20:P25" si="8">O20*G20</f>
        <v>15.870000000000001</v>
      </c>
      <c r="Q20" s="354"/>
    </row>
    <row r="21" spans="2:17" ht="20.149999999999999" customHeight="1" x14ac:dyDescent="0.45">
      <c r="B21" s="34"/>
      <c r="C21" s="22" t="s">
        <v>1462</v>
      </c>
      <c r="D21" s="508" t="str">
        <f>VLOOKUP(C21,'Sales Master'!B$3:D$499,2,)</f>
        <v>Pong Thai Hai (Wet) 碰大海</v>
      </c>
      <c r="E21" s="508"/>
      <c r="F21" s="508"/>
      <c r="G21" s="22">
        <v>3</v>
      </c>
      <c r="H21" s="389" t="str">
        <f>VLOOKUP(C21,'Sales Master'!$B$3:$F$3179,5,0)</f>
        <v>1KG</v>
      </c>
      <c r="I21" s="482" t="str">
        <f>VLOOKUP(C21,'Sales Master'!$B$3:$E$3179,4,0)</f>
        <v>DO!</v>
      </c>
      <c r="J21" s="482"/>
      <c r="K21" s="35">
        <f>VLOOKUP(C21,'Sales Master'!$B$3:$J$583,9,0)</f>
        <v>7</v>
      </c>
      <c r="L21" s="36">
        <f t="shared" si="6"/>
        <v>21</v>
      </c>
      <c r="N21" s="225">
        <f>VLOOKUP(C21,'Sales Master'!$B$3:$DA$3038,104,0)</f>
        <v>0.85</v>
      </c>
      <c r="O21" s="225">
        <f t="shared" si="7"/>
        <v>6.15</v>
      </c>
      <c r="P21" s="225">
        <f t="shared" si="8"/>
        <v>18.450000000000003</v>
      </c>
      <c r="Q21" s="354"/>
    </row>
    <row r="22" spans="2:17" ht="20.149999999999999" customHeight="1" x14ac:dyDescent="0.45">
      <c r="B22" s="34"/>
      <c r="C22" s="22" t="s">
        <v>1482</v>
      </c>
      <c r="D22" s="508" t="str">
        <f>VLOOKUP(C22,'Sales Master'!B$3:D$499,2,)</f>
        <v>Tadpole蝌蚪</v>
      </c>
      <c r="E22" s="508"/>
      <c r="F22" s="508"/>
      <c r="G22" s="22">
        <v>15</v>
      </c>
      <c r="H22" s="389" t="str">
        <f>VLOOKUP(C22,'Sales Master'!$B$3:$F$3179,5,0)</f>
        <v>1 kg/Bag</v>
      </c>
      <c r="I22" s="482" t="str">
        <f>VLOOKUP(C22,'Sales Master'!$B$3:$E$3179,4,0)</f>
        <v>FJ</v>
      </c>
      <c r="J22" s="482"/>
      <c r="K22" s="35">
        <f>VLOOKUP(C22,'Sales Master'!$B$3:$J$583,9,0)</f>
        <v>6</v>
      </c>
      <c r="L22" s="36">
        <f t="shared" si="6"/>
        <v>90</v>
      </c>
      <c r="N22" s="225">
        <f>VLOOKUP(C22,'Sales Master'!$B$3:$DA$3038,104,0)</f>
        <v>5</v>
      </c>
      <c r="O22" s="225">
        <f t="shared" si="7"/>
        <v>1</v>
      </c>
      <c r="P22" s="225">
        <f t="shared" si="8"/>
        <v>15</v>
      </c>
      <c r="Q22" s="354"/>
    </row>
    <row r="23" spans="2:17" ht="20.149999999999999" customHeight="1" x14ac:dyDescent="0.45">
      <c r="B23" s="34"/>
      <c r="C23" s="22" t="s">
        <v>1564</v>
      </c>
      <c r="D23" s="508" t="str">
        <f>VLOOKUP(C23,'Sales Master'!B$3:D$499,2,)</f>
        <v>Atap Seeds in Syrup亚嗒子</v>
      </c>
      <c r="E23" s="508"/>
      <c r="F23" s="508"/>
      <c r="G23" s="22">
        <v>4</v>
      </c>
      <c r="H23" s="389" t="str">
        <f>VLOOKUP(C23,'Sales Master'!$B$3:$F$3179,5,0)</f>
        <v>NW (1.6:0.6) 2.2 kgs</v>
      </c>
      <c r="I23" s="482" t="str">
        <f>VLOOKUP(C23,'Sales Master'!$B$3:$E$3179,4,0)</f>
        <v>DO!</v>
      </c>
      <c r="J23" s="482"/>
      <c r="K23" s="35">
        <f>VLOOKUP(C23,'Sales Master'!$B$3:$J$583,9,0)</f>
        <v>9</v>
      </c>
      <c r="L23" s="36">
        <f t="shared" si="6"/>
        <v>36</v>
      </c>
      <c r="N23" s="225">
        <f>VLOOKUP(C23,'Sales Master'!$B$3:$DA$3038,104,0)</f>
        <v>4.8240000000000007</v>
      </c>
      <c r="O23" s="225">
        <f t="shared" si="7"/>
        <v>4.1759999999999993</v>
      </c>
      <c r="P23" s="225">
        <f t="shared" si="8"/>
        <v>16.703999999999997</v>
      </c>
      <c r="Q23" s="354"/>
    </row>
    <row r="24" spans="2:17" ht="20.149999999999999" customHeight="1" x14ac:dyDescent="0.45">
      <c r="B24" s="34"/>
      <c r="C24" s="22" t="s">
        <v>1566</v>
      </c>
      <c r="D24" s="508" t="str">
        <f>VLOOKUP(C24,'Sales Master'!B$3:D$499,2,)</f>
        <v>Chin Chow  仙草</v>
      </c>
      <c r="E24" s="508"/>
      <c r="F24" s="508"/>
      <c r="G24" s="22">
        <v>1</v>
      </c>
      <c r="H24" s="389" t="str">
        <f>VLOOKUP(C24,'Sales Master'!$B$3:$F$3179,5,0)</f>
        <v>5KGS/PKT</v>
      </c>
      <c r="I24" s="482" t="str">
        <f>VLOOKUP(C24,'Sales Master'!$B$3:$E$3179,4,0)</f>
        <v>TSM</v>
      </c>
      <c r="J24" s="482"/>
      <c r="K24" s="35">
        <f>VLOOKUP(C24,'Sales Master'!$B$3:$J$583,9,0)</f>
        <v>4.5</v>
      </c>
      <c r="L24" s="36">
        <f t="shared" si="6"/>
        <v>4.5</v>
      </c>
      <c r="N24" s="225">
        <f>VLOOKUP(C24,'Sales Master'!$B$3:$DA$3038,104,0)</f>
        <v>4</v>
      </c>
      <c r="O24" s="225">
        <f t="shared" si="7"/>
        <v>0.5</v>
      </c>
      <c r="P24" s="225">
        <f t="shared" si="8"/>
        <v>0.5</v>
      </c>
      <c r="Q24" s="354"/>
    </row>
    <row r="25" spans="2:17" ht="20.149999999999999" customHeight="1" x14ac:dyDescent="0.45">
      <c r="B25" s="34"/>
      <c r="C25" s="22" t="s">
        <v>1706</v>
      </c>
      <c r="D25" s="508" t="str">
        <f>VLOOKUP(C25,'Sales Master'!B$3:D$499,2,)</f>
        <v>Cream Corn玉米浆</v>
      </c>
      <c r="E25" s="508"/>
      <c r="F25" s="508"/>
      <c r="G25" s="22">
        <v>1</v>
      </c>
      <c r="H25" s="389" t="str">
        <f>VLOOKUP(C25,'Sales Master'!$B$3:$F$3179,5,0)</f>
        <v>(425gm x 24)/箱</v>
      </c>
      <c r="I25" s="482" t="str">
        <f>VLOOKUP(C25,'Sales Master'!$B$3:$E$3179,4,0)</f>
        <v>Statue</v>
      </c>
      <c r="J25" s="482"/>
      <c r="K25" s="35">
        <f>VLOOKUP(C25,'Sales Master'!$B$3:$J$583,9,0)</f>
        <v>20.5</v>
      </c>
      <c r="L25" s="36">
        <f t="shared" si="6"/>
        <v>20.5</v>
      </c>
      <c r="N25" s="225">
        <f>VLOOKUP(C25,'Sales Master'!$B$3:$DA$3038,104,0)</f>
        <v>16</v>
      </c>
      <c r="O25" s="225">
        <f t="shared" si="7"/>
        <v>4.5</v>
      </c>
      <c r="P25" s="225">
        <f t="shared" si="8"/>
        <v>4.5</v>
      </c>
      <c r="Q25" s="354"/>
    </row>
    <row r="26" spans="2:17" ht="20.149999999999999" customHeight="1" x14ac:dyDescent="0.45">
      <c r="B26" s="34"/>
      <c r="C26" s="22" t="s">
        <v>1736</v>
      </c>
      <c r="D26" s="508" t="str">
        <f>VLOOKUP(C26,'Sales Master'!B$3:D$499,2,)</f>
        <v>Coconut Milk 椰浆</v>
      </c>
      <c r="E26" s="508"/>
      <c r="F26" s="508"/>
      <c r="G26" s="22">
        <v>3</v>
      </c>
      <c r="H26" s="389" t="str">
        <f>VLOOKUP(C26,'Sales Master'!$B$3:$F$3179,5,0)</f>
        <v>(1L x 12bag)/箱</v>
      </c>
      <c r="I26" s="482" t="str">
        <f>VLOOKUP(C26,'Sales Master'!$B$3:$E$3179,4,0)</f>
        <v>Kara UHT</v>
      </c>
      <c r="J26" s="482"/>
      <c r="K26" s="35">
        <f>VLOOKUP(C26,'Sales Master'!$B$3:$J$583,9,0)</f>
        <v>42</v>
      </c>
      <c r="L26" s="36">
        <f t="shared" ref="L26" si="9">K26*G26</f>
        <v>126</v>
      </c>
      <c r="N26" s="225">
        <f>VLOOKUP(C26,'Sales Master'!$B$3:$DA$3038,104,0)</f>
        <v>35.5</v>
      </c>
      <c r="O26" s="225">
        <f t="shared" ref="O26" si="10">K26-N26</f>
        <v>6.5</v>
      </c>
      <c r="P26" s="225">
        <f t="shared" ref="P26" si="11">O26*G26</f>
        <v>19.5</v>
      </c>
      <c r="Q26" s="354"/>
    </row>
    <row r="27" spans="2:17" ht="20.149999999999999" customHeight="1" x14ac:dyDescent="0.45">
      <c r="B27" s="34"/>
      <c r="C27" s="22"/>
      <c r="D27" s="508"/>
      <c r="E27" s="508"/>
      <c r="F27" s="508"/>
      <c r="G27" s="22"/>
      <c r="H27" s="389"/>
      <c r="I27" s="482"/>
      <c r="J27" s="482"/>
      <c r="K27" s="35"/>
      <c r="L27" s="36"/>
      <c r="N27" s="225"/>
      <c r="O27" s="225"/>
      <c r="P27" s="225"/>
      <c r="Q27" s="354"/>
    </row>
    <row r="28" spans="2:17" ht="20.149999999999999" customHeight="1" x14ac:dyDescent="0.45">
      <c r="B28" s="34"/>
      <c r="C28" s="230"/>
      <c r="G28" s="22"/>
      <c r="H28" s="389"/>
      <c r="I28" s="102"/>
      <c r="J28" s="102"/>
      <c r="K28" s="35"/>
      <c r="L28" s="36"/>
      <c r="N28" s="225"/>
      <c r="O28" s="225"/>
      <c r="P28" s="225"/>
      <c r="Q28" s="354"/>
    </row>
    <row r="29" spans="2:17" ht="20.149999999999999" customHeight="1" x14ac:dyDescent="0.45">
      <c r="B29" s="34"/>
      <c r="C29" s="22"/>
      <c r="D29" s="508"/>
      <c r="E29" s="508"/>
      <c r="F29" s="508"/>
      <c r="G29" s="22"/>
      <c r="H29" s="68"/>
      <c r="I29" s="481"/>
      <c r="J29" s="481"/>
      <c r="K29" s="35"/>
      <c r="L29" s="36"/>
      <c r="N29" s="225"/>
      <c r="O29" s="225"/>
      <c r="P29" s="225"/>
      <c r="Q29" s="354"/>
    </row>
    <row r="30" spans="2:17" ht="20.149999999999999" customHeight="1" x14ac:dyDescent="0.45">
      <c r="B30" s="34"/>
      <c r="C30" s="22"/>
      <c r="G30" s="22"/>
      <c r="H30" s="68"/>
      <c r="I30" s="68"/>
      <c r="J30" s="68"/>
      <c r="K30" s="35"/>
      <c r="L30" s="36"/>
      <c r="N30" s="225"/>
      <c r="O30" s="225"/>
      <c r="P30" s="225"/>
      <c r="Q30" s="354"/>
    </row>
    <row r="31" spans="2:17" ht="20.149999999999999" customHeight="1" x14ac:dyDescent="0.45">
      <c r="B31" s="34"/>
      <c r="C31" s="230"/>
      <c r="G31" s="22"/>
      <c r="H31" s="68"/>
      <c r="I31" s="68"/>
      <c r="J31" s="68"/>
      <c r="K31" s="35"/>
      <c r="L31" s="36"/>
      <c r="N31" s="225"/>
      <c r="O31" s="225"/>
      <c r="P31" s="225"/>
      <c r="Q31" s="354"/>
    </row>
    <row r="32" spans="2:17" ht="20.149999999999999" customHeight="1" thickBot="1" x14ac:dyDescent="0.5">
      <c r="B32" s="37"/>
      <c r="C32" s="38"/>
      <c r="D32" s="509"/>
      <c r="E32" s="509"/>
      <c r="F32" s="509"/>
      <c r="G32" s="38"/>
      <c r="H32" s="38"/>
      <c r="I32" s="38"/>
      <c r="J32" s="38"/>
      <c r="K32" s="39"/>
      <c r="L32" s="40"/>
    </row>
    <row r="33" spans="2:14" ht="20.149999999999999" customHeight="1" thickBot="1" x14ac:dyDescent="0.5">
      <c r="B33" s="41"/>
      <c r="L33" s="42"/>
    </row>
    <row r="34" spans="2:14" ht="20.149999999999999" customHeight="1" x14ac:dyDescent="0.45">
      <c r="B34" s="11" t="s">
        <v>18</v>
      </c>
      <c r="C34" s="7"/>
      <c r="D34" s="7"/>
      <c r="E34" s="7"/>
      <c r="F34" s="7"/>
      <c r="G34" s="7"/>
      <c r="H34" s="7"/>
      <c r="I34" s="7"/>
      <c r="J34" s="510" t="s">
        <v>15</v>
      </c>
      <c r="K34" s="511"/>
      <c r="L34" s="43">
        <f>SUM(L16:L32)</f>
        <v>358</v>
      </c>
      <c r="M34" s="76">
        <f>SUM(P18:P26)-L34*0.04</f>
        <v>97.353999999999985</v>
      </c>
      <c r="N34" s="201">
        <f>M34/L34</f>
        <v>0.27193854748603347</v>
      </c>
    </row>
    <row r="35" spans="2:14" ht="20.149999999999999" customHeight="1" x14ac:dyDescent="0.45">
      <c r="B35" s="11" t="s">
        <v>19</v>
      </c>
      <c r="C35" s="7"/>
      <c r="D35" s="7"/>
      <c r="E35" s="7"/>
      <c r="F35" s="7"/>
      <c r="G35" s="7"/>
      <c r="H35" s="7"/>
      <c r="I35" s="7"/>
      <c r="J35" s="44" t="s">
        <v>22</v>
      </c>
      <c r="K35" s="45"/>
      <c r="L35" s="46">
        <f>L34*K35</f>
        <v>0</v>
      </c>
    </row>
    <row r="36" spans="2:14" ht="20.149999999999999" customHeight="1" x14ac:dyDescent="0.45">
      <c r="B36" s="11" t="s">
        <v>20</v>
      </c>
      <c r="C36" s="7"/>
      <c r="D36" s="7"/>
      <c r="E36" s="7"/>
      <c r="F36" s="7"/>
      <c r="G36" s="7"/>
      <c r="H36" s="7"/>
      <c r="I36" s="7"/>
      <c r="J36" s="486" t="s">
        <v>21</v>
      </c>
      <c r="K36" s="487"/>
      <c r="L36" s="46">
        <f>L34-L35</f>
        <v>358</v>
      </c>
    </row>
    <row r="37" spans="2:14" ht="20.149999999999999" customHeight="1" x14ac:dyDescent="0.45">
      <c r="B37" s="11" t="s">
        <v>24</v>
      </c>
      <c r="C37" s="7"/>
      <c r="D37" s="7"/>
      <c r="E37" s="7"/>
      <c r="F37" s="7"/>
      <c r="G37" s="7"/>
      <c r="H37" s="7"/>
      <c r="I37" s="7"/>
      <c r="J37" s="150" t="s">
        <v>17</v>
      </c>
      <c r="K37" s="151">
        <v>7.0000000000000007E-2</v>
      </c>
      <c r="L37" s="47">
        <f>L36*K37</f>
        <v>25.060000000000002</v>
      </c>
    </row>
    <row r="38" spans="2:14" ht="20.149999999999999" customHeight="1" thickBot="1" x14ac:dyDescent="0.5">
      <c r="B38" s="11" t="s">
        <v>25</v>
      </c>
      <c r="C38" s="7"/>
      <c r="D38" s="7"/>
      <c r="E38" s="7"/>
      <c r="F38" s="7"/>
      <c r="G38" s="7"/>
      <c r="H38" s="7"/>
      <c r="I38" s="7"/>
      <c r="J38" s="488" t="s">
        <v>23</v>
      </c>
      <c r="K38" s="489"/>
      <c r="L38" s="48">
        <f>L36+L37</f>
        <v>383.06</v>
      </c>
    </row>
    <row r="39" spans="2:14" ht="20.149999999999999" customHeight="1" x14ac:dyDescent="0.45">
      <c r="B39" s="11" t="s">
        <v>26</v>
      </c>
      <c r="C39" s="7"/>
      <c r="D39" s="7"/>
      <c r="E39" s="7"/>
      <c r="F39" s="7"/>
      <c r="G39" s="7"/>
      <c r="H39" s="7"/>
      <c r="I39" s="7"/>
      <c r="L39" s="42"/>
    </row>
    <row r="40" spans="2:14" ht="20.149999999999999" customHeight="1" x14ac:dyDescent="0.45">
      <c r="B40" s="41"/>
      <c r="L40" s="42"/>
    </row>
    <row r="41" spans="2:14" ht="20.149999999999999" customHeight="1" x14ac:dyDescent="0.45">
      <c r="B41" s="41"/>
      <c r="L41" s="42"/>
    </row>
    <row r="42" spans="2:14" ht="20.149999999999999" customHeight="1" x14ac:dyDescent="0.45">
      <c r="B42" s="41"/>
      <c r="L42" s="42"/>
    </row>
    <row r="43" spans="2:14" ht="20.149999999999999" customHeight="1" x14ac:dyDescent="0.45">
      <c r="B43" s="41"/>
      <c r="L43" s="42"/>
    </row>
    <row r="44" spans="2:14" ht="20.149999999999999" customHeight="1" x14ac:dyDescent="0.45">
      <c r="B44" s="49"/>
      <c r="C44" s="50"/>
      <c r="D44" s="50"/>
      <c r="J44" s="50"/>
      <c r="K44" s="50"/>
      <c r="L44" s="51"/>
    </row>
    <row r="45" spans="2:14" ht="20.149999999999999" customHeight="1" x14ac:dyDescent="0.45">
      <c r="B45" s="41" t="s">
        <v>27</v>
      </c>
      <c r="J45" s="24" t="s">
        <v>28</v>
      </c>
      <c r="L45" s="42"/>
    </row>
    <row r="46" spans="2:14" ht="19" thickBot="1" x14ac:dyDescent="0.5">
      <c r="B46" s="52"/>
      <c r="C46" s="53"/>
      <c r="D46" s="53"/>
      <c r="E46" s="53"/>
      <c r="F46" s="53"/>
      <c r="G46" s="53"/>
      <c r="H46" s="53"/>
      <c r="I46" s="53"/>
      <c r="J46" s="53"/>
      <c r="K46" s="53"/>
      <c r="L46" s="54"/>
    </row>
  </sheetData>
  <mergeCells count="41">
    <mergeCell ref="I24:J24"/>
    <mergeCell ref="I25:J25"/>
    <mergeCell ref="J38:K38"/>
    <mergeCell ref="D20:F20"/>
    <mergeCell ref="D32:F32"/>
    <mergeCell ref="J34:K34"/>
    <mergeCell ref="J36:K36"/>
    <mergeCell ref="I20:J20"/>
    <mergeCell ref="D26:F26"/>
    <mergeCell ref="I26:J26"/>
    <mergeCell ref="D22:F22"/>
    <mergeCell ref="D24:F24"/>
    <mergeCell ref="D25:F25"/>
    <mergeCell ref="D27:F27"/>
    <mergeCell ref="D29:F29"/>
    <mergeCell ref="I27:J27"/>
    <mergeCell ref="I29:J29"/>
    <mergeCell ref="D21:F21"/>
    <mergeCell ref="I21:J21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D23:F23"/>
    <mergeCell ref="I23:J23"/>
    <mergeCell ref="B15:D15"/>
    <mergeCell ref="I18:J18"/>
    <mergeCell ref="D19:F19"/>
    <mergeCell ref="I19:J19"/>
    <mergeCell ref="D17:F17"/>
    <mergeCell ref="D18:F18"/>
    <mergeCell ref="I17:J17"/>
    <mergeCell ref="I22:J22"/>
  </mergeCells>
  <pageMargins left="0.70866141732283472" right="0.31496062992125984" top="0.59055118110236227" bottom="0" header="0.31496062992125984" footer="0.31496062992125984"/>
  <pageSetup paperSize="9" scale="77"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D9242-E218-4C4E-AB97-6512F4B703F0}">
  <sheetPr>
    <tabColor theme="9" tint="0.39997558519241921"/>
    <pageSetUpPr fitToPage="1"/>
  </sheetPr>
  <dimension ref="B1:P49"/>
  <sheetViews>
    <sheetView topLeftCell="A34" workbookViewId="0">
      <selection activeCell="G42" sqref="G42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8.36328125" style="24" customWidth="1"/>
    <col min="7" max="7" width="8.54296875" style="24" customWidth="1"/>
    <col min="8" max="8" width="15.7265625" style="24" customWidth="1"/>
    <col min="9" max="9" width="0.7265625" style="24" customWidth="1"/>
    <col min="10" max="10" width="20.26953125" style="24" customWidth="1"/>
    <col min="11" max="11" width="10.54296875" style="24" customWidth="1"/>
    <col min="12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2383</v>
      </c>
      <c r="J10" s="29" t="s">
        <v>29</v>
      </c>
      <c r="K10" s="452">
        <v>202210041</v>
      </c>
      <c r="L10" s="453"/>
    </row>
    <row r="11" spans="2:12" ht="20.149999999999999" customHeight="1" x14ac:dyDescent="0.45">
      <c r="B11" s="454" t="s">
        <v>2302</v>
      </c>
      <c r="C11" s="455"/>
      <c r="D11" s="456"/>
      <c r="E11" s="30"/>
      <c r="F11" s="457" t="str">
        <f>VLOOKUP(H10,'Delivery Location'!A$4:N$416,2,0)</f>
        <v>R&amp;B Tea Singapore                                                      BUANGKOK,                                                  991 BUAMGKOK LINK #01-27                        SINGAPORE 530991</v>
      </c>
      <c r="G11" s="458"/>
      <c r="H11" s="459"/>
      <c r="J11" s="31" t="s">
        <v>11</v>
      </c>
      <c r="K11" s="466">
        <v>44837</v>
      </c>
      <c r="L11" s="467"/>
    </row>
    <row r="12" spans="2:12" ht="20.149999999999999" customHeight="1" x14ac:dyDescent="0.45">
      <c r="B12" s="468" t="s">
        <v>2303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533</v>
      </c>
      <c r="L12" s="472"/>
    </row>
    <row r="13" spans="2:12" ht="20.149999999999999" customHeight="1" x14ac:dyDescent="0.45">
      <c r="B13" s="468" t="s">
        <v>2024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14</v>
      </c>
      <c r="L13" s="472"/>
    </row>
    <row r="14" spans="2:12" ht="20.149999999999999" customHeight="1" x14ac:dyDescent="0.45">
      <c r="B14" s="468" t="s">
        <v>2025</v>
      </c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463" t="s">
        <v>2026</v>
      </c>
      <c r="C15" s="464"/>
      <c r="D15" s="465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16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16" ht="20.149999999999999" customHeight="1" x14ac:dyDescent="0.45">
      <c r="B18" s="34"/>
      <c r="C18" s="22" t="s">
        <v>1759</v>
      </c>
      <c r="D18" s="508" t="str">
        <f>VLOOKUP(C18,'Sales Master'!B$3:D$499,2,)</f>
        <v>Honey Longan syrup</v>
      </c>
      <c r="E18" s="508"/>
      <c r="F18" s="508"/>
      <c r="G18" s="90">
        <v>8</v>
      </c>
      <c r="H18" s="389" t="str">
        <f>VLOOKUP(C18,'Sales Master'!$B$3:$F$3247,5,0)</f>
        <v>3 kgs</v>
      </c>
      <c r="I18" s="482">
        <f>VLOOKUP(C18,'Sales Master'!$B$3:$E$3247,4,0)</f>
        <v>0</v>
      </c>
      <c r="J18" s="482"/>
      <c r="K18" s="35">
        <f>VLOOKUP(C18,'Sales Master'!B$3:AD$498,29,0)</f>
        <v>14.8</v>
      </c>
      <c r="L18" s="77">
        <f>K18*G18</f>
        <v>118.4</v>
      </c>
      <c r="M18" s="78"/>
      <c r="N18" s="225">
        <f>VLOOKUP(C18,'Sales Master'!$B$3:$DA$3038,104,0)</f>
        <v>12</v>
      </c>
      <c r="O18" s="225">
        <f>K18-N18</f>
        <v>2.8000000000000007</v>
      </c>
      <c r="P18" s="225">
        <f>O18*G18</f>
        <v>22.400000000000006</v>
      </c>
    </row>
    <row r="19" spans="2:16" ht="20.149999999999999" customHeight="1" x14ac:dyDescent="0.45">
      <c r="B19" s="34"/>
      <c r="C19" s="22"/>
      <c r="D19" s="508"/>
      <c r="E19" s="508"/>
      <c r="F19" s="508"/>
      <c r="G19" s="90"/>
      <c r="H19" s="389"/>
      <c r="I19" s="482"/>
      <c r="J19" s="482"/>
      <c r="K19" s="35"/>
      <c r="L19" s="77"/>
      <c r="M19" s="78"/>
      <c r="N19" s="225"/>
      <c r="O19" s="225"/>
      <c r="P19" s="225"/>
    </row>
    <row r="20" spans="2:16" ht="20.149999999999999" customHeight="1" x14ac:dyDescent="0.45">
      <c r="B20" s="34"/>
      <c r="C20" s="22"/>
      <c r="D20" s="508"/>
      <c r="E20" s="508"/>
      <c r="F20" s="508"/>
      <c r="G20" s="90"/>
      <c r="H20" s="68"/>
      <c r="I20" s="481"/>
      <c r="J20" s="481"/>
      <c r="K20" s="35"/>
      <c r="L20" s="77"/>
      <c r="M20" s="78"/>
      <c r="N20" s="225"/>
      <c r="O20" s="225"/>
      <c r="P20" s="225"/>
    </row>
    <row r="21" spans="2:16" ht="20.149999999999999" customHeight="1" x14ac:dyDescent="0.45">
      <c r="B21" s="34"/>
      <c r="C21" s="22"/>
      <c r="D21" s="508"/>
      <c r="E21" s="508"/>
      <c r="F21" s="508"/>
      <c r="G21" s="90"/>
      <c r="H21" s="68"/>
      <c r="I21" s="481"/>
      <c r="J21" s="481"/>
      <c r="K21" s="35"/>
      <c r="L21" s="77"/>
      <c r="M21" s="78"/>
      <c r="N21" s="225"/>
      <c r="O21" s="225"/>
      <c r="P21" s="225"/>
    </row>
    <row r="22" spans="2:16" ht="20.149999999999999" customHeight="1" x14ac:dyDescent="0.45">
      <c r="B22" s="34"/>
      <c r="C22" s="22"/>
      <c r="D22" s="508"/>
      <c r="E22" s="508"/>
      <c r="F22" s="508"/>
      <c r="G22" s="90"/>
      <c r="H22" s="68"/>
      <c r="I22" s="481"/>
      <c r="J22" s="481"/>
      <c r="K22" s="35"/>
      <c r="L22" s="77"/>
      <c r="M22" s="78"/>
      <c r="N22" s="225"/>
      <c r="O22" s="225"/>
      <c r="P22" s="225"/>
    </row>
    <row r="23" spans="2:16" ht="20.149999999999999" customHeight="1" x14ac:dyDescent="0.45">
      <c r="B23" s="34"/>
      <c r="C23" s="22"/>
      <c r="D23" s="508"/>
      <c r="E23" s="508"/>
      <c r="F23" s="508"/>
      <c r="G23" s="90"/>
      <c r="H23" s="68"/>
      <c r="I23" s="481"/>
      <c r="J23" s="481"/>
      <c r="K23" s="35"/>
      <c r="L23" s="77"/>
      <c r="M23" s="78"/>
      <c r="N23" s="225"/>
      <c r="O23" s="225"/>
      <c r="P23" s="225"/>
    </row>
    <row r="24" spans="2:16" ht="20.149999999999999" customHeight="1" x14ac:dyDescent="0.45">
      <c r="B24" s="34"/>
      <c r="C24" s="22"/>
      <c r="D24" s="508"/>
      <c r="E24" s="508"/>
      <c r="F24" s="508"/>
      <c r="G24" s="90"/>
      <c r="H24" s="68"/>
      <c r="I24" s="481"/>
      <c r="J24" s="481"/>
      <c r="K24" s="35"/>
      <c r="L24" s="77"/>
      <c r="M24" s="78"/>
      <c r="N24" s="225"/>
      <c r="O24" s="225"/>
      <c r="P24" s="225"/>
    </row>
    <row r="25" spans="2:16" ht="20.149999999999999" customHeight="1" x14ac:dyDescent="0.45">
      <c r="B25" s="34"/>
      <c r="C25" s="22"/>
      <c r="D25" s="508"/>
      <c r="E25" s="508"/>
      <c r="F25" s="508"/>
      <c r="G25" s="90"/>
      <c r="H25" s="68"/>
      <c r="I25" s="481"/>
      <c r="J25" s="481"/>
      <c r="K25" s="35"/>
      <c r="L25" s="77"/>
      <c r="M25" s="78"/>
      <c r="N25" s="225"/>
      <c r="O25" s="225"/>
      <c r="P25" s="225"/>
    </row>
    <row r="26" spans="2:16" ht="20.149999999999999" customHeight="1" x14ac:dyDescent="0.45">
      <c r="B26" s="34"/>
      <c r="C26" s="22"/>
      <c r="D26" s="508"/>
      <c r="E26" s="508"/>
      <c r="F26" s="508"/>
      <c r="G26" s="90"/>
      <c r="H26" s="68"/>
      <c r="I26" s="481"/>
      <c r="J26" s="481"/>
      <c r="K26" s="35"/>
      <c r="L26" s="77"/>
      <c r="M26" s="78"/>
      <c r="N26" s="225"/>
      <c r="O26" s="225"/>
      <c r="P26" s="225"/>
    </row>
    <row r="27" spans="2:16" ht="20.149999999999999" customHeight="1" x14ac:dyDescent="0.45">
      <c r="B27" s="34"/>
      <c r="C27" s="22"/>
      <c r="D27" s="508"/>
      <c r="E27" s="508"/>
      <c r="F27" s="508"/>
      <c r="G27" s="90"/>
      <c r="H27" s="68"/>
      <c r="I27" s="481"/>
      <c r="J27" s="481"/>
      <c r="K27" s="35"/>
      <c r="L27" s="77"/>
      <c r="M27" s="78"/>
      <c r="N27" s="225"/>
      <c r="O27" s="225"/>
      <c r="P27" s="225"/>
    </row>
    <row r="28" spans="2:16" ht="20.149999999999999" customHeight="1" x14ac:dyDescent="0.45">
      <c r="B28" s="34"/>
      <c r="C28" s="22"/>
      <c r="D28" s="508"/>
      <c r="E28" s="508"/>
      <c r="F28" s="508"/>
      <c r="G28" s="90"/>
      <c r="H28" s="68"/>
      <c r="I28" s="481"/>
      <c r="J28" s="481"/>
      <c r="K28" s="35"/>
      <c r="L28" s="77"/>
      <c r="M28" s="78"/>
      <c r="N28" s="225"/>
      <c r="O28" s="225"/>
      <c r="P28" s="225"/>
    </row>
    <row r="29" spans="2:16" ht="20.149999999999999" customHeight="1" x14ac:dyDescent="0.45">
      <c r="B29" s="34"/>
      <c r="C29" s="22"/>
      <c r="D29" s="508"/>
      <c r="E29" s="508"/>
      <c r="F29" s="508"/>
      <c r="G29" s="90"/>
      <c r="H29" s="68"/>
      <c r="I29" s="481"/>
      <c r="J29" s="481"/>
      <c r="K29" s="35"/>
      <c r="L29" s="77"/>
      <c r="M29" s="78"/>
      <c r="N29" s="225"/>
      <c r="O29" s="225"/>
      <c r="P29" s="225"/>
    </row>
    <row r="30" spans="2:16" ht="20.149999999999999" customHeight="1" x14ac:dyDescent="0.45">
      <c r="B30" s="34"/>
      <c r="C30" s="22"/>
      <c r="D30" s="508"/>
      <c r="E30" s="508"/>
      <c r="F30" s="508"/>
      <c r="G30" s="90"/>
      <c r="H30" s="68"/>
      <c r="I30" s="481"/>
      <c r="J30" s="481"/>
      <c r="K30" s="35"/>
      <c r="L30" s="77"/>
      <c r="M30" s="78"/>
      <c r="N30" s="225"/>
      <c r="O30" s="225"/>
      <c r="P30" s="225"/>
    </row>
    <row r="31" spans="2:16" ht="20.149999999999999" customHeight="1" x14ac:dyDescent="0.45">
      <c r="B31" s="34"/>
      <c r="C31" s="22"/>
      <c r="D31" s="508"/>
      <c r="E31" s="508"/>
      <c r="F31" s="508"/>
      <c r="G31" s="90"/>
      <c r="H31" s="389"/>
      <c r="I31" s="512"/>
      <c r="J31" s="512"/>
      <c r="K31" s="35"/>
      <c r="L31" s="77"/>
      <c r="M31" s="78"/>
      <c r="N31" s="225"/>
      <c r="O31" s="225"/>
      <c r="P31" s="225"/>
    </row>
    <row r="32" spans="2:16" ht="20.149999999999999" customHeight="1" x14ac:dyDescent="0.45">
      <c r="B32" s="34"/>
      <c r="C32" s="22"/>
      <c r="D32" s="508"/>
      <c r="E32" s="508"/>
      <c r="F32" s="508"/>
      <c r="G32" s="90"/>
      <c r="H32" s="389"/>
      <c r="I32" s="512"/>
      <c r="J32" s="512"/>
      <c r="K32" s="35"/>
      <c r="L32" s="77"/>
      <c r="M32" s="78"/>
      <c r="N32" s="225"/>
      <c r="O32" s="225"/>
      <c r="P32" s="225"/>
    </row>
    <row r="33" spans="2:16" ht="20.149999999999999" customHeight="1" x14ac:dyDescent="0.45">
      <c r="B33" s="34"/>
      <c r="C33" s="22"/>
      <c r="D33" s="508"/>
      <c r="E33" s="508"/>
      <c r="F33" s="508"/>
      <c r="G33" s="90"/>
      <c r="H33" s="346"/>
      <c r="I33" s="481"/>
      <c r="J33" s="481"/>
      <c r="K33" s="35"/>
      <c r="L33" s="77"/>
      <c r="M33" s="78"/>
      <c r="N33" s="225"/>
      <c r="O33" s="225"/>
      <c r="P33" s="225"/>
    </row>
    <row r="34" spans="2:16" ht="20.149999999999999" customHeight="1" x14ac:dyDescent="0.45">
      <c r="B34" s="34"/>
      <c r="C34" s="22"/>
      <c r="G34" s="90"/>
      <c r="H34" s="346"/>
      <c r="I34" s="68"/>
      <c r="J34" s="68"/>
      <c r="K34" s="35"/>
      <c r="L34" s="77"/>
      <c r="M34" s="78"/>
      <c r="N34" s="225"/>
      <c r="O34" s="225"/>
      <c r="P34" s="225"/>
    </row>
    <row r="35" spans="2:16" ht="20.149999999999999" customHeight="1" thickBot="1" x14ac:dyDescent="0.5">
      <c r="B35" s="37"/>
      <c r="C35" s="38"/>
      <c r="D35" s="509"/>
      <c r="E35" s="509"/>
      <c r="F35" s="509"/>
      <c r="G35" s="38"/>
      <c r="H35" s="69"/>
      <c r="I35" s="451"/>
      <c r="J35" s="451"/>
      <c r="K35" s="39"/>
      <c r="L35" s="40"/>
    </row>
    <row r="36" spans="2:16" ht="20.149999999999999" customHeight="1" thickBot="1" x14ac:dyDescent="0.5">
      <c r="B36" s="41"/>
      <c r="L36" s="42"/>
    </row>
    <row r="37" spans="2:16" ht="20.149999999999999" customHeight="1" x14ac:dyDescent="0.45">
      <c r="B37" s="11" t="s">
        <v>18</v>
      </c>
      <c r="C37" s="7"/>
      <c r="D37" s="7"/>
      <c r="E37" s="7"/>
      <c r="F37" s="7"/>
      <c r="G37" s="7"/>
      <c r="H37" s="7"/>
      <c r="I37" s="7"/>
      <c r="J37" s="510" t="s">
        <v>15</v>
      </c>
      <c r="K37" s="511"/>
      <c r="L37" s="43">
        <f>SUM(L14:L33)</f>
        <v>118.4</v>
      </c>
      <c r="M37" s="76">
        <f>SUM(P18:P33)</f>
        <v>22.400000000000006</v>
      </c>
      <c r="N37" s="201">
        <f>M37/L37</f>
        <v>0.18918918918918923</v>
      </c>
    </row>
    <row r="38" spans="2:16" ht="20.149999999999999" customHeight="1" x14ac:dyDescent="0.45">
      <c r="B38" s="11" t="s">
        <v>19</v>
      </c>
      <c r="C38" s="7"/>
      <c r="D38" s="7"/>
      <c r="E38" s="7"/>
      <c r="F38" s="7"/>
      <c r="G38" s="7"/>
      <c r="H38" s="7"/>
      <c r="I38" s="7"/>
      <c r="J38" s="44" t="s">
        <v>22</v>
      </c>
      <c r="K38" s="45"/>
      <c r="L38" s="46">
        <f>L37*K38</f>
        <v>0</v>
      </c>
    </row>
    <row r="39" spans="2:16" ht="20.149999999999999" customHeight="1" x14ac:dyDescent="0.45">
      <c r="B39" s="11" t="s">
        <v>20</v>
      </c>
      <c r="C39" s="7"/>
      <c r="D39" s="7"/>
      <c r="E39" s="7"/>
      <c r="F39" s="7"/>
      <c r="G39" s="7"/>
      <c r="H39" s="7"/>
      <c r="I39" s="7"/>
      <c r="J39" s="486" t="s">
        <v>21</v>
      </c>
      <c r="K39" s="487"/>
      <c r="L39" s="46">
        <f>L37-L38</f>
        <v>118.4</v>
      </c>
    </row>
    <row r="40" spans="2:16" ht="20.149999999999999" customHeight="1" x14ac:dyDescent="0.45">
      <c r="B40" s="11" t="s">
        <v>24</v>
      </c>
      <c r="C40" s="7"/>
      <c r="D40" s="7"/>
      <c r="E40" s="7"/>
      <c r="F40" s="7"/>
      <c r="G40" s="7"/>
      <c r="H40" s="7"/>
      <c r="I40" s="7"/>
      <c r="J40" s="150" t="s">
        <v>17</v>
      </c>
      <c r="K40" s="151">
        <v>7.0000000000000007E-2</v>
      </c>
      <c r="L40" s="47">
        <f>L39*K40</f>
        <v>8.288000000000002</v>
      </c>
    </row>
    <row r="41" spans="2:16" ht="20.149999999999999" customHeight="1" thickBot="1" x14ac:dyDescent="0.5">
      <c r="B41" s="11" t="s">
        <v>25</v>
      </c>
      <c r="C41" s="7"/>
      <c r="D41" s="7"/>
      <c r="E41" s="7"/>
      <c r="F41" s="7"/>
      <c r="G41" s="7"/>
      <c r="H41" s="7"/>
      <c r="I41" s="7"/>
      <c r="J41" s="488" t="s">
        <v>23</v>
      </c>
      <c r="K41" s="489"/>
      <c r="L41" s="48">
        <f>L39+L40</f>
        <v>126.688</v>
      </c>
    </row>
    <row r="42" spans="2:16" ht="20.149999999999999" customHeight="1" x14ac:dyDescent="0.45">
      <c r="B42" s="11" t="s">
        <v>26</v>
      </c>
      <c r="C42" s="7"/>
      <c r="D42" s="7"/>
      <c r="E42" s="7"/>
      <c r="F42" s="7"/>
      <c r="G42" s="7"/>
      <c r="H42" s="7"/>
      <c r="I42" s="7"/>
      <c r="L42" s="42"/>
    </row>
    <row r="43" spans="2:16" ht="20.149999999999999" customHeight="1" x14ac:dyDescent="0.45">
      <c r="B43" s="41"/>
      <c r="L43" s="42"/>
    </row>
    <row r="44" spans="2:16" x14ac:dyDescent="0.45">
      <c r="B44" s="41"/>
      <c r="L44" s="42"/>
    </row>
    <row r="45" spans="2:16" ht="20.149999999999999" customHeight="1" x14ac:dyDescent="0.45">
      <c r="B45" s="41"/>
      <c r="L45" s="42"/>
    </row>
    <row r="46" spans="2:16" ht="20.149999999999999" customHeight="1" x14ac:dyDescent="0.45">
      <c r="B46" s="41"/>
      <c r="L46" s="42"/>
    </row>
    <row r="47" spans="2:16" x14ac:dyDescent="0.45">
      <c r="B47" s="49"/>
      <c r="C47" s="50"/>
      <c r="D47" s="50"/>
      <c r="J47" s="50"/>
      <c r="K47" s="50"/>
      <c r="L47" s="51"/>
    </row>
    <row r="48" spans="2:16" ht="20.149999999999999" customHeight="1" x14ac:dyDescent="0.45">
      <c r="B48" s="41" t="s">
        <v>27</v>
      </c>
      <c r="J48" s="24" t="s">
        <v>28</v>
      </c>
      <c r="L48" s="42"/>
    </row>
    <row r="49" spans="2:12" ht="19" thickBot="1" x14ac:dyDescent="0.5">
      <c r="B49" s="52"/>
      <c r="C49" s="53"/>
      <c r="D49" s="53"/>
      <c r="E49" s="53"/>
      <c r="F49" s="53"/>
      <c r="G49" s="53"/>
      <c r="H49" s="53"/>
      <c r="I49" s="53"/>
      <c r="J49" s="53"/>
      <c r="K49" s="53"/>
      <c r="L49" s="54"/>
    </row>
  </sheetData>
  <mergeCells count="52">
    <mergeCell ref="J39:K39"/>
    <mergeCell ref="J41:K41"/>
    <mergeCell ref="D33:F33"/>
    <mergeCell ref="I33:J33"/>
    <mergeCell ref="D35:F35"/>
    <mergeCell ref="I35:J35"/>
    <mergeCell ref="J37:K37"/>
    <mergeCell ref="D30:F30"/>
    <mergeCell ref="I30:J30"/>
    <mergeCell ref="D31:F31"/>
    <mergeCell ref="I31:J31"/>
    <mergeCell ref="D32:F32"/>
    <mergeCell ref="I32:J32"/>
    <mergeCell ref="D27:F27"/>
    <mergeCell ref="I27:J27"/>
    <mergeCell ref="D28:F28"/>
    <mergeCell ref="I28:J28"/>
    <mergeCell ref="D29:F29"/>
    <mergeCell ref="I29:J29"/>
    <mergeCell ref="D24:F24"/>
    <mergeCell ref="I24:J24"/>
    <mergeCell ref="D25:F25"/>
    <mergeCell ref="I25:J25"/>
    <mergeCell ref="D26:F26"/>
    <mergeCell ref="I26:J26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</mergeCells>
  <pageMargins left="0.70866141732283472" right="0.31496062992125984" top="0.59055118110236227" bottom="0" header="0.31496062992125984" footer="0.31496062992125984"/>
  <pageSetup paperSize="9" scale="74" orientation="portrait" horizontalDpi="300" verticalDpi="300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39A116-A845-4444-9055-BA69672C6A37}">
  <sheetPr codeName="Sheet37">
    <tabColor rgb="FFFFC000"/>
    <pageSetUpPr fitToPage="1"/>
  </sheetPr>
  <dimension ref="B1:P42"/>
  <sheetViews>
    <sheetView topLeftCell="A30" workbookViewId="0">
      <selection activeCell="H40" sqref="H40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6.6328125" style="24" customWidth="1"/>
    <col min="7" max="7" width="8.54296875" style="24" customWidth="1"/>
    <col min="8" max="8" width="12.54296875" style="24" customWidth="1"/>
    <col min="9" max="9" width="4.54296875" style="24" customWidth="1"/>
    <col min="10" max="10" width="15.54296875" style="24" customWidth="1"/>
    <col min="11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89</v>
      </c>
      <c r="J10" s="29" t="s">
        <v>29</v>
      </c>
      <c r="K10" s="452">
        <v>202210031</v>
      </c>
      <c r="L10" s="453"/>
    </row>
    <row r="11" spans="2:12" ht="20.149999999999999" customHeight="1" x14ac:dyDescent="0.45">
      <c r="B11" s="454" t="s">
        <v>2037</v>
      </c>
      <c r="C11" s="455"/>
      <c r="D11" s="456"/>
      <c r="E11" s="30"/>
      <c r="F11" s="457" t="str">
        <f>VLOOKUP(H10,'Delivery Location'!A$4:N$416,2,0)</f>
        <v>Koufu Rasapura Masters                            2, Bayfront Avenue #B2-49A/50A Singapore 018972                               (Fruit)</v>
      </c>
      <c r="G11" s="458"/>
      <c r="H11" s="459"/>
      <c r="J11" s="31" t="s">
        <v>11</v>
      </c>
      <c r="K11" s="466">
        <v>44835</v>
      </c>
      <c r="L11" s="467"/>
    </row>
    <row r="12" spans="2:12" ht="20.149999999999999" customHeight="1" x14ac:dyDescent="0.45">
      <c r="B12" s="468" t="s">
        <v>2139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2377</v>
      </c>
      <c r="L12" s="472"/>
    </row>
    <row r="13" spans="2:12" ht="20.149999999999999" customHeight="1" x14ac:dyDescent="0.45">
      <c r="B13" s="468" t="s">
        <v>2024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14</v>
      </c>
      <c r="L13" s="472"/>
    </row>
    <row r="14" spans="2:12" ht="20.149999999999999" customHeight="1" x14ac:dyDescent="0.45">
      <c r="B14" s="468" t="s">
        <v>2025</v>
      </c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463" t="s">
        <v>2026</v>
      </c>
      <c r="C15" s="464"/>
      <c r="D15" s="465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16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16" ht="20.149999999999999" customHeight="1" x14ac:dyDescent="0.45">
      <c r="B18" s="34"/>
      <c r="C18" s="22" t="s">
        <v>1445</v>
      </c>
      <c r="D18" s="508" t="str">
        <f>VLOOKUP(C18,'Sales Master'!B$3:D$499,2,)</f>
        <v>Fresh Soursop 红毛榴莲(无)</v>
      </c>
      <c r="E18" s="508"/>
      <c r="F18" s="508"/>
      <c r="G18" s="22">
        <v>1</v>
      </c>
      <c r="H18" s="389" t="str">
        <f>VLOOKUP(C18,'Sales Master'!$B$3:$F$3247,5,0)</f>
        <v>5 KGS/TUB</v>
      </c>
      <c r="I18" s="482" t="str">
        <f>VLOOKUP(C18,'Sales Master'!$B$3:$E$3247,4,0)</f>
        <v>DO!</v>
      </c>
      <c r="J18" s="482"/>
      <c r="K18" s="35">
        <f>VLOOKUP(C18,'Sales Master'!$B$3:$AS$583,44,0)</f>
        <v>35</v>
      </c>
      <c r="L18" s="36">
        <f>K18*G18</f>
        <v>35</v>
      </c>
      <c r="N18" s="225">
        <f>VLOOKUP(C18,'Sales Master'!$B$3:$DA$3038,104,0)</f>
        <v>24.040624999999999</v>
      </c>
      <c r="O18" s="225">
        <f>K18-N18</f>
        <v>10.959375000000001</v>
      </c>
      <c r="P18" s="225">
        <f>O18*G18</f>
        <v>10.959375000000001</v>
      </c>
    </row>
    <row r="19" spans="2:16" ht="20.149999999999999" customHeight="1" x14ac:dyDescent="0.45">
      <c r="B19" s="34"/>
      <c r="C19" s="22"/>
      <c r="D19" s="508"/>
      <c r="E19" s="508"/>
      <c r="F19" s="508"/>
      <c r="G19" s="22"/>
      <c r="H19" s="68"/>
      <c r="I19" s="481"/>
      <c r="J19" s="481"/>
      <c r="K19" s="35"/>
      <c r="L19" s="36"/>
    </row>
    <row r="20" spans="2:16" ht="20.149999999999999" customHeight="1" x14ac:dyDescent="0.45">
      <c r="B20" s="34"/>
      <c r="G20" s="22"/>
      <c r="H20" s="68"/>
      <c r="I20" s="481"/>
      <c r="J20" s="481"/>
      <c r="K20" s="35"/>
      <c r="L20" s="36"/>
    </row>
    <row r="21" spans="2:16" ht="20.149999999999999" customHeight="1" x14ac:dyDescent="0.45">
      <c r="B21" s="34"/>
      <c r="C21" s="22"/>
      <c r="D21" s="508"/>
      <c r="E21" s="508"/>
      <c r="F21" s="508"/>
      <c r="G21" s="22"/>
      <c r="H21" s="68"/>
      <c r="I21" s="450"/>
      <c r="J21" s="450"/>
      <c r="K21" s="35"/>
      <c r="L21" s="36"/>
    </row>
    <row r="22" spans="2:16" ht="20.149999999999999" customHeight="1" x14ac:dyDescent="0.45">
      <c r="B22" s="34"/>
      <c r="C22" s="22"/>
      <c r="D22" s="508"/>
      <c r="E22" s="508"/>
      <c r="F22" s="508"/>
      <c r="G22" s="22"/>
      <c r="H22" s="68"/>
      <c r="I22" s="450"/>
      <c r="J22" s="450"/>
      <c r="K22" s="35"/>
      <c r="L22" s="36"/>
    </row>
    <row r="23" spans="2:16" ht="20.149999999999999" customHeight="1" x14ac:dyDescent="0.45">
      <c r="B23" s="34"/>
      <c r="C23" s="22"/>
      <c r="D23" s="508"/>
      <c r="E23" s="508"/>
      <c r="F23" s="508"/>
      <c r="G23" s="22"/>
      <c r="H23" s="68"/>
      <c r="I23" s="450"/>
      <c r="J23" s="450"/>
      <c r="K23" s="35"/>
      <c r="L23" s="36"/>
    </row>
    <row r="24" spans="2:16" ht="20.149999999999999" customHeight="1" x14ac:dyDescent="0.45">
      <c r="B24" s="34"/>
      <c r="C24" s="22"/>
      <c r="D24" s="508"/>
      <c r="E24" s="508"/>
      <c r="F24" s="508"/>
      <c r="G24" s="22"/>
      <c r="H24" s="68"/>
      <c r="I24" s="450"/>
      <c r="J24" s="450"/>
      <c r="K24" s="35"/>
      <c r="L24" s="36"/>
    </row>
    <row r="25" spans="2:16" ht="20.149999999999999" customHeight="1" x14ac:dyDescent="0.45">
      <c r="B25" s="34"/>
      <c r="C25" s="22"/>
      <c r="D25" s="508"/>
      <c r="E25" s="508"/>
      <c r="F25" s="508"/>
      <c r="G25" s="22"/>
      <c r="H25" s="68"/>
      <c r="I25" s="450"/>
      <c r="J25" s="450"/>
      <c r="K25" s="35"/>
      <c r="L25" s="36"/>
    </row>
    <row r="26" spans="2:16" ht="20.149999999999999" customHeight="1" x14ac:dyDescent="0.45">
      <c r="B26" s="34"/>
      <c r="C26" s="22"/>
      <c r="G26" s="22"/>
      <c r="H26" s="68"/>
      <c r="I26" s="450"/>
      <c r="J26" s="450"/>
      <c r="K26" s="35"/>
      <c r="L26" s="36"/>
    </row>
    <row r="27" spans="2:16" ht="20.149999999999999" customHeight="1" x14ac:dyDescent="0.45">
      <c r="B27" s="34"/>
      <c r="C27" s="22"/>
      <c r="D27" s="508"/>
      <c r="E27" s="508"/>
      <c r="F27" s="508"/>
      <c r="G27" s="22"/>
      <c r="H27" s="22"/>
      <c r="I27" s="22"/>
      <c r="J27" s="22"/>
      <c r="K27" s="35"/>
      <c r="L27" s="36"/>
    </row>
    <row r="28" spans="2:16" ht="20.149999999999999" customHeight="1" thickBot="1" x14ac:dyDescent="0.5">
      <c r="B28" s="37"/>
      <c r="C28" s="38"/>
      <c r="D28" s="509"/>
      <c r="E28" s="509"/>
      <c r="F28" s="509"/>
      <c r="G28" s="38"/>
      <c r="H28" s="38"/>
      <c r="I28" s="38"/>
      <c r="J28" s="38"/>
      <c r="K28" s="39"/>
      <c r="L28" s="40"/>
    </row>
    <row r="29" spans="2:16" ht="20.149999999999999" customHeight="1" thickBot="1" x14ac:dyDescent="0.5">
      <c r="B29" s="41"/>
      <c r="L29" s="42"/>
    </row>
    <row r="30" spans="2:16" ht="20.149999999999999" customHeight="1" x14ac:dyDescent="0.45">
      <c r="B30" s="11" t="s">
        <v>18</v>
      </c>
      <c r="C30" s="7"/>
      <c r="D30" s="7"/>
      <c r="E30" s="7"/>
      <c r="F30" s="7"/>
      <c r="G30" s="7"/>
      <c r="H30" s="7"/>
      <c r="I30" s="7"/>
      <c r="J30" s="510" t="s">
        <v>15</v>
      </c>
      <c r="K30" s="511"/>
      <c r="L30" s="43">
        <f>SUM(L17:L28)</f>
        <v>35</v>
      </c>
      <c r="M30" s="76">
        <f>SUM(P18:P20)-L30*0.04</f>
        <v>9.5593750000000011</v>
      </c>
      <c r="N30" s="201">
        <f>M30/L30</f>
        <v>0.27312500000000001</v>
      </c>
    </row>
    <row r="31" spans="2:16" ht="20.149999999999999" customHeight="1" x14ac:dyDescent="0.45">
      <c r="B31" s="11" t="s">
        <v>19</v>
      </c>
      <c r="C31" s="7"/>
      <c r="D31" s="7"/>
      <c r="E31" s="7"/>
      <c r="F31" s="7"/>
      <c r="G31" s="7"/>
      <c r="H31" s="7"/>
      <c r="I31" s="7"/>
      <c r="J31" s="44" t="s">
        <v>22</v>
      </c>
      <c r="K31" s="45"/>
      <c r="L31" s="46">
        <f>L30*K31</f>
        <v>0</v>
      </c>
    </row>
    <row r="32" spans="2:16" ht="20.149999999999999" customHeight="1" x14ac:dyDescent="0.45">
      <c r="B32" s="11" t="s">
        <v>20</v>
      </c>
      <c r="C32" s="7"/>
      <c r="D32" s="7"/>
      <c r="E32" s="7"/>
      <c r="F32" s="7"/>
      <c r="G32" s="7"/>
      <c r="H32" s="7"/>
      <c r="I32" s="7"/>
      <c r="J32" s="486" t="s">
        <v>21</v>
      </c>
      <c r="K32" s="487"/>
      <c r="L32" s="46">
        <f>L30-L31</f>
        <v>35</v>
      </c>
    </row>
    <row r="33" spans="2:12" ht="20.149999999999999" customHeight="1" x14ac:dyDescent="0.45">
      <c r="B33" s="11" t="s">
        <v>24</v>
      </c>
      <c r="C33" s="7"/>
      <c r="D33" s="7"/>
      <c r="E33" s="7"/>
      <c r="F33" s="7"/>
      <c r="G33" s="7"/>
      <c r="H33" s="7"/>
      <c r="I33" s="7"/>
      <c r="J33" s="150" t="s">
        <v>17</v>
      </c>
      <c r="K33" s="151">
        <v>7.0000000000000007E-2</v>
      </c>
      <c r="L33" s="47">
        <f>L32*K33</f>
        <v>2.4500000000000002</v>
      </c>
    </row>
    <row r="34" spans="2:12" ht="20.149999999999999" customHeight="1" thickBot="1" x14ac:dyDescent="0.5">
      <c r="B34" s="11" t="s">
        <v>25</v>
      </c>
      <c r="C34" s="7"/>
      <c r="D34" s="7"/>
      <c r="E34" s="7"/>
      <c r="F34" s="7"/>
      <c r="G34" s="7"/>
      <c r="H34" s="7"/>
      <c r="I34" s="7"/>
      <c r="J34" s="488" t="s">
        <v>23</v>
      </c>
      <c r="K34" s="489"/>
      <c r="L34" s="48">
        <f>L32+L33</f>
        <v>37.450000000000003</v>
      </c>
    </row>
    <row r="35" spans="2:12" ht="20.149999999999999" customHeight="1" x14ac:dyDescent="0.45">
      <c r="B35" s="11" t="s">
        <v>26</v>
      </c>
      <c r="C35" s="7"/>
      <c r="D35" s="7"/>
      <c r="E35" s="7"/>
      <c r="F35" s="7"/>
      <c r="G35" s="7"/>
      <c r="H35" s="7"/>
      <c r="I35" s="7"/>
      <c r="L35" s="42"/>
    </row>
    <row r="36" spans="2:12" ht="20.149999999999999" customHeight="1" x14ac:dyDescent="0.45">
      <c r="B36" s="41"/>
      <c r="L36" s="42"/>
    </row>
    <row r="37" spans="2:12" ht="20.149999999999999" customHeight="1" x14ac:dyDescent="0.45">
      <c r="B37" s="41"/>
      <c r="L37" s="42"/>
    </row>
    <row r="38" spans="2:12" ht="20.149999999999999" customHeight="1" x14ac:dyDescent="0.45">
      <c r="B38" s="41"/>
      <c r="L38" s="42"/>
    </row>
    <row r="39" spans="2:12" ht="20.149999999999999" customHeight="1" x14ac:dyDescent="0.45">
      <c r="B39" s="41"/>
      <c r="L39" s="42"/>
    </row>
    <row r="40" spans="2:12" ht="20.149999999999999" customHeight="1" x14ac:dyDescent="0.45">
      <c r="B40" s="49"/>
      <c r="C40" s="50"/>
      <c r="D40" s="50"/>
      <c r="J40" s="50"/>
      <c r="K40" s="50"/>
      <c r="L40" s="51"/>
    </row>
    <row r="41" spans="2:12" ht="20.149999999999999" customHeight="1" x14ac:dyDescent="0.45">
      <c r="B41" s="41" t="s">
        <v>27</v>
      </c>
      <c r="J41" s="24" t="s">
        <v>28</v>
      </c>
      <c r="L41" s="42"/>
    </row>
    <row r="42" spans="2:12" ht="19" thickBot="1" x14ac:dyDescent="0.5">
      <c r="B42" s="52"/>
      <c r="C42" s="53"/>
      <c r="D42" s="53"/>
      <c r="E42" s="53"/>
      <c r="F42" s="53"/>
      <c r="G42" s="53"/>
      <c r="H42" s="53"/>
      <c r="I42" s="53"/>
      <c r="J42" s="53"/>
      <c r="K42" s="53"/>
      <c r="L42" s="54"/>
    </row>
  </sheetData>
  <mergeCells count="36">
    <mergeCell ref="I26:J26"/>
    <mergeCell ref="I20:J20"/>
    <mergeCell ref="D23:F23"/>
    <mergeCell ref="I23:J23"/>
    <mergeCell ref="D24:F24"/>
    <mergeCell ref="I24:J24"/>
    <mergeCell ref="D25:F25"/>
    <mergeCell ref="I25:J25"/>
    <mergeCell ref="D22:F22"/>
    <mergeCell ref="I22:J22"/>
    <mergeCell ref="D21:F21"/>
    <mergeCell ref="I21:J21"/>
    <mergeCell ref="J34:K34"/>
    <mergeCell ref="D27:F27"/>
    <mergeCell ref="D28:F28"/>
    <mergeCell ref="J30:K30"/>
    <mergeCell ref="J32:K32"/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I18:J18"/>
    <mergeCell ref="D19:F19"/>
    <mergeCell ref="B14:D14"/>
    <mergeCell ref="K14:L14"/>
    <mergeCell ref="B15:D15"/>
    <mergeCell ref="K15:L15"/>
    <mergeCell ref="I19:J19"/>
  </mergeCells>
  <pageMargins left="0.70866141732283472" right="0.31496062992125984" top="0.59055118110236227" bottom="0" header="0.31496062992125984" footer="0.31496062992125984"/>
  <pageSetup paperSize="9" scale="76" orientation="portrait" horizontalDpi="300" verticalDpi="300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4FF3F8-936A-40C7-A2C0-8E12D02014DF}">
  <sheetPr codeName="Sheet38">
    <tabColor rgb="FFFFC000"/>
    <pageSetUpPr fitToPage="1"/>
  </sheetPr>
  <dimension ref="B1:P42"/>
  <sheetViews>
    <sheetView topLeftCell="A20" workbookViewId="0">
      <selection activeCell="K31" sqref="K31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4.54296875" style="24" customWidth="1"/>
    <col min="7" max="7" width="8.54296875" style="24" customWidth="1"/>
    <col min="8" max="8" width="15.54296875" style="24" customWidth="1"/>
    <col min="9" max="9" width="2.54296875" style="24" customWidth="1"/>
    <col min="10" max="10" width="15.54296875" style="24" customWidth="1"/>
    <col min="11" max="11" width="10.54296875" style="24" customWidth="1"/>
    <col min="12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90</v>
      </c>
      <c r="J10" s="29" t="s">
        <v>29</v>
      </c>
      <c r="K10" s="452">
        <v>202210030</v>
      </c>
      <c r="L10" s="453"/>
    </row>
    <row r="11" spans="2:12" ht="20.149999999999999" customHeight="1" x14ac:dyDescent="0.45">
      <c r="B11" s="454" t="s">
        <v>2037</v>
      </c>
      <c r="C11" s="455"/>
      <c r="D11" s="456"/>
      <c r="E11" s="30"/>
      <c r="F11" s="457" t="str">
        <f>VLOOKUP(H10,'Delivery Location'!A$4:N$416,2,0)</f>
        <v>Koufu Rasapura Masters                            2, Bayfront Avenue #B2-49A/50A Singapore 018972                               (Drink)</v>
      </c>
      <c r="G11" s="458"/>
      <c r="H11" s="459"/>
      <c r="J11" s="31" t="s">
        <v>11</v>
      </c>
      <c r="K11" s="466">
        <v>44835</v>
      </c>
      <c r="L11" s="467"/>
    </row>
    <row r="12" spans="2:12" ht="20.149999999999999" customHeight="1" x14ac:dyDescent="0.45">
      <c r="B12" s="468" t="s">
        <v>2139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2376</v>
      </c>
      <c r="L12" s="472"/>
    </row>
    <row r="13" spans="2:12" ht="20.149999999999999" customHeight="1" x14ac:dyDescent="0.45">
      <c r="B13" s="468" t="s">
        <v>2024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692</v>
      </c>
      <c r="L13" s="472"/>
    </row>
    <row r="14" spans="2:12" ht="20.149999999999999" customHeight="1" x14ac:dyDescent="0.45">
      <c r="B14" s="468" t="s">
        <v>2025</v>
      </c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463" t="s">
        <v>2026</v>
      </c>
      <c r="C15" s="464"/>
      <c r="D15" s="465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16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16" ht="20.149999999999999" customHeight="1" x14ac:dyDescent="0.45">
      <c r="B18" s="34"/>
      <c r="C18" s="22" t="s">
        <v>1608</v>
      </c>
      <c r="D18" s="508" t="str">
        <f>VLOOKUP(C18,'Sales Master'!B$3:D$499,2,)</f>
        <v>Pearl Barley 薏米</v>
      </c>
      <c r="E18" s="508"/>
      <c r="F18" s="508"/>
      <c r="G18" s="22">
        <v>4</v>
      </c>
      <c r="H18" s="389" t="str">
        <f>VLOOKUP(C18,'Sales Master'!$B$3:$F$3247,5,0)</f>
        <v>5 kgs</v>
      </c>
      <c r="I18" s="512" t="str">
        <f>VLOOKUP(C18,'Sales Master'!$B$3:$E$3247,4,0)</f>
        <v>-</v>
      </c>
      <c r="J18" s="512"/>
      <c r="K18" s="35">
        <f>VLOOKUP(C18,'Sales Master'!$B$3:$J$583,9,0)</f>
        <v>10</v>
      </c>
      <c r="L18" s="36">
        <f>K18*G18</f>
        <v>40</v>
      </c>
      <c r="N18" s="225">
        <f>VLOOKUP(C18,'Sales Master'!$B$3:$DA$3038,104,0)</f>
        <v>6.8000000000000007</v>
      </c>
      <c r="O18" s="225">
        <f>K18-N18</f>
        <v>3.1999999999999993</v>
      </c>
      <c r="P18" s="225">
        <f>O18*G18</f>
        <v>12.799999999999997</v>
      </c>
    </row>
    <row r="19" spans="2:16" ht="20.149999999999999" customHeight="1" x14ac:dyDescent="0.45">
      <c r="B19" s="34"/>
      <c r="C19" s="22"/>
      <c r="D19" s="508"/>
      <c r="E19" s="508"/>
      <c r="F19" s="508"/>
      <c r="G19" s="22"/>
      <c r="H19" s="389"/>
      <c r="I19" s="512"/>
      <c r="J19" s="512"/>
      <c r="K19" s="35"/>
      <c r="L19" s="36"/>
      <c r="N19" s="225"/>
      <c r="O19" s="225"/>
      <c r="P19" s="225"/>
    </row>
    <row r="20" spans="2:16" ht="20.149999999999999" customHeight="1" x14ac:dyDescent="0.45">
      <c r="B20" s="34"/>
      <c r="C20" s="22"/>
      <c r="D20" s="508"/>
      <c r="E20" s="508"/>
      <c r="F20" s="508"/>
      <c r="G20" s="22"/>
      <c r="H20" s="68"/>
      <c r="I20" s="481"/>
      <c r="J20" s="481"/>
      <c r="K20" s="35"/>
      <c r="L20" s="36"/>
    </row>
    <row r="21" spans="2:16" ht="20.149999999999999" customHeight="1" x14ac:dyDescent="0.45">
      <c r="B21" s="34"/>
      <c r="C21" s="22"/>
      <c r="D21" s="508"/>
      <c r="E21" s="508"/>
      <c r="F21" s="508"/>
      <c r="G21" s="22"/>
      <c r="H21" s="68"/>
      <c r="I21" s="450"/>
      <c r="J21" s="450"/>
      <c r="K21" s="35"/>
      <c r="L21" s="36"/>
    </row>
    <row r="22" spans="2:16" ht="20.149999999999999" customHeight="1" x14ac:dyDescent="0.45">
      <c r="B22" s="34"/>
      <c r="C22" s="22"/>
      <c r="D22" s="508"/>
      <c r="E22" s="508"/>
      <c r="F22" s="508"/>
      <c r="G22" s="22"/>
      <c r="H22" s="68"/>
      <c r="I22" s="450"/>
      <c r="J22" s="450"/>
      <c r="K22" s="35"/>
      <c r="L22" s="36"/>
    </row>
    <row r="23" spans="2:16" ht="20.149999999999999" customHeight="1" x14ac:dyDescent="0.45">
      <c r="B23" s="34"/>
      <c r="C23" s="22"/>
      <c r="D23" s="508"/>
      <c r="E23" s="508"/>
      <c r="F23" s="508"/>
      <c r="G23" s="22"/>
      <c r="H23" s="68"/>
      <c r="I23" s="450"/>
      <c r="J23" s="450"/>
      <c r="K23" s="35"/>
      <c r="L23" s="36"/>
    </row>
    <row r="24" spans="2:16" ht="20.149999999999999" customHeight="1" x14ac:dyDescent="0.45">
      <c r="B24" s="34"/>
      <c r="C24" s="22"/>
      <c r="G24" s="22"/>
      <c r="H24" s="68"/>
      <c r="I24" s="450"/>
      <c r="J24" s="450"/>
      <c r="K24" s="35"/>
      <c r="L24" s="36"/>
    </row>
    <row r="25" spans="2:16" ht="20.149999999999999" customHeight="1" x14ac:dyDescent="0.45">
      <c r="B25" s="34"/>
      <c r="C25" s="22"/>
      <c r="G25" s="22"/>
      <c r="H25" s="68"/>
      <c r="I25" s="450"/>
      <c r="J25" s="450"/>
      <c r="K25" s="35"/>
      <c r="L25" s="36"/>
    </row>
    <row r="26" spans="2:16" ht="20.149999999999999" customHeight="1" x14ac:dyDescent="0.45">
      <c r="B26" s="34"/>
      <c r="C26" s="22"/>
      <c r="G26" s="22"/>
      <c r="H26" s="68"/>
      <c r="I26" s="450"/>
      <c r="J26" s="450"/>
      <c r="K26" s="35"/>
      <c r="L26" s="36"/>
    </row>
    <row r="27" spans="2:16" ht="20.149999999999999" customHeight="1" x14ac:dyDescent="0.45">
      <c r="B27" s="34"/>
      <c r="C27" s="22"/>
      <c r="G27" s="22"/>
      <c r="H27" s="68"/>
      <c r="I27" s="450"/>
      <c r="J27" s="450"/>
      <c r="K27" s="35"/>
      <c r="L27" s="36"/>
    </row>
    <row r="28" spans="2:16" ht="20.149999999999999" customHeight="1" thickBot="1" x14ac:dyDescent="0.5">
      <c r="B28" s="37"/>
      <c r="C28" s="38"/>
      <c r="D28" s="509"/>
      <c r="E28" s="509"/>
      <c r="F28" s="509"/>
      <c r="G28" s="38"/>
      <c r="H28" s="38"/>
      <c r="I28" s="38"/>
      <c r="J28" s="38"/>
      <c r="K28" s="39"/>
      <c r="L28" s="40"/>
    </row>
    <row r="29" spans="2:16" ht="20.149999999999999" customHeight="1" thickBot="1" x14ac:dyDescent="0.5">
      <c r="B29" s="41"/>
      <c r="L29" s="42"/>
    </row>
    <row r="30" spans="2:16" ht="20.149999999999999" customHeight="1" x14ac:dyDescent="0.45">
      <c r="B30" s="11" t="s">
        <v>18</v>
      </c>
      <c r="C30" s="7"/>
      <c r="D30" s="7"/>
      <c r="E30" s="7"/>
      <c r="F30" s="7"/>
      <c r="G30" s="7"/>
      <c r="H30" s="7"/>
      <c r="I30" s="7"/>
      <c r="J30" s="510" t="s">
        <v>15</v>
      </c>
      <c r="K30" s="511"/>
      <c r="L30" s="43">
        <f>SUM(L17:L28)</f>
        <v>40</v>
      </c>
      <c r="M30" s="76">
        <f>SUM(P18:P26)-L30*0.02</f>
        <v>11.999999999999996</v>
      </c>
      <c r="N30" s="201">
        <f>M30/L30</f>
        <v>0.29999999999999993</v>
      </c>
    </row>
    <row r="31" spans="2:16" ht="20.149999999999999" customHeight="1" x14ac:dyDescent="0.45">
      <c r="B31" s="11" t="s">
        <v>19</v>
      </c>
      <c r="C31" s="7"/>
      <c r="D31" s="7"/>
      <c r="E31" s="7"/>
      <c r="F31" s="7"/>
      <c r="G31" s="7"/>
      <c r="H31" s="7"/>
      <c r="I31" s="7"/>
      <c r="J31" s="44" t="s">
        <v>22</v>
      </c>
      <c r="K31" s="45"/>
      <c r="L31" s="46">
        <f>L30*K31</f>
        <v>0</v>
      </c>
    </row>
    <row r="32" spans="2:16" ht="20.149999999999999" customHeight="1" x14ac:dyDescent="0.45">
      <c r="B32" s="11" t="s">
        <v>20</v>
      </c>
      <c r="C32" s="7"/>
      <c r="D32" s="7"/>
      <c r="E32" s="7"/>
      <c r="F32" s="7"/>
      <c r="G32" s="7"/>
      <c r="H32" s="7"/>
      <c r="I32" s="7"/>
      <c r="J32" s="486" t="s">
        <v>21</v>
      </c>
      <c r="K32" s="487"/>
      <c r="L32" s="46">
        <f>L30-L31</f>
        <v>40</v>
      </c>
    </row>
    <row r="33" spans="2:12" ht="20.149999999999999" customHeight="1" x14ac:dyDescent="0.45">
      <c r="B33" s="11" t="s">
        <v>24</v>
      </c>
      <c r="C33" s="7"/>
      <c r="D33" s="7"/>
      <c r="E33" s="7"/>
      <c r="F33" s="7"/>
      <c r="G33" s="7"/>
      <c r="H33" s="7"/>
      <c r="I33" s="7"/>
      <c r="J33" s="150" t="s">
        <v>17</v>
      </c>
      <c r="K33" s="151">
        <v>7.0000000000000007E-2</v>
      </c>
      <c r="L33" s="47">
        <f>L32*K33</f>
        <v>2.8000000000000003</v>
      </c>
    </row>
    <row r="34" spans="2:12" ht="20.149999999999999" customHeight="1" thickBot="1" x14ac:dyDescent="0.5">
      <c r="B34" s="11" t="s">
        <v>25</v>
      </c>
      <c r="C34" s="7"/>
      <c r="D34" s="7"/>
      <c r="E34" s="7"/>
      <c r="F34" s="7"/>
      <c r="G34" s="7"/>
      <c r="H34" s="7"/>
      <c r="I34" s="7"/>
      <c r="J34" s="488" t="s">
        <v>23</v>
      </c>
      <c r="K34" s="489"/>
      <c r="L34" s="48">
        <f>L32+L33</f>
        <v>42.8</v>
      </c>
    </row>
    <row r="35" spans="2:12" ht="20.149999999999999" customHeight="1" x14ac:dyDescent="0.45">
      <c r="B35" s="11" t="s">
        <v>26</v>
      </c>
      <c r="C35" s="7"/>
      <c r="D35" s="7"/>
      <c r="E35" s="7"/>
      <c r="F35" s="7"/>
      <c r="G35" s="7"/>
      <c r="H35" s="7"/>
      <c r="I35" s="7"/>
      <c r="L35" s="42"/>
    </row>
    <row r="36" spans="2:12" ht="20.149999999999999" customHeight="1" x14ac:dyDescent="0.45">
      <c r="B36" s="41"/>
      <c r="L36" s="42"/>
    </row>
    <row r="37" spans="2:12" ht="20.149999999999999" customHeight="1" x14ac:dyDescent="0.45">
      <c r="B37" s="41"/>
      <c r="L37" s="42"/>
    </row>
    <row r="38" spans="2:12" ht="20.149999999999999" customHeight="1" x14ac:dyDescent="0.45">
      <c r="B38" s="41"/>
      <c r="L38" s="42"/>
    </row>
    <row r="39" spans="2:12" ht="20.149999999999999" customHeight="1" x14ac:dyDescent="0.45">
      <c r="B39" s="41"/>
      <c r="L39" s="42"/>
    </row>
    <row r="40" spans="2:12" ht="20.149999999999999" customHeight="1" x14ac:dyDescent="0.45">
      <c r="B40" s="49"/>
      <c r="C40" s="50"/>
      <c r="D40" s="50"/>
      <c r="J40" s="50"/>
      <c r="K40" s="50"/>
      <c r="L40" s="51"/>
    </row>
    <row r="41" spans="2:12" ht="20.149999999999999" customHeight="1" x14ac:dyDescent="0.45">
      <c r="B41" s="41" t="s">
        <v>27</v>
      </c>
      <c r="J41" s="24" t="s">
        <v>28</v>
      </c>
      <c r="L41" s="42"/>
    </row>
    <row r="42" spans="2:12" ht="19" thickBot="1" x14ac:dyDescent="0.5">
      <c r="B42" s="52"/>
      <c r="C42" s="53"/>
      <c r="D42" s="53"/>
      <c r="E42" s="53"/>
      <c r="F42" s="53"/>
      <c r="G42" s="53"/>
      <c r="H42" s="53"/>
      <c r="I42" s="53"/>
      <c r="J42" s="53"/>
      <c r="K42" s="53"/>
      <c r="L42" s="54"/>
    </row>
  </sheetData>
  <mergeCells count="35">
    <mergeCell ref="J34:K34"/>
    <mergeCell ref="D28:F28"/>
    <mergeCell ref="J30:K30"/>
    <mergeCell ref="J32:K32"/>
    <mergeCell ref="D20:F20"/>
    <mergeCell ref="I20:J20"/>
    <mergeCell ref="D21:F21"/>
    <mergeCell ref="I21:J21"/>
    <mergeCell ref="D22:F22"/>
    <mergeCell ref="I22:J22"/>
    <mergeCell ref="D23:F23"/>
    <mergeCell ref="I23:J23"/>
    <mergeCell ref="I24:J24"/>
    <mergeCell ref="I27:J27"/>
    <mergeCell ref="I26:J26"/>
    <mergeCell ref="D18:F18"/>
    <mergeCell ref="I18:J18"/>
    <mergeCell ref="D19:F19"/>
    <mergeCell ref="I19:J19"/>
    <mergeCell ref="I25:J25"/>
    <mergeCell ref="B1:L8"/>
    <mergeCell ref="D17:F17"/>
    <mergeCell ref="I17:J1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</mergeCells>
  <pageMargins left="0.70866141732283472" right="0.31496062992125984" top="0.59055118110236227" bottom="0" header="0.31496062992125984" footer="0.31496062992125984"/>
  <pageSetup paperSize="9" scale="79" orientation="portrait" horizontalDpi="300" verticalDpi="300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EBF17E-D7BE-4C3E-BDE5-E10088167DD2}">
  <sheetPr codeName="Sheet39">
    <tabColor rgb="FF7030A0"/>
    <pageSetUpPr fitToPage="1"/>
  </sheetPr>
  <dimension ref="B1:P38"/>
  <sheetViews>
    <sheetView workbookViewId="0">
      <selection activeCell="K11" sqref="K11:L11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30.1796875" style="24" customWidth="1"/>
    <col min="7" max="7" width="8.54296875" style="24" customWidth="1"/>
    <col min="8" max="8" width="6.54296875" style="24" customWidth="1"/>
    <col min="9" max="9" width="2.54296875" style="24" customWidth="1"/>
    <col min="10" max="10" width="15.54296875" style="24" customWidth="1"/>
    <col min="11" max="11" width="10.54296875" style="24" customWidth="1"/>
    <col min="12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1988</v>
      </c>
      <c r="J10" s="29" t="s">
        <v>29</v>
      </c>
      <c r="K10" s="452">
        <v>202208453</v>
      </c>
      <c r="L10" s="453"/>
    </row>
    <row r="11" spans="2:12" ht="20.149999999999999" customHeight="1" x14ac:dyDescent="0.45">
      <c r="B11" s="454"/>
      <c r="C11" s="455"/>
      <c r="D11" s="456"/>
      <c r="E11" s="30"/>
      <c r="F11" s="457" t="str">
        <f>VLOOKUP(H10,'Delivery Location'!A$4:N$416,2,0)</f>
        <v xml:space="preserve">PS Seiko Pte Ltd                                                    2, Woodlands Sector, #05-23/25 Woodlands Spectrum 1                                     SINGAPORe 738068          </v>
      </c>
      <c r="G11" s="458"/>
      <c r="H11" s="459"/>
      <c r="J11" s="31" t="s">
        <v>11</v>
      </c>
      <c r="K11" s="466">
        <v>44799</v>
      </c>
      <c r="L11" s="467"/>
    </row>
    <row r="12" spans="2:12" ht="20.149999999999999" customHeight="1" x14ac:dyDescent="0.45">
      <c r="B12" s="468"/>
      <c r="C12" s="469"/>
      <c r="D12" s="470"/>
      <c r="E12" s="30"/>
      <c r="F12" s="460"/>
      <c r="G12" s="461"/>
      <c r="H12" s="462"/>
      <c r="J12" s="31" t="s">
        <v>171</v>
      </c>
      <c r="K12" s="471" t="s">
        <v>36</v>
      </c>
      <c r="L12" s="472"/>
    </row>
    <row r="13" spans="2:12" ht="20.149999999999999" customHeight="1" x14ac:dyDescent="0.45">
      <c r="B13" s="468"/>
      <c r="C13" s="469"/>
      <c r="D13" s="470"/>
      <c r="E13" s="30"/>
      <c r="F13" s="460"/>
      <c r="G13" s="461"/>
      <c r="H13" s="462"/>
      <c r="J13" s="31" t="s">
        <v>12</v>
      </c>
      <c r="K13" s="471" t="s">
        <v>1258</v>
      </c>
      <c r="L13" s="472"/>
    </row>
    <row r="14" spans="2:12" ht="20.149999999999999" customHeight="1" x14ac:dyDescent="0.45">
      <c r="B14" s="468"/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552"/>
      <c r="C15" s="474"/>
      <c r="D15" s="475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16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16" ht="20.149999999999999" customHeight="1" x14ac:dyDescent="0.45">
      <c r="B18" s="70"/>
      <c r="C18" s="22" t="s">
        <v>36</v>
      </c>
      <c r="D18" s="560" t="s">
        <v>2279</v>
      </c>
      <c r="E18" s="560"/>
      <c r="F18" s="560"/>
      <c r="G18" s="90">
        <v>56</v>
      </c>
      <c r="H18" s="68" t="s">
        <v>36</v>
      </c>
      <c r="I18" s="481" t="s">
        <v>61</v>
      </c>
      <c r="J18" s="481"/>
      <c r="K18" s="98">
        <v>6.5</v>
      </c>
      <c r="L18" s="99">
        <f>K18*G18</f>
        <v>364</v>
      </c>
      <c r="M18" s="78"/>
      <c r="N18" s="225">
        <f>4.8+0.7</f>
        <v>5.5</v>
      </c>
      <c r="O18" s="225">
        <f>K18-N18</f>
        <v>1</v>
      </c>
      <c r="P18" s="225">
        <f>O18*G18</f>
        <v>56</v>
      </c>
    </row>
    <row r="19" spans="2:16" ht="20.149999999999999" customHeight="1" x14ac:dyDescent="0.45">
      <c r="B19" s="70"/>
      <c r="C19" s="22"/>
      <c r="D19" s="560"/>
      <c r="E19" s="560"/>
      <c r="F19" s="560"/>
      <c r="G19" s="90"/>
      <c r="H19" s="68"/>
      <c r="I19" s="481"/>
      <c r="J19" s="481"/>
      <c r="K19" s="98"/>
      <c r="L19" s="99"/>
      <c r="M19" s="78"/>
    </row>
    <row r="20" spans="2:16" ht="20.149999999999999" customHeight="1" x14ac:dyDescent="0.45">
      <c r="B20" s="70"/>
      <c r="C20" s="22"/>
      <c r="D20" s="508"/>
      <c r="E20" s="508"/>
      <c r="F20" s="508"/>
      <c r="G20" s="90"/>
      <c r="H20" s="68"/>
      <c r="I20" s="481"/>
      <c r="J20" s="481"/>
      <c r="K20" s="98"/>
      <c r="L20" s="99"/>
      <c r="M20" s="78"/>
    </row>
    <row r="21" spans="2:16" ht="20.149999999999999" customHeight="1" x14ac:dyDescent="0.45">
      <c r="B21" s="70"/>
      <c r="C21" s="22"/>
      <c r="D21" s="508"/>
      <c r="E21" s="508"/>
      <c r="F21" s="508"/>
      <c r="G21" s="90"/>
      <c r="H21" s="68"/>
      <c r="I21" s="481"/>
      <c r="J21" s="481"/>
      <c r="K21" s="98"/>
      <c r="L21" s="99"/>
      <c r="M21" s="78"/>
    </row>
    <row r="22" spans="2:16" ht="20.149999999999999" customHeight="1" x14ac:dyDescent="0.45">
      <c r="B22" s="70"/>
      <c r="C22" s="22"/>
      <c r="D22" s="508"/>
      <c r="E22" s="508"/>
      <c r="F22" s="508"/>
      <c r="G22" s="90"/>
      <c r="H22" s="68"/>
      <c r="I22" s="481"/>
      <c r="J22" s="481"/>
      <c r="K22" s="98"/>
      <c r="L22" s="99"/>
      <c r="M22" s="78"/>
    </row>
    <row r="23" spans="2:16" ht="20.149999999999999" customHeight="1" x14ac:dyDescent="0.45">
      <c r="B23" s="70"/>
      <c r="C23" s="22"/>
      <c r="D23" s="508"/>
      <c r="E23" s="508"/>
      <c r="F23" s="508"/>
      <c r="G23" s="310"/>
      <c r="H23" s="68"/>
      <c r="I23" s="481"/>
      <c r="J23" s="481"/>
      <c r="K23" s="98"/>
      <c r="L23" s="99"/>
      <c r="M23" s="78"/>
    </row>
    <row r="24" spans="2:16" ht="20.149999999999999" customHeight="1" x14ac:dyDescent="0.45">
      <c r="B24" s="70"/>
      <c r="C24" s="22"/>
      <c r="D24" s="508"/>
      <c r="E24" s="508"/>
      <c r="F24" s="508"/>
      <c r="G24" s="310"/>
      <c r="H24" s="68"/>
      <c r="I24" s="481"/>
      <c r="J24" s="481"/>
      <c r="K24" s="98"/>
      <c r="L24" s="99"/>
      <c r="M24" s="78"/>
    </row>
    <row r="25" spans="2:16" ht="20.149999999999999" customHeight="1" thickBot="1" x14ac:dyDescent="0.5">
      <c r="B25" s="52"/>
      <c r="C25" s="53"/>
      <c r="D25" s="53"/>
      <c r="E25" s="53"/>
      <c r="F25" s="53"/>
      <c r="G25" s="53"/>
      <c r="H25" s="53"/>
      <c r="I25" s="53"/>
      <c r="J25" s="53"/>
      <c r="K25" s="53"/>
      <c r="L25" s="54"/>
    </row>
    <row r="26" spans="2:16" ht="20.149999999999999" customHeight="1" x14ac:dyDescent="0.45">
      <c r="B26" s="11" t="s">
        <v>18</v>
      </c>
      <c r="C26" s="7"/>
      <c r="D26" s="7"/>
      <c r="E26" s="7"/>
      <c r="F26" s="7"/>
      <c r="G26" s="7"/>
      <c r="H26" s="7"/>
      <c r="I26" s="7"/>
      <c r="J26" s="510" t="s">
        <v>15</v>
      </c>
      <c r="K26" s="511"/>
      <c r="L26" s="43">
        <f>SUM(L17:L25)</f>
        <v>364</v>
      </c>
      <c r="M26" s="76"/>
    </row>
    <row r="27" spans="2:16" ht="20.149999999999999" customHeight="1" x14ac:dyDescent="0.45">
      <c r="B27" s="11" t="s">
        <v>19</v>
      </c>
      <c r="C27" s="7"/>
      <c r="D27" s="7"/>
      <c r="E27" s="7"/>
      <c r="F27" s="7"/>
      <c r="G27" s="7"/>
      <c r="H27" s="7"/>
      <c r="I27" s="7"/>
      <c r="J27" s="44" t="s">
        <v>22</v>
      </c>
      <c r="K27" s="45"/>
      <c r="L27" s="46">
        <f>L26*K27</f>
        <v>0</v>
      </c>
    </row>
    <row r="28" spans="2:16" ht="20.149999999999999" customHeight="1" x14ac:dyDescent="0.45">
      <c r="B28" s="11" t="s">
        <v>20</v>
      </c>
      <c r="C28" s="7"/>
      <c r="D28" s="7"/>
      <c r="E28" s="7"/>
      <c r="F28" s="7"/>
      <c r="G28" s="7"/>
      <c r="H28" s="7"/>
      <c r="I28" s="7"/>
      <c r="J28" s="486" t="s">
        <v>21</v>
      </c>
      <c r="K28" s="487"/>
      <c r="L28" s="46">
        <f>L26-L27</f>
        <v>364</v>
      </c>
    </row>
    <row r="29" spans="2:16" ht="20.149999999999999" customHeight="1" x14ac:dyDescent="0.45">
      <c r="B29" s="11" t="s">
        <v>24</v>
      </c>
      <c r="C29" s="7"/>
      <c r="D29" s="7"/>
      <c r="E29" s="7"/>
      <c r="F29" s="7"/>
      <c r="G29" s="7"/>
      <c r="H29" s="7"/>
      <c r="I29" s="7"/>
      <c r="J29" s="150" t="s">
        <v>17</v>
      </c>
      <c r="K29" s="151">
        <v>7.0000000000000007E-2</v>
      </c>
      <c r="L29" s="47">
        <f>L28*K29</f>
        <v>25.480000000000004</v>
      </c>
    </row>
    <row r="30" spans="2:16" ht="20.149999999999999" customHeight="1" thickBot="1" x14ac:dyDescent="0.5">
      <c r="B30" s="11" t="s">
        <v>25</v>
      </c>
      <c r="C30" s="7"/>
      <c r="D30" s="7"/>
      <c r="E30" s="7"/>
      <c r="F30" s="7"/>
      <c r="G30" s="7"/>
      <c r="H30" s="7"/>
      <c r="I30" s="7"/>
      <c r="J30" s="488" t="s">
        <v>23</v>
      </c>
      <c r="K30" s="489"/>
      <c r="L30" s="48">
        <f>L28+L29</f>
        <v>389.48</v>
      </c>
    </row>
    <row r="31" spans="2:16" ht="20.149999999999999" customHeight="1" x14ac:dyDescent="0.45">
      <c r="B31" s="11" t="s">
        <v>26</v>
      </c>
      <c r="C31" s="7"/>
      <c r="D31" s="7"/>
      <c r="E31" s="7"/>
      <c r="F31" s="7"/>
      <c r="G31" s="7"/>
      <c r="H31" s="7"/>
      <c r="I31" s="7"/>
      <c r="L31" s="42"/>
    </row>
    <row r="32" spans="2:16" ht="20.149999999999999" customHeight="1" x14ac:dyDescent="0.45">
      <c r="B32" s="224" t="s">
        <v>1379</v>
      </c>
      <c r="L32" s="42"/>
    </row>
    <row r="33" spans="2:12" ht="20.149999999999999" customHeight="1" x14ac:dyDescent="0.45">
      <c r="B33" s="41"/>
      <c r="L33" s="42"/>
    </row>
    <row r="34" spans="2:12" ht="20.149999999999999" customHeight="1" x14ac:dyDescent="0.45">
      <c r="B34" s="41"/>
      <c r="L34" s="42"/>
    </row>
    <row r="35" spans="2:12" ht="20.149999999999999" customHeight="1" x14ac:dyDescent="0.45">
      <c r="B35" s="41"/>
      <c r="L35" s="42"/>
    </row>
    <row r="36" spans="2:12" ht="20.149999999999999" customHeight="1" x14ac:dyDescent="0.45">
      <c r="B36" s="49"/>
      <c r="C36" s="50"/>
      <c r="D36" s="50"/>
      <c r="J36" s="50"/>
      <c r="K36" s="50"/>
      <c r="L36" s="51"/>
    </row>
    <row r="37" spans="2:12" ht="20.149999999999999" customHeight="1" x14ac:dyDescent="0.45">
      <c r="B37" s="41" t="s">
        <v>27</v>
      </c>
      <c r="J37" s="24" t="s">
        <v>28</v>
      </c>
      <c r="L37" s="42"/>
    </row>
    <row r="38" spans="2:12" ht="19" thickBot="1" x14ac:dyDescent="0.5">
      <c r="B38" s="52"/>
      <c r="C38" s="53"/>
      <c r="D38" s="53"/>
      <c r="E38" s="53"/>
      <c r="F38" s="53"/>
      <c r="G38" s="53"/>
      <c r="H38" s="53"/>
      <c r="I38" s="53"/>
      <c r="J38" s="53"/>
      <c r="K38" s="53"/>
      <c r="L38" s="54"/>
    </row>
  </sheetData>
  <mergeCells count="32">
    <mergeCell ref="J28:K28"/>
    <mergeCell ref="J30:K30"/>
    <mergeCell ref="D23:F23"/>
    <mergeCell ref="I23:J23"/>
    <mergeCell ref="D24:F24"/>
    <mergeCell ref="I24:J24"/>
    <mergeCell ref="J26:K26"/>
    <mergeCell ref="D21:F21"/>
    <mergeCell ref="I21:J21"/>
    <mergeCell ref="D22:F22"/>
    <mergeCell ref="I22:J22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4" orientation="portrait" horizontalDpi="300" verticalDpi="300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FC4ABE-F61F-4451-88D5-F001F9F655B8}">
  <sheetPr codeName="Sheet40">
    <tabColor rgb="FF7030A0"/>
    <pageSetUpPr fitToPage="1"/>
  </sheetPr>
  <dimension ref="B1:P45"/>
  <sheetViews>
    <sheetView topLeftCell="B1" workbookViewId="0">
      <selection activeCell="D34" sqref="D34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7.453125" style="24" customWidth="1"/>
    <col min="7" max="7" width="8.54296875" style="24" customWidth="1"/>
    <col min="8" max="8" width="18.81640625" style="24" customWidth="1"/>
    <col min="9" max="9" width="2.54296875" style="24" customWidth="1"/>
    <col min="10" max="10" width="15.54296875" style="24" customWidth="1"/>
    <col min="11" max="11" width="10.54296875" style="24" customWidth="1"/>
    <col min="12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1976</v>
      </c>
      <c r="J10" s="29" t="s">
        <v>29</v>
      </c>
      <c r="K10" s="452">
        <v>202109243</v>
      </c>
      <c r="L10" s="453"/>
    </row>
    <row r="11" spans="2:12" ht="20.149999999999999" customHeight="1" x14ac:dyDescent="0.45">
      <c r="B11" s="454" t="s">
        <v>1979</v>
      </c>
      <c r="C11" s="455"/>
      <c r="D11" s="456"/>
      <c r="E11" s="30"/>
      <c r="F11" s="457" t="str">
        <f>VLOOKUP(H10,'Delivery Location'!A$4:N$416,2,0)</f>
        <v xml:space="preserve">MICHELLE                                                         56, MINBU ROAD #03-01                                        SINGAPORE 308185          </v>
      </c>
      <c r="G11" s="458"/>
      <c r="H11" s="459"/>
      <c r="J11" s="31" t="s">
        <v>11</v>
      </c>
      <c r="K11" s="551">
        <v>44454</v>
      </c>
      <c r="L11" s="472"/>
    </row>
    <row r="12" spans="2:12" ht="20.149999999999999" customHeight="1" x14ac:dyDescent="0.45">
      <c r="B12" s="468"/>
      <c r="C12" s="469"/>
      <c r="D12" s="470"/>
      <c r="E12" s="30"/>
      <c r="F12" s="460"/>
      <c r="G12" s="461"/>
      <c r="H12" s="462"/>
      <c r="J12" s="31" t="s">
        <v>171</v>
      </c>
      <c r="K12" s="471" t="s">
        <v>36</v>
      </c>
      <c r="L12" s="472"/>
    </row>
    <row r="13" spans="2:12" ht="20.149999999999999" customHeight="1" x14ac:dyDescent="0.45">
      <c r="B13" s="468"/>
      <c r="C13" s="469"/>
      <c r="D13" s="470"/>
      <c r="E13" s="30"/>
      <c r="F13" s="460"/>
      <c r="G13" s="461"/>
      <c r="H13" s="462"/>
      <c r="J13" s="31" t="s">
        <v>12</v>
      </c>
      <c r="K13" s="471" t="s">
        <v>1258</v>
      </c>
      <c r="L13" s="472"/>
    </row>
    <row r="14" spans="2:12" ht="20.149999999999999" customHeight="1" x14ac:dyDescent="0.45">
      <c r="B14" s="468"/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552"/>
      <c r="C15" s="474"/>
      <c r="D15" s="475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16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16" ht="20.149999999999999" customHeight="1" x14ac:dyDescent="0.45">
      <c r="B18" s="70"/>
      <c r="C18" s="22" t="s">
        <v>1445</v>
      </c>
      <c r="D18" s="508" t="str">
        <f>VLOOKUP(C18,'Sales Master'!B$3:D$499,2,)</f>
        <v>Fresh Soursop 红毛榴莲(无)</v>
      </c>
      <c r="E18" s="508"/>
      <c r="F18" s="508"/>
      <c r="G18" s="90">
        <v>1</v>
      </c>
      <c r="H18" s="68" t="str">
        <f>VLOOKUP(C18,'Sales Master'!$B$3:$F$3179,5,0)</f>
        <v>5 KGS/TUB</v>
      </c>
      <c r="I18" s="481" t="str">
        <f>VLOOKUP(C18,'Sales Master'!$B$3:$E$3179,4,0)</f>
        <v>DO!</v>
      </c>
      <c r="J18" s="481"/>
      <c r="K18" s="98">
        <v>36</v>
      </c>
      <c r="L18" s="99">
        <f>K18*G18</f>
        <v>36</v>
      </c>
      <c r="M18" s="78"/>
      <c r="N18" s="225">
        <f>VLOOKUP(C18,'Sales Master'!$B$3:$DA$3038,104,0)</f>
        <v>24.040624999999999</v>
      </c>
      <c r="O18" s="225">
        <f>K18-N18</f>
        <v>11.959375000000001</v>
      </c>
      <c r="P18" s="225">
        <f>O18*G18</f>
        <v>11.959375000000001</v>
      </c>
    </row>
    <row r="19" spans="2:16" ht="20.149999999999999" customHeight="1" x14ac:dyDescent="0.45">
      <c r="B19" s="70"/>
      <c r="C19" s="22" t="s">
        <v>1567</v>
      </c>
      <c r="D19" s="508" t="str">
        <f>VLOOKUP(C19,'Sales Master'!B$3:D$499,2,)</f>
        <v>Selaseh (Basil Seed) 青蛙蛋</v>
      </c>
      <c r="E19" s="508"/>
      <c r="F19" s="508"/>
      <c r="G19" s="90">
        <v>1</v>
      </c>
      <c r="H19" s="68" t="str">
        <f>VLOOKUP(C19,'Sales Master'!$B$3:$F$3179,5,0)</f>
        <v>500 gm</v>
      </c>
      <c r="I19" s="481" t="str">
        <f>VLOOKUP(C19,'Sales Master'!$B$3:$E$3179,4,0)</f>
        <v>Tukhmaria</v>
      </c>
      <c r="J19" s="481"/>
      <c r="K19" s="98">
        <v>6</v>
      </c>
      <c r="L19" s="99">
        <f>K19*G19</f>
        <v>6</v>
      </c>
      <c r="M19" s="78"/>
    </row>
    <row r="20" spans="2:16" ht="20.149999999999999" customHeight="1" x14ac:dyDescent="0.45">
      <c r="B20" s="70"/>
      <c r="C20" s="22"/>
      <c r="D20" s="508"/>
      <c r="E20" s="508"/>
      <c r="F20" s="508"/>
      <c r="G20" s="90"/>
      <c r="H20" s="68"/>
      <c r="I20" s="481"/>
      <c r="J20" s="481"/>
      <c r="K20" s="98"/>
      <c r="L20" s="99"/>
      <c r="M20" s="78"/>
    </row>
    <row r="21" spans="2:16" ht="20.149999999999999" customHeight="1" x14ac:dyDescent="0.45">
      <c r="B21" s="70"/>
      <c r="C21" s="22"/>
      <c r="D21" s="508" t="s">
        <v>1977</v>
      </c>
      <c r="E21" s="508"/>
      <c r="F21" s="508"/>
      <c r="G21" s="90"/>
      <c r="H21" s="68"/>
      <c r="I21" s="481"/>
      <c r="J21" s="481"/>
      <c r="K21" s="98"/>
      <c r="L21" s="99">
        <v>10</v>
      </c>
      <c r="M21" s="78"/>
    </row>
    <row r="22" spans="2:16" ht="20.149999999999999" customHeight="1" x14ac:dyDescent="0.45">
      <c r="B22" s="70"/>
      <c r="C22" s="22"/>
      <c r="D22" s="508"/>
      <c r="E22" s="508"/>
      <c r="F22" s="508"/>
      <c r="G22" s="90"/>
      <c r="H22" s="68"/>
      <c r="I22" s="481"/>
      <c r="J22" s="481"/>
      <c r="K22" s="98"/>
      <c r="L22" s="99"/>
      <c r="M22" s="78"/>
    </row>
    <row r="23" spans="2:16" ht="20.149999999999999" customHeight="1" x14ac:dyDescent="0.45">
      <c r="B23" s="70"/>
      <c r="C23" s="22"/>
      <c r="D23" s="508"/>
      <c r="E23" s="508"/>
      <c r="F23" s="508"/>
      <c r="G23" s="90"/>
      <c r="H23" s="68"/>
      <c r="I23" s="481"/>
      <c r="J23" s="481"/>
      <c r="K23" s="98"/>
      <c r="L23" s="99"/>
      <c r="M23" s="78"/>
    </row>
    <row r="24" spans="2:16" ht="20.149999999999999" customHeight="1" x14ac:dyDescent="0.45">
      <c r="B24" s="70"/>
      <c r="C24" s="22"/>
      <c r="D24" s="508"/>
      <c r="E24" s="508"/>
      <c r="F24" s="508"/>
      <c r="G24" s="90"/>
      <c r="H24" s="68"/>
      <c r="I24" s="481"/>
      <c r="J24" s="481"/>
      <c r="K24" s="98"/>
      <c r="L24" s="99"/>
      <c r="M24" s="78"/>
    </row>
    <row r="25" spans="2:16" ht="20.149999999999999" customHeight="1" x14ac:dyDescent="0.45">
      <c r="B25" s="70"/>
      <c r="C25" s="22"/>
      <c r="D25" s="508"/>
      <c r="E25" s="508"/>
      <c r="F25" s="508"/>
      <c r="G25" s="90"/>
      <c r="H25" s="68"/>
      <c r="I25" s="481"/>
      <c r="J25" s="481"/>
      <c r="K25" s="98"/>
      <c r="L25" s="99"/>
      <c r="M25" s="78"/>
    </row>
    <row r="26" spans="2:16" ht="20.149999999999999" customHeight="1" x14ac:dyDescent="0.45">
      <c r="B26" s="70"/>
      <c r="C26" s="22"/>
      <c r="D26" s="508"/>
      <c r="E26" s="508"/>
      <c r="F26" s="508"/>
      <c r="G26" s="90"/>
      <c r="H26" s="68"/>
      <c r="I26" s="481"/>
      <c r="J26" s="481"/>
      <c r="K26" s="98"/>
      <c r="L26" s="99"/>
      <c r="M26" s="78"/>
    </row>
    <row r="27" spans="2:16" ht="20.149999999999999" customHeight="1" x14ac:dyDescent="0.45">
      <c r="B27" s="70"/>
      <c r="C27" s="22"/>
      <c r="D27" s="508"/>
      <c r="E27" s="508"/>
      <c r="F27" s="508"/>
      <c r="G27" s="90"/>
      <c r="H27" s="68"/>
      <c r="I27" s="481"/>
      <c r="J27" s="481"/>
      <c r="K27" s="98"/>
      <c r="L27" s="99"/>
      <c r="M27" s="78"/>
    </row>
    <row r="28" spans="2:16" ht="20.149999999999999" customHeight="1" x14ac:dyDescent="0.45">
      <c r="B28" s="70"/>
      <c r="C28" s="22"/>
      <c r="D28" s="508"/>
      <c r="E28" s="508"/>
      <c r="F28" s="508"/>
      <c r="G28" s="90"/>
      <c r="H28" s="68"/>
      <c r="I28" s="481"/>
      <c r="J28" s="481"/>
      <c r="K28" s="98"/>
      <c r="L28" s="99"/>
      <c r="M28" s="78"/>
    </row>
    <row r="29" spans="2:16" ht="20.149999999999999" customHeight="1" x14ac:dyDescent="0.45">
      <c r="B29" s="70"/>
      <c r="C29" s="22"/>
      <c r="D29" s="508"/>
      <c r="E29" s="508"/>
      <c r="F29" s="508"/>
      <c r="G29" s="90"/>
      <c r="H29" s="68"/>
      <c r="I29" s="481"/>
      <c r="J29" s="481"/>
      <c r="K29" s="98"/>
      <c r="L29" s="99"/>
      <c r="M29" s="78"/>
    </row>
    <row r="30" spans="2:16" ht="20.149999999999999" customHeight="1" x14ac:dyDescent="0.45">
      <c r="B30" s="70"/>
      <c r="C30" s="22"/>
      <c r="D30" s="508"/>
      <c r="E30" s="508"/>
      <c r="F30" s="508"/>
      <c r="G30" s="310"/>
      <c r="H30" s="68"/>
      <c r="I30" s="481"/>
      <c r="J30" s="481"/>
      <c r="K30" s="98"/>
      <c r="L30" s="99"/>
      <c r="M30" s="78"/>
    </row>
    <row r="31" spans="2:16" ht="20.149999999999999" customHeight="1" x14ac:dyDescent="0.45">
      <c r="B31" s="70"/>
      <c r="C31" s="22"/>
      <c r="D31" s="508"/>
      <c r="E31" s="508"/>
      <c r="F31" s="508"/>
      <c r="G31" s="310"/>
      <c r="H31" s="68"/>
      <c r="I31" s="481"/>
      <c r="J31" s="481"/>
      <c r="K31" s="98"/>
      <c r="L31" s="99"/>
      <c r="M31" s="78"/>
    </row>
    <row r="32" spans="2:16" ht="20.149999999999999" customHeight="1" thickBot="1" x14ac:dyDescent="0.5">
      <c r="B32" s="52"/>
      <c r="C32" s="53"/>
      <c r="D32" s="53"/>
      <c r="E32" s="53"/>
      <c r="F32" s="53"/>
      <c r="G32" s="53"/>
      <c r="H32" s="53"/>
      <c r="I32" s="53"/>
      <c r="J32" s="53"/>
      <c r="K32" s="53"/>
      <c r="L32" s="54"/>
    </row>
    <row r="33" spans="2:14" ht="20.149999999999999" customHeight="1" x14ac:dyDescent="0.45">
      <c r="B33" s="11" t="s">
        <v>18</v>
      </c>
      <c r="C33" s="7"/>
      <c r="D33" s="7"/>
      <c r="E33" s="7"/>
      <c r="F33" s="7"/>
      <c r="G33" s="7"/>
      <c r="H33" s="7"/>
      <c r="I33" s="7"/>
      <c r="J33" s="510" t="s">
        <v>15</v>
      </c>
      <c r="K33" s="511"/>
      <c r="L33" s="43">
        <f>SUM(L17:L32)</f>
        <v>52</v>
      </c>
      <c r="M33" s="76">
        <f>SUM(P18:P23)</f>
        <v>11.959375000000001</v>
      </c>
      <c r="N33" s="201">
        <f>M33/L33</f>
        <v>0.2299879807692308</v>
      </c>
    </row>
    <row r="34" spans="2:14" ht="20.149999999999999" customHeight="1" x14ac:dyDescent="0.45">
      <c r="B34" s="11" t="s">
        <v>19</v>
      </c>
      <c r="C34" s="7"/>
      <c r="D34" s="7"/>
      <c r="E34" s="7"/>
      <c r="F34" s="7"/>
      <c r="G34" s="7"/>
      <c r="H34" s="7"/>
      <c r="I34" s="7"/>
      <c r="J34" s="44" t="s">
        <v>22</v>
      </c>
      <c r="K34" s="45"/>
      <c r="L34" s="46">
        <f>L33*K34</f>
        <v>0</v>
      </c>
    </row>
    <row r="35" spans="2:14" ht="20.149999999999999" customHeight="1" x14ac:dyDescent="0.45">
      <c r="B35" s="11" t="s">
        <v>20</v>
      </c>
      <c r="C35" s="7"/>
      <c r="D35" s="7"/>
      <c r="E35" s="7"/>
      <c r="F35" s="7"/>
      <c r="G35" s="7"/>
      <c r="H35" s="7"/>
      <c r="I35" s="7"/>
      <c r="J35" s="486" t="s">
        <v>21</v>
      </c>
      <c r="K35" s="487"/>
      <c r="L35" s="46">
        <f>L33-L34</f>
        <v>52</v>
      </c>
    </row>
    <row r="36" spans="2:14" ht="20.149999999999999" customHeight="1" x14ac:dyDescent="0.45">
      <c r="B36" s="11" t="s">
        <v>24</v>
      </c>
      <c r="C36" s="7"/>
      <c r="D36" s="7"/>
      <c r="E36" s="7"/>
      <c r="F36" s="7"/>
      <c r="G36" s="7"/>
      <c r="H36" s="7"/>
      <c r="I36" s="7"/>
      <c r="J36" s="150" t="s">
        <v>17</v>
      </c>
      <c r="K36" s="151">
        <v>7.0000000000000007E-2</v>
      </c>
      <c r="L36" s="47">
        <f>L35*K36</f>
        <v>3.6400000000000006</v>
      </c>
    </row>
    <row r="37" spans="2:14" ht="20.149999999999999" customHeight="1" thickBot="1" x14ac:dyDescent="0.5">
      <c r="B37" s="11" t="s">
        <v>25</v>
      </c>
      <c r="C37" s="7"/>
      <c r="D37" s="7"/>
      <c r="E37" s="7"/>
      <c r="F37" s="7"/>
      <c r="G37" s="7"/>
      <c r="H37" s="7"/>
      <c r="I37" s="7"/>
      <c r="J37" s="488" t="s">
        <v>23</v>
      </c>
      <c r="K37" s="489"/>
      <c r="L37" s="48">
        <f>L35+L36</f>
        <v>55.64</v>
      </c>
    </row>
    <row r="38" spans="2:14" ht="20.149999999999999" customHeight="1" x14ac:dyDescent="0.45">
      <c r="B38" s="11" t="s">
        <v>26</v>
      </c>
      <c r="C38" s="7"/>
      <c r="D38" s="7"/>
      <c r="E38" s="7"/>
      <c r="F38" s="7"/>
      <c r="G38" s="7"/>
      <c r="H38" s="7"/>
      <c r="I38" s="7"/>
      <c r="L38" s="42"/>
    </row>
    <row r="39" spans="2:14" ht="20.149999999999999" customHeight="1" x14ac:dyDescent="0.45">
      <c r="B39" s="224" t="s">
        <v>1379</v>
      </c>
      <c r="L39" s="42"/>
    </row>
    <row r="40" spans="2:14" ht="20.149999999999999" customHeight="1" x14ac:dyDescent="0.45">
      <c r="B40" s="41"/>
      <c r="L40" s="42"/>
    </row>
    <row r="41" spans="2:14" ht="20.149999999999999" customHeight="1" x14ac:dyDescent="0.45">
      <c r="B41" s="41"/>
      <c r="L41" s="42"/>
    </row>
    <row r="42" spans="2:14" ht="20.149999999999999" customHeight="1" x14ac:dyDescent="0.45">
      <c r="B42" s="41"/>
      <c r="L42" s="42"/>
    </row>
    <row r="43" spans="2:14" ht="20.149999999999999" customHeight="1" x14ac:dyDescent="0.45">
      <c r="B43" s="49"/>
      <c r="C43" s="50"/>
      <c r="D43" s="50"/>
      <c r="J43" s="50"/>
      <c r="K43" s="50"/>
      <c r="L43" s="51"/>
    </row>
    <row r="44" spans="2:14" ht="20.149999999999999" customHeight="1" x14ac:dyDescent="0.45">
      <c r="B44" s="41" t="s">
        <v>27</v>
      </c>
      <c r="J44" s="24" t="s">
        <v>28</v>
      </c>
      <c r="L44" s="42"/>
    </row>
    <row r="45" spans="2:14" ht="19" thickBot="1" x14ac:dyDescent="0.5">
      <c r="B45" s="52"/>
      <c r="C45" s="53"/>
      <c r="D45" s="53"/>
      <c r="E45" s="53"/>
      <c r="F45" s="53"/>
      <c r="G45" s="53"/>
      <c r="H45" s="53"/>
      <c r="I45" s="53"/>
      <c r="J45" s="53"/>
      <c r="K45" s="53"/>
      <c r="L45" s="54"/>
    </row>
  </sheetData>
  <mergeCells count="46">
    <mergeCell ref="J35:K35"/>
    <mergeCell ref="J37:K37"/>
    <mergeCell ref="D30:F30"/>
    <mergeCell ref="I30:J30"/>
    <mergeCell ref="D31:F31"/>
    <mergeCell ref="I31:J31"/>
    <mergeCell ref="J33:K33"/>
    <mergeCell ref="D27:F27"/>
    <mergeCell ref="I27:J27"/>
    <mergeCell ref="D28:F28"/>
    <mergeCell ref="I28:J28"/>
    <mergeCell ref="D29:F29"/>
    <mergeCell ref="I29:J29"/>
    <mergeCell ref="D24:F24"/>
    <mergeCell ref="I24:J24"/>
    <mergeCell ref="D25:F25"/>
    <mergeCell ref="I25:J25"/>
    <mergeCell ref="D26:F26"/>
    <mergeCell ref="I26:J26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3" orientation="portrait" verticalDpi="300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4D2978-3105-408E-8592-04BB06C7F35E}">
  <sheetPr codeName="Sheet41">
    <tabColor rgb="FF7030A0"/>
    <pageSetUpPr fitToPage="1"/>
  </sheetPr>
  <dimension ref="A1:R55"/>
  <sheetViews>
    <sheetView topLeftCell="D1" workbookViewId="0">
      <selection activeCell="N18" sqref="N18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7.453125" style="24" customWidth="1"/>
    <col min="7" max="7" width="8.54296875" style="24" customWidth="1"/>
    <col min="8" max="8" width="18.81640625" style="24" customWidth="1"/>
    <col min="9" max="9" width="2.54296875" style="24" customWidth="1"/>
    <col min="10" max="10" width="15.54296875" style="24" customWidth="1"/>
    <col min="11" max="11" width="10.54296875" style="24" customWidth="1"/>
    <col min="12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1958</v>
      </c>
      <c r="J10" s="29" t="s">
        <v>29</v>
      </c>
      <c r="K10" s="452">
        <v>202109433</v>
      </c>
      <c r="L10" s="453"/>
    </row>
    <row r="11" spans="2:12" ht="20.149999999999999" customHeight="1" x14ac:dyDescent="0.45">
      <c r="B11" s="454"/>
      <c r="C11" s="455"/>
      <c r="D11" s="456"/>
      <c r="E11" s="30"/>
      <c r="F11" s="457" t="str">
        <f>VLOOKUP(H10,'Delivery Location'!A$4:N$416,2,0)</f>
        <v>HOME TOWN PTE LTD                                                                    Blk 15, Woodlands Loop.                                      #01-59 Singapore 738322</v>
      </c>
      <c r="G11" s="458"/>
      <c r="H11" s="459"/>
      <c r="J11" s="31" t="s">
        <v>11</v>
      </c>
      <c r="K11" s="551">
        <v>44467</v>
      </c>
      <c r="L11" s="472"/>
    </row>
    <row r="12" spans="2:12" ht="20.149999999999999" customHeight="1" x14ac:dyDescent="0.45">
      <c r="B12" s="468"/>
      <c r="C12" s="469"/>
      <c r="D12" s="470"/>
      <c r="E12" s="30"/>
      <c r="F12" s="460"/>
      <c r="G12" s="461"/>
      <c r="H12" s="462"/>
      <c r="J12" s="31" t="s">
        <v>171</v>
      </c>
      <c r="K12" s="471" t="s">
        <v>36</v>
      </c>
      <c r="L12" s="472"/>
    </row>
    <row r="13" spans="2:12" ht="20.149999999999999" customHeight="1" x14ac:dyDescent="0.45">
      <c r="B13" s="468"/>
      <c r="C13" s="469"/>
      <c r="D13" s="470"/>
      <c r="E13" s="30"/>
      <c r="F13" s="460"/>
      <c r="G13" s="461"/>
      <c r="H13" s="462"/>
      <c r="J13" s="31" t="s">
        <v>12</v>
      </c>
      <c r="K13" s="471" t="s">
        <v>1258</v>
      </c>
      <c r="L13" s="472"/>
    </row>
    <row r="14" spans="2:12" ht="20.149999999999999" customHeight="1" x14ac:dyDescent="0.45">
      <c r="B14" s="468"/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552"/>
      <c r="C15" s="474"/>
      <c r="D15" s="475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16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16" ht="20.149999999999999" customHeight="1" x14ac:dyDescent="0.45">
      <c r="B18" s="70"/>
      <c r="C18" s="22" t="s">
        <v>1563</v>
      </c>
      <c r="D18" s="508" t="str">
        <f>VLOOKUP(C18,'Sales Master'!B$3:D$499,2,)</f>
        <v>Atap Seeds in Syrup亚嗒子</v>
      </c>
      <c r="E18" s="508"/>
      <c r="F18" s="508"/>
      <c r="G18" s="90">
        <v>1</v>
      </c>
      <c r="H18" s="68" t="str">
        <f>VLOOKUP(C18,'Sales Master'!$B$3:$F$3179,5,0)</f>
        <v>NW (2.1:0.9) 3 kgs</v>
      </c>
      <c r="I18" s="481" t="str">
        <f>VLOOKUP(C18,'Sales Master'!$B$3:$E$3179,4,0)</f>
        <v>DO!</v>
      </c>
      <c r="J18" s="481"/>
      <c r="K18" s="98">
        <f>VLOOKUP(C18,'Sales Master'!$B$3:$CC$3077,80,0)</f>
        <v>10.8</v>
      </c>
      <c r="L18" s="99">
        <f>K18*G18</f>
        <v>10.8</v>
      </c>
      <c r="M18" s="78"/>
      <c r="N18" s="225">
        <f>VLOOKUP(C18,'Sales Master'!$B$3:$DA$3038,104,0)</f>
        <v>5.628000000000001</v>
      </c>
      <c r="O18" s="225">
        <f>K18-N18</f>
        <v>5.1719999999999997</v>
      </c>
      <c r="P18" s="225">
        <f>O18*G18</f>
        <v>5.1719999999999997</v>
      </c>
    </row>
    <row r="19" spans="2:16" ht="20.149999999999999" customHeight="1" x14ac:dyDescent="0.45">
      <c r="B19" s="70"/>
      <c r="C19" s="22"/>
      <c r="D19" s="508"/>
      <c r="E19" s="508"/>
      <c r="F19" s="508"/>
      <c r="G19" s="90"/>
      <c r="H19" s="68"/>
      <c r="I19" s="481"/>
      <c r="J19" s="481"/>
      <c r="K19" s="98"/>
      <c r="L19" s="99"/>
      <c r="M19" s="78"/>
    </row>
    <row r="20" spans="2:16" ht="20.149999999999999" customHeight="1" x14ac:dyDescent="0.45">
      <c r="B20" s="70"/>
      <c r="C20" s="22"/>
      <c r="D20" s="508"/>
      <c r="E20" s="508"/>
      <c r="F20" s="508"/>
      <c r="G20" s="90"/>
      <c r="H20" s="68"/>
      <c r="I20" s="481"/>
      <c r="J20" s="481"/>
      <c r="K20" s="98"/>
      <c r="L20" s="99"/>
      <c r="M20" s="78"/>
    </row>
    <row r="21" spans="2:16" ht="20.149999999999999" customHeight="1" x14ac:dyDescent="0.45">
      <c r="B21" s="70"/>
      <c r="C21" s="22"/>
      <c r="D21" s="508"/>
      <c r="E21" s="508"/>
      <c r="F21" s="508"/>
      <c r="G21" s="90"/>
      <c r="H21" s="68"/>
      <c r="I21" s="481"/>
      <c r="J21" s="481"/>
      <c r="K21" s="98"/>
      <c r="L21" s="99"/>
      <c r="M21" s="78"/>
    </row>
    <row r="22" spans="2:16" ht="20.149999999999999" customHeight="1" x14ac:dyDescent="0.45">
      <c r="B22" s="70"/>
      <c r="C22" s="22"/>
      <c r="D22" s="508"/>
      <c r="E22" s="508"/>
      <c r="F22" s="508"/>
      <c r="G22" s="90"/>
      <c r="H22" s="68"/>
      <c r="I22" s="481"/>
      <c r="J22" s="481"/>
      <c r="K22" s="98"/>
      <c r="L22" s="99"/>
      <c r="M22" s="78"/>
    </row>
    <row r="23" spans="2:16" ht="20.149999999999999" customHeight="1" x14ac:dyDescent="0.45">
      <c r="B23" s="70"/>
      <c r="C23" s="22"/>
      <c r="D23" s="508"/>
      <c r="E23" s="508"/>
      <c r="F23" s="508"/>
      <c r="G23" s="90"/>
      <c r="H23" s="68"/>
      <c r="I23" s="481"/>
      <c r="J23" s="481"/>
      <c r="K23" s="98"/>
      <c r="L23" s="99"/>
      <c r="M23" s="78"/>
    </row>
    <row r="24" spans="2:16" ht="20.149999999999999" customHeight="1" x14ac:dyDescent="0.45">
      <c r="B24" s="70"/>
      <c r="C24" s="22"/>
      <c r="D24" s="508"/>
      <c r="E24" s="508"/>
      <c r="F24" s="508"/>
      <c r="G24" s="90"/>
      <c r="H24" s="68"/>
      <c r="I24" s="481"/>
      <c r="J24" s="481"/>
      <c r="K24" s="98"/>
      <c r="L24" s="99"/>
      <c r="M24" s="78"/>
    </row>
    <row r="25" spans="2:16" ht="20.149999999999999" customHeight="1" x14ac:dyDescent="0.45">
      <c r="B25" s="70"/>
      <c r="C25" s="22"/>
      <c r="D25" s="508"/>
      <c r="E25" s="508"/>
      <c r="F25" s="508"/>
      <c r="G25" s="90"/>
      <c r="H25" s="68"/>
      <c r="I25" s="481"/>
      <c r="J25" s="481"/>
      <c r="K25" s="98"/>
      <c r="L25" s="99"/>
      <c r="M25" s="78"/>
    </row>
    <row r="26" spans="2:16" ht="20.149999999999999" customHeight="1" x14ac:dyDescent="0.45">
      <c r="B26" s="70"/>
      <c r="C26" s="22"/>
      <c r="D26" s="508"/>
      <c r="E26" s="508"/>
      <c r="F26" s="508"/>
      <c r="G26" s="90"/>
      <c r="H26" s="68"/>
      <c r="I26" s="481"/>
      <c r="J26" s="481"/>
      <c r="K26" s="98"/>
      <c r="L26" s="99"/>
      <c r="M26" s="78"/>
    </row>
    <row r="27" spans="2:16" ht="20.149999999999999" customHeight="1" x14ac:dyDescent="0.45">
      <c r="B27" s="70"/>
      <c r="C27" s="22"/>
      <c r="D27" s="508"/>
      <c r="E27" s="508"/>
      <c r="F27" s="508"/>
      <c r="G27" s="90"/>
      <c r="H27" s="68"/>
      <c r="I27" s="481"/>
      <c r="J27" s="481"/>
      <c r="K27" s="98"/>
      <c r="L27" s="99"/>
      <c r="M27" s="78"/>
    </row>
    <row r="28" spans="2:16" ht="20.149999999999999" customHeight="1" x14ac:dyDescent="0.45">
      <c r="B28" s="70"/>
      <c r="C28" s="22"/>
      <c r="D28" s="508"/>
      <c r="E28" s="508"/>
      <c r="F28" s="508"/>
      <c r="G28" s="90"/>
      <c r="H28" s="68"/>
      <c r="I28" s="481"/>
      <c r="J28" s="481"/>
      <c r="K28" s="98"/>
      <c r="L28" s="99"/>
      <c r="M28" s="78"/>
    </row>
    <row r="29" spans="2:16" ht="20.149999999999999" customHeight="1" x14ac:dyDescent="0.45">
      <c r="B29" s="70"/>
      <c r="C29" s="22"/>
      <c r="D29" s="508"/>
      <c r="E29" s="508"/>
      <c r="F29" s="508"/>
      <c r="G29" s="90"/>
      <c r="H29" s="68"/>
      <c r="I29" s="481"/>
      <c r="J29" s="481"/>
      <c r="K29" s="98"/>
      <c r="L29" s="99"/>
      <c r="M29" s="78"/>
    </row>
    <row r="30" spans="2:16" ht="20.149999999999999" customHeight="1" x14ac:dyDescent="0.45">
      <c r="B30" s="70"/>
      <c r="C30" s="22"/>
      <c r="D30" s="508"/>
      <c r="E30" s="508"/>
      <c r="F30" s="508"/>
      <c r="G30" s="310"/>
      <c r="H30" s="68"/>
      <c r="I30" s="481"/>
      <c r="J30" s="481"/>
      <c r="K30" s="98"/>
      <c r="L30" s="99"/>
      <c r="M30" s="78"/>
    </row>
    <row r="31" spans="2:16" ht="20.149999999999999" customHeight="1" x14ac:dyDescent="0.45">
      <c r="B31" s="70"/>
      <c r="C31" s="22"/>
      <c r="D31" s="508"/>
      <c r="E31" s="508"/>
      <c r="F31" s="508"/>
      <c r="G31" s="310"/>
      <c r="H31" s="68"/>
      <c r="I31" s="481"/>
      <c r="J31" s="481"/>
      <c r="K31" s="98"/>
      <c r="L31" s="99"/>
      <c r="M31" s="78"/>
    </row>
    <row r="32" spans="2:16" ht="20.149999999999999" customHeight="1" thickBot="1" x14ac:dyDescent="0.5">
      <c r="B32" s="52"/>
      <c r="C32" s="53"/>
      <c r="D32" s="53"/>
      <c r="E32" s="53"/>
      <c r="F32" s="53"/>
      <c r="G32" s="53"/>
      <c r="H32" s="53"/>
      <c r="I32" s="53"/>
      <c r="J32" s="53"/>
      <c r="K32" s="53"/>
      <c r="L32" s="54"/>
    </row>
    <row r="33" spans="2:14" ht="20.149999999999999" customHeight="1" x14ac:dyDescent="0.45">
      <c r="B33" s="11" t="s">
        <v>18</v>
      </c>
      <c r="C33" s="7"/>
      <c r="D33" s="7"/>
      <c r="E33" s="7"/>
      <c r="F33" s="7"/>
      <c r="G33" s="7"/>
      <c r="H33" s="7"/>
      <c r="I33" s="7"/>
      <c r="J33" s="510" t="s">
        <v>15</v>
      </c>
      <c r="K33" s="511"/>
      <c r="L33" s="43">
        <f>SUM(L17:L32)</f>
        <v>10.8</v>
      </c>
      <c r="M33" s="76">
        <f>SUM(P18:P24)</f>
        <v>5.1719999999999997</v>
      </c>
      <c r="N33" s="201">
        <f>M33/L33</f>
        <v>0.47888888888888881</v>
      </c>
    </row>
    <row r="34" spans="2:14" ht="20.149999999999999" customHeight="1" x14ac:dyDescent="0.45">
      <c r="B34" s="11" t="s">
        <v>19</v>
      </c>
      <c r="C34" s="7"/>
      <c r="D34" s="7"/>
      <c r="E34" s="7"/>
      <c r="F34" s="7"/>
      <c r="G34" s="7"/>
      <c r="H34" s="7"/>
      <c r="I34" s="7"/>
      <c r="J34" s="44" t="s">
        <v>22</v>
      </c>
      <c r="K34" s="45"/>
      <c r="L34" s="46">
        <f>L33*K34</f>
        <v>0</v>
      </c>
    </row>
    <row r="35" spans="2:14" ht="20.149999999999999" customHeight="1" x14ac:dyDescent="0.45">
      <c r="B35" s="11" t="s">
        <v>20</v>
      </c>
      <c r="C35" s="7"/>
      <c r="D35" s="7"/>
      <c r="E35" s="7"/>
      <c r="F35" s="7"/>
      <c r="G35" s="7"/>
      <c r="H35" s="7"/>
      <c r="I35" s="7"/>
      <c r="J35" s="486" t="s">
        <v>21</v>
      </c>
      <c r="K35" s="487"/>
      <c r="L35" s="46">
        <f>L33-L34</f>
        <v>10.8</v>
      </c>
    </row>
    <row r="36" spans="2:14" ht="20.149999999999999" customHeight="1" x14ac:dyDescent="0.45">
      <c r="B36" s="11" t="s">
        <v>24</v>
      </c>
      <c r="C36" s="7"/>
      <c r="D36" s="7"/>
      <c r="E36" s="7"/>
      <c r="F36" s="7"/>
      <c r="G36" s="7"/>
      <c r="H36" s="7"/>
      <c r="I36" s="7"/>
      <c r="J36" s="150" t="s">
        <v>17</v>
      </c>
      <c r="K36" s="151">
        <v>7.0000000000000007E-2</v>
      </c>
      <c r="L36" s="47">
        <f>L35*K36</f>
        <v>0.75600000000000012</v>
      </c>
    </row>
    <row r="37" spans="2:14" ht="20.149999999999999" customHeight="1" thickBot="1" x14ac:dyDescent="0.5">
      <c r="B37" s="11" t="s">
        <v>25</v>
      </c>
      <c r="C37" s="7"/>
      <c r="D37" s="7"/>
      <c r="E37" s="7"/>
      <c r="F37" s="7"/>
      <c r="G37" s="7"/>
      <c r="H37" s="7"/>
      <c r="I37" s="7"/>
      <c r="J37" s="488" t="s">
        <v>23</v>
      </c>
      <c r="K37" s="489"/>
      <c r="L37" s="48">
        <f>L35+L36</f>
        <v>11.556000000000001</v>
      </c>
    </row>
    <row r="38" spans="2:14" ht="20.149999999999999" customHeight="1" x14ac:dyDescent="0.45">
      <c r="B38" s="11" t="s">
        <v>26</v>
      </c>
      <c r="C38" s="7"/>
      <c r="D38" s="7"/>
      <c r="E38" s="7"/>
      <c r="F38" s="7"/>
      <c r="G38" s="7"/>
      <c r="H38" s="7"/>
      <c r="I38" s="7"/>
      <c r="L38" s="42"/>
    </row>
    <row r="39" spans="2:14" ht="20.149999999999999" customHeight="1" x14ac:dyDescent="0.45">
      <c r="B39" s="224" t="s">
        <v>1379</v>
      </c>
      <c r="L39" s="42"/>
    </row>
    <row r="40" spans="2:14" ht="20.149999999999999" customHeight="1" x14ac:dyDescent="0.45">
      <c r="B40" s="41"/>
      <c r="L40" s="42"/>
    </row>
    <row r="41" spans="2:14" ht="20.149999999999999" customHeight="1" x14ac:dyDescent="0.45">
      <c r="B41" s="41"/>
      <c r="L41" s="42"/>
    </row>
    <row r="42" spans="2:14" ht="20.149999999999999" customHeight="1" x14ac:dyDescent="0.45">
      <c r="B42" s="41"/>
      <c r="L42" s="42"/>
    </row>
    <row r="43" spans="2:14" ht="20.149999999999999" customHeight="1" x14ac:dyDescent="0.45">
      <c r="B43" s="49"/>
      <c r="C43" s="50"/>
      <c r="D43" s="50"/>
      <c r="J43" s="50"/>
      <c r="K43" s="50"/>
      <c r="L43" s="51"/>
    </row>
    <row r="44" spans="2:14" ht="20.149999999999999" customHeight="1" x14ac:dyDescent="0.45">
      <c r="B44" s="41" t="s">
        <v>27</v>
      </c>
      <c r="J44" s="24" t="s">
        <v>28</v>
      </c>
      <c r="L44" s="42"/>
    </row>
    <row r="45" spans="2:14" ht="19" thickBot="1" x14ac:dyDescent="0.5">
      <c r="B45" s="52"/>
      <c r="C45" s="53"/>
      <c r="D45" s="53"/>
      <c r="E45" s="53"/>
      <c r="F45" s="53"/>
      <c r="G45" s="53"/>
      <c r="H45" s="53"/>
      <c r="I45" s="53"/>
      <c r="J45" s="53"/>
      <c r="K45" s="53"/>
      <c r="L45" s="54"/>
    </row>
    <row r="50" spans="1:18" x14ac:dyDescent="0.45">
      <c r="L50" s="375">
        <f>SUM(L52:L10004)</f>
        <v>1125</v>
      </c>
      <c r="Q50" s="375">
        <f>SUM(Q52:Q10004)</f>
        <v>675</v>
      </c>
      <c r="R50" s="376">
        <f>L50-Q50</f>
        <v>450</v>
      </c>
    </row>
    <row r="51" spans="1:18" x14ac:dyDescent="0.45">
      <c r="A51" s="177" t="s">
        <v>1907</v>
      </c>
      <c r="B51" s="177" t="s">
        <v>2137</v>
      </c>
      <c r="C51" s="177" t="s">
        <v>806</v>
      </c>
      <c r="D51" s="177"/>
      <c r="E51" s="177"/>
      <c r="F51" s="177"/>
      <c r="G51" s="177"/>
      <c r="H51" s="177"/>
      <c r="I51" s="177"/>
      <c r="J51" s="177"/>
      <c r="K51" s="177"/>
      <c r="L51" s="374"/>
      <c r="M51" s="177"/>
      <c r="N51" s="177" t="s">
        <v>806</v>
      </c>
      <c r="O51" s="177" t="s">
        <v>1259</v>
      </c>
      <c r="P51" s="177" t="s">
        <v>6</v>
      </c>
      <c r="Q51" s="177" t="s">
        <v>2138</v>
      </c>
      <c r="R51" s="177"/>
    </row>
    <row r="52" spans="1:18" x14ac:dyDescent="0.45">
      <c r="A52" s="373">
        <f>K11</f>
        <v>44467</v>
      </c>
      <c r="B52" s="24">
        <f>K10</f>
        <v>202109433</v>
      </c>
      <c r="C52" s="22" t="s">
        <v>1789</v>
      </c>
      <c r="D52" s="508" t="str">
        <f>VLOOKUP(C52,'Sales Master'!B$3:D$499,2,)</f>
        <v>Sweet Potato 番薯</v>
      </c>
      <c r="E52" s="508"/>
      <c r="F52" s="508"/>
      <c r="G52" s="90">
        <v>50</v>
      </c>
      <c r="H52" s="68" t="str">
        <f>VLOOKUP(C52,'Sales Master'!$B$3:$F$3247,5,0)</f>
        <v>1 KG</v>
      </c>
      <c r="I52" s="481" t="str">
        <f>VLOOKUP(C52,'Sales Master'!$B$3:$E$3247,4,0)</f>
        <v>Malaysia</v>
      </c>
      <c r="J52" s="481"/>
      <c r="K52" s="35">
        <f>VLOOKUP(C52,'Sales Master'!$B$3:$CD$583,81,0)</f>
        <v>2.5</v>
      </c>
      <c r="L52" s="36">
        <f>K52*G52</f>
        <v>125</v>
      </c>
      <c r="N52" s="24" t="s">
        <v>1789</v>
      </c>
      <c r="O52" s="24" cm="1">
        <f t="array" ref="O52">SUMIF(C52:C10004,N52:N52,G52:G10004)</f>
        <v>450</v>
      </c>
      <c r="P52" s="24">
        <v>1.5</v>
      </c>
      <c r="Q52" s="24">
        <f>P52*O52</f>
        <v>675</v>
      </c>
      <c r="R52" s="76"/>
    </row>
    <row r="53" spans="1:18" x14ac:dyDescent="0.45">
      <c r="C53" s="24" t="s">
        <v>1792</v>
      </c>
      <c r="G53" s="24">
        <v>100</v>
      </c>
      <c r="K53" s="24">
        <v>2</v>
      </c>
      <c r="L53" s="36">
        <f>K53*G53</f>
        <v>200</v>
      </c>
    </row>
    <row r="54" spans="1:18" x14ac:dyDescent="0.45">
      <c r="C54" s="24" t="s">
        <v>1789</v>
      </c>
      <c r="G54" s="24">
        <v>300</v>
      </c>
      <c r="K54" s="24">
        <v>2</v>
      </c>
      <c r="L54" s="36">
        <f>K54*G54</f>
        <v>600</v>
      </c>
    </row>
    <row r="55" spans="1:18" x14ac:dyDescent="0.45">
      <c r="C55" s="24" t="s">
        <v>1789</v>
      </c>
      <c r="G55" s="24">
        <v>100</v>
      </c>
      <c r="K55" s="24">
        <v>2</v>
      </c>
      <c r="L55" s="36">
        <f>K55*G55</f>
        <v>200</v>
      </c>
    </row>
  </sheetData>
  <mergeCells count="48">
    <mergeCell ref="D29:F29"/>
    <mergeCell ref="I29:J29"/>
    <mergeCell ref="J35:K35"/>
    <mergeCell ref="J37:K37"/>
    <mergeCell ref="D30:F30"/>
    <mergeCell ref="I30:J30"/>
    <mergeCell ref="D31:F31"/>
    <mergeCell ref="I31:J31"/>
    <mergeCell ref="J33:K33"/>
    <mergeCell ref="D26:F26"/>
    <mergeCell ref="I26:J26"/>
    <mergeCell ref="D27:F27"/>
    <mergeCell ref="I27:J27"/>
    <mergeCell ref="D28:F28"/>
    <mergeCell ref="I28:J28"/>
    <mergeCell ref="D23:F23"/>
    <mergeCell ref="I23:J23"/>
    <mergeCell ref="D24:F24"/>
    <mergeCell ref="I24:J24"/>
    <mergeCell ref="D25:F25"/>
    <mergeCell ref="I25:J25"/>
    <mergeCell ref="D17:F17"/>
    <mergeCell ref="D21:F21"/>
    <mergeCell ref="I21:J21"/>
    <mergeCell ref="D22:F22"/>
    <mergeCell ref="I22:J22"/>
    <mergeCell ref="D19:F19"/>
    <mergeCell ref="I19:J19"/>
    <mergeCell ref="D20:F20"/>
    <mergeCell ref="I20:J20"/>
    <mergeCell ref="D18:F18"/>
    <mergeCell ref="I18:J18"/>
    <mergeCell ref="D52:F52"/>
    <mergeCell ref="I52:J52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</mergeCells>
  <conditionalFormatting sqref="C52">
    <cfRule type="duplicateValues" dxfId="47" priority="1"/>
  </conditionalFormatting>
  <pageMargins left="0.70866141732283472" right="0.31496062992125984" top="0.59055118110236227" bottom="0" header="0.31496062992125984" footer="0.31496062992125984"/>
  <pageSetup paperSize="9" scale="73" orientation="portrait" verticalDpi="300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B2EE0F-5B7C-4E70-90A9-1DB014DB546A}">
  <sheetPr codeName="Sheet42">
    <tabColor rgb="FF996600"/>
    <pageSetUpPr fitToPage="1"/>
  </sheetPr>
  <dimension ref="B1:V41"/>
  <sheetViews>
    <sheetView topLeftCell="A24" workbookViewId="0">
      <selection activeCell="K35" sqref="K35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9" style="24" customWidth="1"/>
    <col min="7" max="7" width="8.54296875" style="24" customWidth="1"/>
    <col min="8" max="8" width="15.54296875" style="24" customWidth="1"/>
    <col min="9" max="9" width="2" style="24" customWidth="1"/>
    <col min="10" max="10" width="15.54296875" style="24" customWidth="1"/>
    <col min="11" max="11" width="10.54296875" style="24" customWidth="1"/>
    <col min="12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2005</v>
      </c>
      <c r="J10" s="29" t="s">
        <v>29</v>
      </c>
      <c r="K10" s="452">
        <v>202209437</v>
      </c>
      <c r="L10" s="453"/>
    </row>
    <row r="11" spans="2:12" ht="20.149999999999999" customHeight="1" x14ac:dyDescent="0.45">
      <c r="B11" s="454" t="s">
        <v>2229</v>
      </c>
      <c r="C11" s="455"/>
      <c r="D11" s="456"/>
      <c r="E11" s="30"/>
      <c r="F11" s="457" t="str">
        <f>VLOOKUP(H10,'Delivery Location'!A$4:N$416,2,0)</f>
        <v xml:space="preserve">GOODWOOF PTE. LTD.              202214489W                                                31 Woodlands Close #06-16        Singapore 737855          </v>
      </c>
      <c r="G11" s="458"/>
      <c r="H11" s="459"/>
      <c r="J11" s="31" t="s">
        <v>11</v>
      </c>
      <c r="K11" s="466">
        <v>44832</v>
      </c>
      <c r="L11" s="467"/>
    </row>
    <row r="12" spans="2:12" ht="20.149999999999999" customHeight="1" x14ac:dyDescent="0.45">
      <c r="B12" s="468" t="s">
        <v>2006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533</v>
      </c>
      <c r="L12" s="472"/>
    </row>
    <row r="13" spans="2:12" ht="20.149999999999999" customHeight="1" x14ac:dyDescent="0.45">
      <c r="B13" s="468" t="s">
        <v>2007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1857</v>
      </c>
      <c r="L13" s="472"/>
    </row>
    <row r="14" spans="2:12" ht="20.149999999999999" customHeight="1" x14ac:dyDescent="0.45">
      <c r="B14" s="468"/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55"/>
      <c r="C15" s="56"/>
      <c r="D15" s="57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22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22" ht="20.149999999999999" customHeight="1" x14ac:dyDescent="0.45">
      <c r="B18" s="34"/>
      <c r="C18" s="22" t="s">
        <v>1789</v>
      </c>
      <c r="D18" s="508" t="str">
        <f>VLOOKUP(C18,'Sales Master'!B$3:D$499,2,)</f>
        <v>Sweet Potato 番薯</v>
      </c>
      <c r="E18" s="508"/>
      <c r="F18" s="508"/>
      <c r="G18" s="90">
        <v>50</v>
      </c>
      <c r="H18" s="389" t="str">
        <f>VLOOKUP(C18,'Sales Master'!$B$3:$F$3247,5,0)</f>
        <v>1 KG</v>
      </c>
      <c r="I18" s="482" t="str">
        <f>VLOOKUP(C18,'Sales Master'!$B$3:$E$3247,4,0)</f>
        <v>Malaysia</v>
      </c>
      <c r="J18" s="482"/>
      <c r="K18" s="35">
        <f>VLOOKUP(C18,'Sales Master'!$B$3:$CD$583,81,0)</f>
        <v>2.5</v>
      </c>
      <c r="L18" s="36">
        <f>K18*G18</f>
        <v>125</v>
      </c>
      <c r="N18" s="225">
        <f>VLOOKUP(C18,'Sales Master'!$B$3:$DA$3038,104,0)</f>
        <v>1.8666666666666665</v>
      </c>
      <c r="O18" s="225">
        <f>K18-N18</f>
        <v>0.63333333333333353</v>
      </c>
      <c r="P18" s="225">
        <f>O18*G18</f>
        <v>31.666666666666675</v>
      </c>
      <c r="R18" s="125">
        <v>1</v>
      </c>
      <c r="S18" s="125" t="s">
        <v>260</v>
      </c>
      <c r="T18" s="125" t="s">
        <v>709</v>
      </c>
      <c r="U18" s="125"/>
      <c r="V18" s="125">
        <v>32</v>
      </c>
    </row>
    <row r="19" spans="2:22" ht="20.149999999999999" customHeight="1" x14ac:dyDescent="0.45">
      <c r="B19" s="34"/>
      <c r="C19" s="22"/>
      <c r="D19" s="508"/>
      <c r="E19" s="508"/>
      <c r="F19" s="508"/>
      <c r="G19" s="90"/>
      <c r="H19" s="68"/>
      <c r="I19" s="481"/>
      <c r="J19" s="481"/>
      <c r="K19" s="35"/>
      <c r="L19" s="36"/>
      <c r="N19" s="125"/>
      <c r="O19" s="125"/>
      <c r="P19" s="125"/>
      <c r="Q19" s="125"/>
      <c r="R19" s="125"/>
      <c r="S19" s="125"/>
      <c r="T19" s="125"/>
      <c r="U19" s="125"/>
      <c r="V19" s="125"/>
    </row>
    <row r="20" spans="2:22" ht="20.149999999999999" customHeight="1" x14ac:dyDescent="0.45">
      <c r="B20" s="34"/>
      <c r="C20" s="22"/>
      <c r="G20" s="90"/>
      <c r="H20" s="68"/>
      <c r="I20" s="68"/>
      <c r="J20" s="68"/>
      <c r="K20" s="35"/>
      <c r="L20" s="36"/>
      <c r="N20" s="125"/>
      <c r="O20" s="125"/>
      <c r="P20" s="125"/>
      <c r="Q20" s="125"/>
      <c r="R20" s="125"/>
      <c r="S20" s="125"/>
      <c r="T20" s="125"/>
      <c r="U20" s="125"/>
      <c r="V20" s="125"/>
    </row>
    <row r="21" spans="2:22" ht="20.149999999999999" customHeight="1" x14ac:dyDescent="0.45">
      <c r="B21" s="34"/>
      <c r="C21" s="22"/>
      <c r="G21" s="90"/>
      <c r="H21" s="68"/>
      <c r="I21" s="68"/>
      <c r="J21" s="68"/>
      <c r="K21" s="35"/>
      <c r="L21" s="36"/>
      <c r="N21" s="125"/>
      <c r="O21" s="125"/>
      <c r="P21" s="125"/>
      <c r="Q21" s="125"/>
      <c r="R21" s="125"/>
      <c r="S21" s="125"/>
      <c r="T21" s="125"/>
      <c r="U21" s="125"/>
      <c r="V21" s="125"/>
    </row>
    <row r="22" spans="2:22" ht="20.149999999999999" customHeight="1" x14ac:dyDescent="0.45">
      <c r="B22" s="34"/>
      <c r="C22" s="22"/>
      <c r="G22" s="90"/>
      <c r="H22" s="68"/>
      <c r="I22" s="68"/>
      <c r="J22" s="68"/>
      <c r="K22" s="35"/>
      <c r="L22" s="36"/>
      <c r="N22" s="125"/>
      <c r="O22" s="125"/>
      <c r="P22" s="125"/>
      <c r="Q22" s="125"/>
      <c r="R22" s="125"/>
      <c r="S22" s="125"/>
      <c r="T22" s="125"/>
      <c r="U22" s="125"/>
      <c r="V22" s="125"/>
    </row>
    <row r="23" spans="2:22" ht="20.149999999999999" customHeight="1" x14ac:dyDescent="0.45">
      <c r="B23" s="34"/>
      <c r="C23" s="22"/>
      <c r="D23" s="508"/>
      <c r="E23" s="508"/>
      <c r="F23" s="508"/>
      <c r="G23" s="90"/>
      <c r="H23" s="68"/>
      <c r="I23" s="481"/>
      <c r="J23" s="481"/>
      <c r="K23" s="35"/>
      <c r="L23" s="36"/>
    </row>
    <row r="24" spans="2:22" ht="20.149999999999999" customHeight="1" x14ac:dyDescent="0.45">
      <c r="B24" s="34"/>
      <c r="C24" s="22"/>
      <c r="D24" s="508"/>
      <c r="E24" s="508"/>
      <c r="F24" s="508"/>
      <c r="G24" s="90"/>
      <c r="H24" s="68"/>
      <c r="I24" s="481"/>
      <c r="J24" s="481"/>
      <c r="K24" s="35"/>
      <c r="L24" s="36"/>
    </row>
    <row r="25" spans="2:22" ht="20.149999999999999" customHeight="1" x14ac:dyDescent="0.45">
      <c r="B25" s="34"/>
      <c r="C25" s="23"/>
      <c r="D25" s="23"/>
      <c r="E25" s="23"/>
      <c r="F25" s="23"/>
      <c r="G25" s="23"/>
      <c r="H25" s="68"/>
      <c r="I25" s="68"/>
      <c r="J25" s="68"/>
      <c r="K25" s="98"/>
      <c r="L25" s="36"/>
    </row>
    <row r="26" spans="2:22" ht="20.149999999999999" customHeight="1" x14ac:dyDescent="0.45">
      <c r="B26" s="34"/>
      <c r="C26" s="22"/>
      <c r="G26" s="90"/>
      <c r="H26" s="68"/>
      <c r="I26" s="102"/>
      <c r="J26" s="102"/>
      <c r="K26" s="98"/>
      <c r="L26" s="36"/>
    </row>
    <row r="27" spans="2:22" ht="20.149999999999999" customHeight="1" x14ac:dyDescent="0.45">
      <c r="B27" s="155"/>
      <c r="C27" s="156"/>
      <c r="D27" s="556"/>
      <c r="E27" s="556"/>
      <c r="F27" s="556"/>
      <c r="G27" s="156"/>
      <c r="H27" s="156"/>
      <c r="I27" s="189"/>
      <c r="J27" s="189"/>
      <c r="K27" s="163"/>
      <c r="L27" s="190"/>
    </row>
    <row r="28" spans="2:22" ht="20.149999999999999" customHeight="1" thickBot="1" x14ac:dyDescent="0.5">
      <c r="B28" s="41"/>
      <c r="L28" s="42"/>
    </row>
    <row r="29" spans="2:22" ht="20.149999999999999" customHeight="1" x14ac:dyDescent="0.45">
      <c r="B29" s="11" t="s">
        <v>18</v>
      </c>
      <c r="C29" s="7"/>
      <c r="D29" s="7"/>
      <c r="E29" s="7"/>
      <c r="F29" s="7"/>
      <c r="G29" s="7"/>
      <c r="H29" s="7"/>
      <c r="I29" s="7"/>
      <c r="J29" s="510" t="s">
        <v>15</v>
      </c>
      <c r="K29" s="511"/>
      <c r="L29" s="43">
        <f>SUM(L18:L28)</f>
        <v>125</v>
      </c>
      <c r="M29" s="76">
        <f>SUM(P18:P27)</f>
        <v>31.666666666666675</v>
      </c>
      <c r="N29" s="201">
        <f>M29/L29</f>
        <v>0.25333333333333341</v>
      </c>
    </row>
    <row r="30" spans="2:22" ht="20.149999999999999" customHeight="1" x14ac:dyDescent="0.45">
      <c r="B30" s="11" t="s">
        <v>19</v>
      </c>
      <c r="C30" s="7"/>
      <c r="D30" s="7"/>
      <c r="E30" s="7"/>
      <c r="F30" s="7"/>
      <c r="G30" s="7"/>
      <c r="H30" s="7"/>
      <c r="I30" s="7"/>
      <c r="J30" s="44" t="s">
        <v>22</v>
      </c>
      <c r="K30" s="45"/>
      <c r="L30" s="46">
        <f>L29*K30</f>
        <v>0</v>
      </c>
    </row>
    <row r="31" spans="2:22" ht="20.149999999999999" customHeight="1" x14ac:dyDescent="0.45">
      <c r="B31" s="11" t="s">
        <v>20</v>
      </c>
      <c r="C31" s="7"/>
      <c r="D31" s="7"/>
      <c r="E31" s="7"/>
      <c r="F31" s="7"/>
      <c r="G31" s="7"/>
      <c r="H31" s="7"/>
      <c r="I31" s="7"/>
      <c r="J31" s="486" t="s">
        <v>21</v>
      </c>
      <c r="K31" s="487"/>
      <c r="L31" s="46">
        <f>L29-L30</f>
        <v>125</v>
      </c>
    </row>
    <row r="32" spans="2:22" ht="20.149999999999999" customHeight="1" x14ac:dyDescent="0.45">
      <c r="B32" s="11" t="s">
        <v>24</v>
      </c>
      <c r="C32" s="7"/>
      <c r="D32" s="7"/>
      <c r="E32" s="7"/>
      <c r="F32" s="7"/>
      <c r="G32" s="7"/>
      <c r="H32" s="7"/>
      <c r="I32" s="7"/>
      <c r="J32" s="150" t="s">
        <v>17</v>
      </c>
      <c r="K32" s="151">
        <v>7.0000000000000007E-2</v>
      </c>
      <c r="L32" s="47">
        <f>L31*K32</f>
        <v>8.75</v>
      </c>
    </row>
    <row r="33" spans="2:12" ht="20.149999999999999" customHeight="1" thickBot="1" x14ac:dyDescent="0.5">
      <c r="B33" s="11" t="s">
        <v>1400</v>
      </c>
      <c r="C33" s="7"/>
      <c r="D33" s="7"/>
      <c r="E33" s="7"/>
      <c r="F33" s="7"/>
      <c r="G33" s="7"/>
      <c r="H33" s="7"/>
      <c r="I33" s="7"/>
      <c r="J33" s="488" t="s">
        <v>23</v>
      </c>
      <c r="K33" s="489"/>
      <c r="L33" s="48">
        <f>L31+L32</f>
        <v>133.75</v>
      </c>
    </row>
    <row r="34" spans="2:12" ht="20.149999999999999" customHeight="1" x14ac:dyDescent="0.45">
      <c r="B34" s="11" t="s">
        <v>26</v>
      </c>
      <c r="C34" s="7"/>
      <c r="D34" s="7"/>
      <c r="E34" s="7"/>
      <c r="F34" s="7"/>
      <c r="G34" s="7"/>
      <c r="H34" s="7"/>
      <c r="I34" s="7"/>
      <c r="L34" s="42"/>
    </row>
    <row r="35" spans="2:12" ht="20.149999999999999" customHeight="1" x14ac:dyDescent="0.45">
      <c r="B35" s="224" t="s">
        <v>1379</v>
      </c>
      <c r="L35" s="42"/>
    </row>
    <row r="36" spans="2:12" ht="20.149999999999999" customHeight="1" x14ac:dyDescent="0.45">
      <c r="B36" s="41"/>
      <c r="L36" s="42"/>
    </row>
    <row r="37" spans="2:12" ht="20.149999999999999" customHeight="1" x14ac:dyDescent="0.45">
      <c r="B37" s="41"/>
      <c r="L37" s="42"/>
    </row>
    <row r="38" spans="2:12" ht="20.149999999999999" customHeight="1" x14ac:dyDescent="0.45">
      <c r="B38" s="41"/>
      <c r="L38" s="42"/>
    </row>
    <row r="39" spans="2:12" ht="20.149999999999999" customHeight="1" x14ac:dyDescent="0.45">
      <c r="B39" s="49"/>
      <c r="C39" s="50"/>
      <c r="D39" s="50"/>
      <c r="J39" s="50"/>
      <c r="K39" s="50"/>
      <c r="L39" s="51"/>
    </row>
    <row r="40" spans="2:12" ht="20.149999999999999" customHeight="1" x14ac:dyDescent="0.45">
      <c r="B40" s="41" t="s">
        <v>27</v>
      </c>
      <c r="J40" s="24" t="s">
        <v>28</v>
      </c>
      <c r="L40" s="42"/>
    </row>
    <row r="41" spans="2:12" ht="19" thickBot="1" x14ac:dyDescent="0.5">
      <c r="B41" s="52"/>
      <c r="C41" s="53"/>
      <c r="D41" s="53"/>
      <c r="E41" s="53"/>
      <c r="F41" s="53"/>
      <c r="G41" s="53"/>
      <c r="H41" s="53"/>
      <c r="I41" s="53"/>
      <c r="J41" s="53"/>
      <c r="K41" s="53"/>
      <c r="L41" s="54"/>
    </row>
  </sheetData>
  <mergeCells count="26">
    <mergeCell ref="J31:K31"/>
    <mergeCell ref="J33:K33"/>
    <mergeCell ref="D27:F27"/>
    <mergeCell ref="D24:F24"/>
    <mergeCell ref="I24:J24"/>
    <mergeCell ref="J29:K29"/>
    <mergeCell ref="D18:F18"/>
    <mergeCell ref="I18:J18"/>
    <mergeCell ref="D19:F19"/>
    <mergeCell ref="I19:J19"/>
    <mergeCell ref="D23:F23"/>
    <mergeCell ref="I23:J23"/>
    <mergeCell ref="D17:F17"/>
    <mergeCell ref="I17:J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</mergeCells>
  <conditionalFormatting sqref="C18">
    <cfRule type="duplicateValues" dxfId="46" priority="5"/>
  </conditionalFormatting>
  <conditionalFormatting sqref="C23">
    <cfRule type="duplicateValues" dxfId="45" priority="6"/>
  </conditionalFormatting>
  <conditionalFormatting sqref="C24">
    <cfRule type="duplicateValues" dxfId="44" priority="7"/>
  </conditionalFormatting>
  <conditionalFormatting sqref="C25">
    <cfRule type="duplicateValues" dxfId="43" priority="4"/>
  </conditionalFormatting>
  <conditionalFormatting sqref="C19:C22">
    <cfRule type="duplicateValues" dxfId="42" priority="8"/>
  </conditionalFormatting>
  <conditionalFormatting sqref="C26">
    <cfRule type="duplicateValues" dxfId="41" priority="3"/>
  </conditionalFormatting>
  <pageMargins left="0.70866141732283472" right="0.31496062992125984" top="0.59055118110236227" bottom="0" header="0.31496062992125984" footer="0.31496062992125984"/>
  <pageSetup paperSize="9" scale="76" orientation="portrait" horizontalDpi="300" verticalDpi="300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AF258F-7BC3-4C5A-852A-4EBE25449E67}">
  <sheetPr codeName="Sheet43">
    <tabColor rgb="FF92D050"/>
    <pageSetUpPr fitToPage="1"/>
  </sheetPr>
  <dimension ref="B1:P44"/>
  <sheetViews>
    <sheetView zoomScaleNormal="100" workbookViewId="0">
      <selection activeCell="K11" sqref="K11:L11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6.54296875" style="24" customWidth="1"/>
    <col min="7" max="7" width="8.54296875" style="24" customWidth="1"/>
    <col min="8" max="8" width="17.26953125" style="24" bestFit="1" customWidth="1"/>
    <col min="9" max="9" width="2.54296875" style="24" customWidth="1"/>
    <col min="10" max="10" width="15.54296875" style="24" customWidth="1"/>
    <col min="11" max="11" width="10.54296875" style="24" customWidth="1"/>
    <col min="12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191"/>
      <c r="C9" s="191"/>
      <c r="D9" s="191"/>
      <c r="E9" s="191"/>
      <c r="F9" s="191"/>
      <c r="G9" s="191"/>
      <c r="H9" s="191"/>
      <c r="I9" s="191"/>
      <c r="J9" s="191"/>
      <c r="K9" s="191"/>
      <c r="L9" s="191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221</v>
      </c>
      <c r="J10" s="29" t="s">
        <v>29</v>
      </c>
      <c r="K10" s="452">
        <v>202210021</v>
      </c>
      <c r="L10" s="453"/>
    </row>
    <row r="11" spans="2:12" ht="20.149999999999999" customHeight="1" x14ac:dyDescent="0.45">
      <c r="B11" s="454" t="s">
        <v>583</v>
      </c>
      <c r="C11" s="455"/>
      <c r="D11" s="456"/>
      <c r="E11" s="30"/>
      <c r="F11" s="457" t="str">
        <f>VLOOKUP(H10,'Delivery Location'!A$4:N$416,2,0)</f>
        <v xml:space="preserve">Spectrum Food Centre Pte Ltd               No.2 Woodlands Sector 1. #01-28  Woodlands Spectrum 1. Singapore 738068              </v>
      </c>
      <c r="G11" s="458"/>
      <c r="H11" s="459"/>
      <c r="J11" s="31" t="s">
        <v>11</v>
      </c>
      <c r="K11" s="466">
        <v>44835</v>
      </c>
      <c r="L11" s="467"/>
    </row>
    <row r="12" spans="2:12" ht="20.149999999999999" customHeight="1" x14ac:dyDescent="0.45">
      <c r="B12" s="468" t="s">
        <v>584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533</v>
      </c>
      <c r="L12" s="472"/>
    </row>
    <row r="13" spans="2:12" ht="20.149999999999999" customHeight="1" x14ac:dyDescent="0.45">
      <c r="B13" s="468" t="s">
        <v>890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14</v>
      </c>
      <c r="L13" s="472"/>
    </row>
    <row r="14" spans="2:12" ht="20.149999999999999" customHeight="1" x14ac:dyDescent="0.45">
      <c r="B14" s="468" t="s">
        <v>891</v>
      </c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552" t="s">
        <v>585</v>
      </c>
      <c r="C15" s="474"/>
      <c r="D15" s="475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16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16" ht="20.149999999999999" customHeight="1" x14ac:dyDescent="0.45">
      <c r="B18" s="34"/>
      <c r="C18" s="22" t="s">
        <v>1460</v>
      </c>
      <c r="D18" s="508" t="str">
        <f>VLOOKUP(C18,'Sales Master'!B$3:D$499,2,)</f>
        <v>Coconut Sugar Syrup 椰糖浆</v>
      </c>
      <c r="E18" s="508"/>
      <c r="F18" s="508"/>
      <c r="G18" s="90">
        <v>1</v>
      </c>
      <c r="H18" s="389" t="str">
        <f>VLOOKUP(C18,'Sales Master'!$B$3:$F$3247,5,0)</f>
        <v>4L/BTL</v>
      </c>
      <c r="I18" s="482" t="str">
        <f>VLOOKUP(C18,'Sales Master'!$B$3:$E$3247,4,0)</f>
        <v>DO!</v>
      </c>
      <c r="J18" s="482"/>
      <c r="K18" s="94">
        <f>VLOOKUP(C18,'Sales Master'!B$3:S$368,18,0)</f>
        <v>15</v>
      </c>
      <c r="L18" s="77">
        <f t="shared" ref="L18:L23" si="0">K18*G18</f>
        <v>15</v>
      </c>
      <c r="M18" s="78"/>
      <c r="N18" s="225">
        <f>VLOOKUP(C18,'Sales Master'!$B$3:$DA$3038,104,0)</f>
        <v>9.27</v>
      </c>
      <c r="O18" s="225">
        <f t="shared" ref="O18:O23" si="1">K18-N18</f>
        <v>5.73</v>
      </c>
      <c r="P18" s="225">
        <f t="shared" ref="P18" si="2">O18*G18</f>
        <v>5.73</v>
      </c>
    </row>
    <row r="19" spans="2:16" ht="20.149999999999999" customHeight="1" x14ac:dyDescent="0.45">
      <c r="B19" s="34"/>
      <c r="C19" s="22" t="s">
        <v>1585</v>
      </c>
      <c r="D19" s="508" t="str">
        <f>VLOOKUP(C19,'Sales Master'!B$3:D$499,2,)</f>
        <v>Green Bean 绿豆</v>
      </c>
      <c r="E19" s="508"/>
      <c r="F19" s="508"/>
      <c r="G19" s="90">
        <v>1</v>
      </c>
      <c r="H19" s="389" t="str">
        <f>VLOOKUP(C19,'Sales Master'!$B$3:$F$3247,5,0)</f>
        <v>5 kgs</v>
      </c>
      <c r="I19" s="482" t="str">
        <f>VLOOKUP(C19,'Sales Master'!$B$3:$E$3247,4,0)</f>
        <v>-</v>
      </c>
      <c r="J19" s="482"/>
      <c r="K19" s="94">
        <f>VLOOKUP(C19,'Sales Master'!B$3:S$368,18,0)</f>
        <v>14</v>
      </c>
      <c r="L19" s="77">
        <f t="shared" si="0"/>
        <v>14</v>
      </c>
      <c r="M19" s="78"/>
      <c r="N19" s="225">
        <f>VLOOKUP(C19,'Sales Master'!$B$3:$DA$3038,104,0)</f>
        <v>9.3999999999999986</v>
      </c>
      <c r="O19" s="225">
        <f t="shared" si="1"/>
        <v>4.6000000000000014</v>
      </c>
      <c r="P19" s="225">
        <f t="shared" ref="P19:P22" si="3">O19*G19</f>
        <v>4.6000000000000014</v>
      </c>
    </row>
    <row r="20" spans="2:16" ht="20.149999999999999" customHeight="1" x14ac:dyDescent="0.45">
      <c r="B20" s="34"/>
      <c r="C20" s="22" t="s">
        <v>1608</v>
      </c>
      <c r="D20" s="508" t="str">
        <f>VLOOKUP(C20,'Sales Master'!B$3:D$499,2,)</f>
        <v>Pearl Barley 薏米</v>
      </c>
      <c r="E20" s="508"/>
      <c r="F20" s="508"/>
      <c r="G20" s="90">
        <v>1</v>
      </c>
      <c r="H20" s="389" t="str">
        <f>VLOOKUP(C20,'Sales Master'!$B$3:$F$3247,5,0)</f>
        <v>5 kgs</v>
      </c>
      <c r="I20" s="482" t="str">
        <f>VLOOKUP(C20,'Sales Master'!$B$3:$E$3247,4,0)</f>
        <v>-</v>
      </c>
      <c r="J20" s="482"/>
      <c r="K20" s="94">
        <f>VLOOKUP(C20,'Sales Master'!B$3:S$368,18,0)</f>
        <v>10.5</v>
      </c>
      <c r="L20" s="77">
        <f t="shared" si="0"/>
        <v>10.5</v>
      </c>
      <c r="M20" s="78"/>
      <c r="N20" s="225">
        <f>VLOOKUP(C20,'Sales Master'!$B$3:$DA$3038,104,0)</f>
        <v>6.8000000000000007</v>
      </c>
      <c r="O20" s="225">
        <f t="shared" si="1"/>
        <v>3.6999999999999993</v>
      </c>
      <c r="P20" s="225">
        <f t="shared" si="3"/>
        <v>3.6999999999999993</v>
      </c>
    </row>
    <row r="21" spans="2:16" ht="20.149999999999999" customHeight="1" x14ac:dyDescent="0.45">
      <c r="B21" s="34"/>
      <c r="C21" s="22" t="s">
        <v>1618</v>
      </c>
      <c r="D21" s="508" t="str">
        <f>VLOOKUP(C21,'Sales Master'!B$3:D$499,2,)</f>
        <v>Dried Longan 龙眼干</v>
      </c>
      <c r="E21" s="508"/>
      <c r="F21" s="508"/>
      <c r="G21" s="90">
        <v>1</v>
      </c>
      <c r="H21" s="389" t="str">
        <f>VLOOKUP(C21,'Sales Master'!$B$3:$F$3247,5,0)</f>
        <v>1 kg</v>
      </c>
      <c r="I21" s="482" t="str">
        <f>VLOOKUP(C21,'Sales Master'!$B$3:$E$3247,4,0)</f>
        <v>TL</v>
      </c>
      <c r="J21" s="482"/>
      <c r="K21" s="94">
        <f>VLOOKUP(C21,'Sales Master'!B$3:S$368,18,0)</f>
        <v>13</v>
      </c>
      <c r="L21" s="77">
        <f t="shared" si="0"/>
        <v>13</v>
      </c>
      <c r="M21" s="78"/>
      <c r="N21" s="225">
        <f>VLOOKUP(C21,'Sales Master'!$B$3:$DA$3038,104,0)</f>
        <v>8.5</v>
      </c>
      <c r="O21" s="225">
        <f t="shared" si="1"/>
        <v>4.5</v>
      </c>
      <c r="P21" s="225">
        <f t="shared" si="3"/>
        <v>4.5</v>
      </c>
    </row>
    <row r="22" spans="2:16" ht="20.149999999999999" customHeight="1" x14ac:dyDescent="0.45">
      <c r="B22" s="34"/>
      <c r="C22" s="22" t="s">
        <v>1622</v>
      </c>
      <c r="D22" s="508" t="str">
        <f>VLOOKUP(C22,'Sales Master'!B$3:D$499,2,)</f>
        <v>Fungus 黄木耳</v>
      </c>
      <c r="E22" s="508"/>
      <c r="F22" s="508"/>
      <c r="G22" s="90">
        <v>1</v>
      </c>
      <c r="H22" s="389" t="str">
        <f>VLOOKUP(C22,'Sales Master'!$B$3:$F$3247,5,0)</f>
        <v>1 kg</v>
      </c>
      <c r="I22" s="482" t="str">
        <f>VLOOKUP(C22,'Sales Master'!$B$3:$E$3247,4,0)</f>
        <v>黄</v>
      </c>
      <c r="J22" s="482"/>
      <c r="K22" s="94">
        <f>VLOOKUP(C22,'Sales Master'!B$3:S$368,18,0)</f>
        <v>17</v>
      </c>
      <c r="L22" s="77">
        <f t="shared" si="0"/>
        <v>17</v>
      </c>
      <c r="M22" s="78"/>
      <c r="N22" s="225">
        <f>VLOOKUP(C22,'Sales Master'!$B$3:$DA$3038,104,0)</f>
        <v>11.5</v>
      </c>
      <c r="O22" s="225">
        <f t="shared" si="1"/>
        <v>5.5</v>
      </c>
      <c r="P22" s="225">
        <f t="shared" si="3"/>
        <v>5.5</v>
      </c>
    </row>
    <row r="23" spans="2:16" ht="20.149999999999999" customHeight="1" x14ac:dyDescent="0.45">
      <c r="B23" s="34"/>
      <c r="C23" s="22" t="s">
        <v>1794</v>
      </c>
      <c r="D23" s="508" t="str">
        <f>VLOOKUP(C23,'Sales Master'!B$3:D$499,2,)</f>
        <v>Pandan Leaf 班兰叶</v>
      </c>
      <c r="E23" s="508"/>
      <c r="F23" s="508"/>
      <c r="G23" s="90">
        <v>2</v>
      </c>
      <c r="H23" s="389" t="str">
        <f>VLOOKUP(C23,'Sales Master'!$B$3:$F$3247,5,0)</f>
        <v>1 kg</v>
      </c>
      <c r="I23" s="482" t="str">
        <f>VLOOKUP(C23,'Sales Master'!$B$3:$E$3247,4,0)</f>
        <v>-</v>
      </c>
      <c r="J23" s="482"/>
      <c r="K23" s="94">
        <f>VLOOKUP(C23,'Sales Master'!B$3:S$368,18,0)</f>
        <v>2.5</v>
      </c>
      <c r="L23" s="77">
        <f t="shared" si="0"/>
        <v>5</v>
      </c>
      <c r="M23" s="78"/>
      <c r="N23" s="225">
        <f>VLOOKUP(C23,'Sales Master'!$B$3:$DA$3038,104,0)</f>
        <v>1</v>
      </c>
      <c r="O23" s="225">
        <f t="shared" si="1"/>
        <v>1.5</v>
      </c>
      <c r="P23" s="225">
        <f t="shared" ref="P23" si="4">O23*G23</f>
        <v>3</v>
      </c>
    </row>
    <row r="24" spans="2:16" ht="20.149999999999999" customHeight="1" x14ac:dyDescent="0.45">
      <c r="B24" s="34"/>
      <c r="C24" s="22"/>
      <c r="D24" s="508"/>
      <c r="E24" s="508"/>
      <c r="F24" s="508"/>
      <c r="G24" s="90"/>
      <c r="H24" s="389"/>
      <c r="I24" s="482"/>
      <c r="J24" s="482"/>
      <c r="K24" s="94"/>
      <c r="L24" s="77"/>
      <c r="M24" s="78"/>
      <c r="N24" s="225"/>
      <c r="O24" s="225"/>
      <c r="P24" s="225"/>
    </row>
    <row r="25" spans="2:16" ht="20.149999999999999" customHeight="1" x14ac:dyDescent="0.45">
      <c r="B25" s="34"/>
      <c r="C25" s="22"/>
      <c r="D25" s="508"/>
      <c r="E25" s="508"/>
      <c r="F25" s="508"/>
      <c r="G25" s="90"/>
      <c r="H25" s="389"/>
      <c r="I25" s="482"/>
      <c r="J25" s="482"/>
      <c r="K25" s="94"/>
      <c r="L25" s="77"/>
      <c r="M25" s="78"/>
      <c r="N25" s="225"/>
      <c r="O25" s="225"/>
      <c r="P25" s="225"/>
    </row>
    <row r="26" spans="2:16" ht="20.149999999999999" customHeight="1" x14ac:dyDescent="0.45">
      <c r="B26" s="34"/>
      <c r="C26" s="22"/>
      <c r="G26" s="90"/>
      <c r="H26" s="389"/>
      <c r="I26" s="438"/>
      <c r="J26" s="438"/>
      <c r="K26" s="94"/>
      <c r="L26" s="77"/>
      <c r="M26" s="78"/>
      <c r="N26" s="225"/>
      <c r="O26" s="225"/>
      <c r="P26" s="225"/>
    </row>
    <row r="27" spans="2:16" ht="20.149999999999999" customHeight="1" x14ac:dyDescent="0.45">
      <c r="B27" s="80"/>
      <c r="D27" s="230"/>
      <c r="E27" s="230"/>
      <c r="F27" s="230"/>
      <c r="G27" s="90"/>
      <c r="H27" s="68"/>
      <c r="I27" s="102"/>
      <c r="J27" s="102"/>
      <c r="K27" s="286"/>
      <c r="L27" s="99"/>
      <c r="M27" s="78"/>
      <c r="N27" s="225"/>
      <c r="O27" s="225"/>
      <c r="P27" s="225"/>
    </row>
    <row r="28" spans="2:16" ht="20.149999999999999" customHeight="1" x14ac:dyDescent="0.45">
      <c r="B28" s="34"/>
      <c r="C28" s="411" t="s">
        <v>2283</v>
      </c>
      <c r="D28" s="230"/>
      <c r="E28" s="230"/>
      <c r="F28" s="230"/>
      <c r="G28" s="90"/>
      <c r="H28" s="68"/>
      <c r="I28" s="68"/>
      <c r="J28" s="68"/>
      <c r="K28" s="394"/>
      <c r="L28" s="77"/>
      <c r="M28" s="78"/>
    </row>
    <row r="29" spans="2:16" ht="20.149999999999999" customHeight="1" x14ac:dyDescent="0.45">
      <c r="B29" s="34"/>
      <c r="C29" s="22" t="s">
        <v>1563</v>
      </c>
      <c r="D29" s="480" t="str">
        <f>VLOOKUP(C29,'[1]Sales Master'!B$3:D$603,2,0)</f>
        <v>Atap Seeds in Syrup亚嗒子</v>
      </c>
      <c r="E29" s="480"/>
      <c r="F29" s="480"/>
      <c r="G29" s="90">
        <v>1</v>
      </c>
      <c r="H29" s="389" t="str">
        <f>VLOOKUP(C29,'[1]Sales Master'!B$3:F$896,5,0)</f>
        <v>NW (2.1:0.9) 3 kgs</v>
      </c>
      <c r="I29" s="482" t="str">
        <f>VLOOKUP(C29,'[1]Sales Master'!B$3:E$896,4,0)</f>
        <v>2P</v>
      </c>
      <c r="J29" s="482"/>
      <c r="K29" s="394">
        <v>11.5</v>
      </c>
      <c r="L29" s="77"/>
      <c r="M29" s="78"/>
    </row>
    <row r="30" spans="2:16" ht="20.149999999999999" customHeight="1" thickBot="1" x14ac:dyDescent="0.5">
      <c r="B30" s="37"/>
      <c r="C30" s="38"/>
      <c r="D30" s="509"/>
      <c r="E30" s="509"/>
      <c r="F30" s="509"/>
      <c r="G30" s="38"/>
      <c r="H30" s="69"/>
      <c r="I30" s="451"/>
      <c r="J30" s="451"/>
      <c r="K30" s="39"/>
      <c r="L30" s="40"/>
    </row>
    <row r="31" spans="2:16" ht="20.149999999999999" customHeight="1" thickBot="1" x14ac:dyDescent="0.5">
      <c r="B31" s="41"/>
      <c r="L31" s="42"/>
    </row>
    <row r="32" spans="2:16" ht="20.149999999999999" customHeight="1" x14ac:dyDescent="0.45">
      <c r="B32" s="11" t="s">
        <v>18</v>
      </c>
      <c r="C32" s="7"/>
      <c r="D32" s="7"/>
      <c r="E32" s="7"/>
      <c r="F32" s="7"/>
      <c r="G32" s="7"/>
      <c r="H32" s="7"/>
      <c r="I32" s="7"/>
      <c r="J32" s="510" t="s">
        <v>15</v>
      </c>
      <c r="K32" s="511"/>
      <c r="L32" s="43">
        <f>SUM(L17:L28)</f>
        <v>74.5</v>
      </c>
      <c r="M32" s="76">
        <f>SUM(P18:P30)</f>
        <v>27.03</v>
      </c>
      <c r="N32" s="201">
        <f>M32/L32</f>
        <v>0.36281879194630873</v>
      </c>
    </row>
    <row r="33" spans="2:12" ht="20.149999999999999" customHeight="1" x14ac:dyDescent="0.45">
      <c r="B33" s="11" t="s">
        <v>19</v>
      </c>
      <c r="C33" s="7"/>
      <c r="D33" s="7"/>
      <c r="E33" s="7"/>
      <c r="F33" s="7"/>
      <c r="G33" s="7"/>
      <c r="H33" s="7"/>
      <c r="I33" s="7"/>
      <c r="J33" s="44" t="s">
        <v>22</v>
      </c>
      <c r="K33" s="45"/>
      <c r="L33" s="46">
        <f>L32*K33</f>
        <v>0</v>
      </c>
    </row>
    <row r="34" spans="2:12" ht="20.149999999999999" customHeight="1" x14ac:dyDescent="0.45">
      <c r="B34" s="11" t="s">
        <v>20</v>
      </c>
      <c r="C34" s="7"/>
      <c r="D34" s="7"/>
      <c r="E34" s="7"/>
      <c r="F34" s="7"/>
      <c r="G34" s="7"/>
      <c r="H34" s="7"/>
      <c r="I34" s="7"/>
      <c r="J34" s="486" t="s">
        <v>21</v>
      </c>
      <c r="K34" s="487"/>
      <c r="L34" s="46">
        <f>L32-L33</f>
        <v>74.5</v>
      </c>
    </row>
    <row r="35" spans="2:12" ht="20.149999999999999" customHeight="1" x14ac:dyDescent="0.45">
      <c r="B35" s="11" t="s">
        <v>24</v>
      </c>
      <c r="C35" s="7"/>
      <c r="D35" s="7"/>
      <c r="E35" s="7"/>
      <c r="F35" s="7"/>
      <c r="G35" s="7"/>
      <c r="H35" s="7"/>
      <c r="I35" s="7"/>
      <c r="J35" s="150" t="s">
        <v>17</v>
      </c>
      <c r="K35" s="151">
        <v>7.0000000000000007E-2</v>
      </c>
      <c r="L35" s="47">
        <f>L34*K35</f>
        <v>5.2150000000000007</v>
      </c>
    </row>
    <row r="36" spans="2:12" ht="20.149999999999999" customHeight="1" thickBot="1" x14ac:dyDescent="0.5">
      <c r="B36" s="11" t="s">
        <v>25</v>
      </c>
      <c r="C36" s="7"/>
      <c r="D36" s="7"/>
      <c r="E36" s="7"/>
      <c r="F36" s="7"/>
      <c r="G36" s="7"/>
      <c r="H36" s="7"/>
      <c r="I36" s="7"/>
      <c r="J36" s="488" t="s">
        <v>23</v>
      </c>
      <c r="K36" s="489"/>
      <c r="L36" s="48">
        <f>L34+L35</f>
        <v>79.715000000000003</v>
      </c>
    </row>
    <row r="37" spans="2:12" ht="20.149999999999999" customHeight="1" x14ac:dyDescent="0.45">
      <c r="B37" s="11" t="s">
        <v>26</v>
      </c>
      <c r="C37" s="7"/>
      <c r="D37" s="7"/>
      <c r="E37" s="7"/>
      <c r="F37" s="7"/>
      <c r="G37" s="7"/>
      <c r="H37" s="7"/>
      <c r="I37" s="7"/>
      <c r="L37" s="42"/>
    </row>
    <row r="38" spans="2:12" ht="20.149999999999999" customHeight="1" x14ac:dyDescent="0.45">
      <c r="B38" s="41"/>
      <c r="L38" s="42"/>
    </row>
    <row r="39" spans="2:12" ht="20.149999999999999" customHeight="1" x14ac:dyDescent="0.45">
      <c r="B39" s="41"/>
      <c r="L39" s="42"/>
    </row>
    <row r="40" spans="2:12" ht="20.149999999999999" customHeight="1" x14ac:dyDescent="0.45">
      <c r="B40" s="41"/>
      <c r="L40" s="42"/>
    </row>
    <row r="41" spans="2:12" ht="20.149999999999999" customHeight="1" x14ac:dyDescent="0.45">
      <c r="B41" s="41"/>
      <c r="L41" s="42"/>
    </row>
    <row r="42" spans="2:12" ht="20.149999999999999" customHeight="1" x14ac:dyDescent="0.45">
      <c r="B42" s="49"/>
      <c r="C42" s="50"/>
      <c r="D42" s="50"/>
      <c r="J42" s="50"/>
      <c r="K42" s="50"/>
      <c r="L42" s="51"/>
    </row>
    <row r="43" spans="2:12" ht="20.149999999999999" customHeight="1" x14ac:dyDescent="0.45">
      <c r="B43" s="41" t="s">
        <v>27</v>
      </c>
      <c r="J43" s="24" t="s">
        <v>28</v>
      </c>
      <c r="L43" s="42"/>
    </row>
    <row r="44" spans="2:12" ht="19" thickBot="1" x14ac:dyDescent="0.5">
      <c r="B44" s="52"/>
      <c r="C44" s="53"/>
      <c r="D44" s="53"/>
      <c r="E44" s="53"/>
      <c r="F44" s="53"/>
      <c r="G44" s="53"/>
      <c r="H44" s="53"/>
      <c r="I44" s="53"/>
      <c r="J44" s="53"/>
      <c r="K44" s="53"/>
      <c r="L44" s="54"/>
    </row>
  </sheetData>
  <mergeCells count="38">
    <mergeCell ref="D25:F25"/>
    <mergeCell ref="I25:J25"/>
    <mergeCell ref="B1:L8"/>
    <mergeCell ref="D17:F17"/>
    <mergeCell ref="I17:J17"/>
    <mergeCell ref="D18:F18"/>
    <mergeCell ref="I18:J18"/>
    <mergeCell ref="B15:D15"/>
    <mergeCell ref="K10:L10"/>
    <mergeCell ref="B11:D11"/>
    <mergeCell ref="F11:H15"/>
    <mergeCell ref="K11:L11"/>
    <mergeCell ref="B12:D12"/>
    <mergeCell ref="K12:L12"/>
    <mergeCell ref="B13:D13"/>
    <mergeCell ref="K13:L13"/>
    <mergeCell ref="K15:L15"/>
    <mergeCell ref="K14:L14"/>
    <mergeCell ref="D23:F23"/>
    <mergeCell ref="I23:J23"/>
    <mergeCell ref="I24:J24"/>
    <mergeCell ref="D22:F22"/>
    <mergeCell ref="I22:J22"/>
    <mergeCell ref="D24:F24"/>
    <mergeCell ref="D20:F20"/>
    <mergeCell ref="I20:J20"/>
    <mergeCell ref="D21:F21"/>
    <mergeCell ref="I21:J21"/>
    <mergeCell ref="B14:D14"/>
    <mergeCell ref="D19:F19"/>
    <mergeCell ref="I19:J19"/>
    <mergeCell ref="D29:F29"/>
    <mergeCell ref="I29:J29"/>
    <mergeCell ref="J36:K36"/>
    <mergeCell ref="D30:F30"/>
    <mergeCell ref="I30:J30"/>
    <mergeCell ref="J32:K32"/>
    <mergeCell ref="J34:K34"/>
  </mergeCells>
  <conditionalFormatting sqref="C28:C29">
    <cfRule type="duplicateValues" dxfId="40" priority="1157"/>
  </conditionalFormatting>
  <pageMargins left="0.70866141732283472" right="0.31496062992125984" top="0.59055118110236227" bottom="0" header="0.31496062992125984" footer="0.31496062992125984"/>
  <pageSetup paperSize="9" scale="76" orientation="portrait" horizontalDpi="300" verticalDpi="300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00B57-B8DD-474B-B1CD-9185838AD40C}">
  <sheetPr codeName="Sheet193">
    <tabColor rgb="FF92D050"/>
    <pageSetUpPr fitToPage="1"/>
  </sheetPr>
  <dimension ref="B1:T48"/>
  <sheetViews>
    <sheetView topLeftCell="B1" workbookViewId="0">
      <selection activeCell="B1" sqref="B1:L48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6.54296875" style="24" customWidth="1"/>
    <col min="7" max="7" width="8.54296875" style="24" customWidth="1"/>
    <col min="8" max="8" width="15.54296875" style="24" customWidth="1"/>
    <col min="9" max="9" width="2.54296875" style="24" customWidth="1"/>
    <col min="10" max="10" width="15.54296875" style="24" customWidth="1"/>
    <col min="11" max="11" width="12.7265625" style="24" customWidth="1"/>
    <col min="12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191"/>
      <c r="C9" s="191"/>
      <c r="D9" s="191"/>
      <c r="E9" s="191"/>
      <c r="F9" s="191"/>
      <c r="G9" s="191"/>
      <c r="H9" s="191"/>
      <c r="I9" s="191"/>
      <c r="J9" s="191"/>
      <c r="K9" s="191"/>
      <c r="L9" s="191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142</v>
      </c>
      <c r="J10" s="29" t="s">
        <v>29</v>
      </c>
      <c r="K10" s="452">
        <v>202210032</v>
      </c>
      <c r="L10" s="453"/>
    </row>
    <row r="11" spans="2:12" ht="20.149999999999999" customHeight="1" x14ac:dyDescent="0.45">
      <c r="B11" s="454" t="s">
        <v>248</v>
      </c>
      <c r="C11" s="455"/>
      <c r="D11" s="456"/>
      <c r="E11" s="30"/>
      <c r="F11" s="457" t="str">
        <f>VLOOKUP(H10,'Delivery Location'!A$4:N$416,2,0)</f>
        <v>甜甜                                                                         Tiong Bahru Market. 30 Seng Poh Road #02-15. Singapore 168898</v>
      </c>
      <c r="G11" s="458"/>
      <c r="H11" s="459"/>
      <c r="J11" s="31" t="s">
        <v>11</v>
      </c>
      <c r="K11" s="466">
        <v>44835</v>
      </c>
      <c r="L11" s="467"/>
    </row>
    <row r="12" spans="2:12" ht="20.149999999999999" customHeight="1" x14ac:dyDescent="0.45">
      <c r="B12" s="468" t="s">
        <v>550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533</v>
      </c>
      <c r="L12" s="472"/>
    </row>
    <row r="13" spans="2:12" ht="20.149999999999999" customHeight="1" x14ac:dyDescent="0.45">
      <c r="B13" s="468" t="s">
        <v>551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14</v>
      </c>
      <c r="L13" s="472"/>
    </row>
    <row r="14" spans="2:12" ht="20.149999999999999" customHeight="1" x14ac:dyDescent="0.45">
      <c r="B14" s="468" t="s">
        <v>552</v>
      </c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552"/>
      <c r="C15" s="474"/>
      <c r="D15" s="475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  <c r="L16" s="24" t="s">
        <v>720</v>
      </c>
    </row>
    <row r="17" spans="2:20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20" ht="20.149999999999999" customHeight="1" x14ac:dyDescent="0.45">
      <c r="B18" s="34"/>
      <c r="C18" s="22" t="s">
        <v>1440</v>
      </c>
      <c r="D18" s="480" t="str">
        <f>VLOOKUP(C18,'Sales Master'!B$3:D$499,2,)</f>
        <v xml:space="preserve">Fresh Soursop 红毛榴莲 </v>
      </c>
      <c r="E18" s="480"/>
      <c r="F18" s="480"/>
      <c r="G18" s="401">
        <v>2</v>
      </c>
      <c r="H18" s="444" t="str">
        <f>VLOOKUP(C18,'Sales Master'!$B$3:$F$3179,5,0)</f>
        <v>5 KGS/PKT</v>
      </c>
      <c r="I18" s="482" t="str">
        <f>VLOOKUP(C18,'Sales Master'!$B$3:$E$3247,4,0)</f>
        <v>DO!</v>
      </c>
      <c r="J18" s="482"/>
      <c r="K18" s="94">
        <f>VLOOKUP(C18,'Sales Master'!B$3:AC$499,28,0)</f>
        <v>31</v>
      </c>
      <c r="L18" s="77">
        <f>K18*G18</f>
        <v>62</v>
      </c>
      <c r="M18" s="78"/>
      <c r="N18" s="225">
        <f>VLOOKUP(C18,'Sales Master'!$B$3:$DA$3038,104,0)</f>
        <v>18.95</v>
      </c>
      <c r="O18" s="225">
        <f>K18-N18</f>
        <v>12.05</v>
      </c>
      <c r="P18" s="225">
        <f>O18*G18</f>
        <v>24.1</v>
      </c>
    </row>
    <row r="19" spans="2:20" ht="20.149999999999999" customHeight="1" x14ac:dyDescent="0.45">
      <c r="B19" s="34"/>
      <c r="C19" s="22" t="s">
        <v>1458</v>
      </c>
      <c r="D19" s="480" t="str">
        <f>VLOOKUP(C19,'Sales Master'!B$3:D$499,2,)</f>
        <v>Chendol浆咯</v>
      </c>
      <c r="E19" s="480"/>
      <c r="F19" s="480"/>
      <c r="G19" s="90">
        <v>4</v>
      </c>
      <c r="H19" s="102" t="str">
        <f>VLOOKUP(C19,'Sales Master'!$B$3:$F$3179,5,0)</f>
        <v>NW(2.2:0.8) 3 KG/BAG</v>
      </c>
      <c r="I19" s="482" t="str">
        <f>VLOOKUP(C19,'Sales Master'!$B$3:$E$3247,4,0)</f>
        <v>DO!</v>
      </c>
      <c r="J19" s="482"/>
      <c r="K19" s="98">
        <f>VLOOKUP(C19,'Sales Master'!B$3:AC$499,28,0)</f>
        <v>7.5</v>
      </c>
      <c r="L19" s="99">
        <f>K19*G19</f>
        <v>30</v>
      </c>
      <c r="M19" s="78"/>
      <c r="N19" s="225">
        <f>VLOOKUP(C19,'Sales Master'!$B$3:$DA$3038,104,0)</f>
        <v>1.85</v>
      </c>
      <c r="O19" s="225">
        <f>K19-N19</f>
        <v>5.65</v>
      </c>
      <c r="P19" s="225">
        <f>O19*G19</f>
        <v>22.6</v>
      </c>
      <c r="R19" s="24">
        <v>2</v>
      </c>
      <c r="S19" s="24" t="s">
        <v>36</v>
      </c>
      <c r="T19" s="24" t="s">
        <v>54</v>
      </c>
    </row>
    <row r="20" spans="2:20" ht="20.149999999999999" customHeight="1" x14ac:dyDescent="0.45">
      <c r="B20" s="34"/>
      <c r="C20" s="22" t="s">
        <v>1457</v>
      </c>
      <c r="D20" s="480" t="str">
        <f>VLOOKUP(C20,'Sales Master'!B$3:D$499,2,)</f>
        <v>Bobo ChaCha Cubes 摩摩喳喳</v>
      </c>
      <c r="E20" s="480"/>
      <c r="F20" s="480"/>
      <c r="G20" s="90">
        <v>2</v>
      </c>
      <c r="H20" s="102" t="str">
        <f>VLOOKUP(C20,'Sales Master'!$B$3:$F$3179,5,0)</f>
        <v>800 GM/BAG</v>
      </c>
      <c r="I20" s="482" t="str">
        <f>VLOOKUP(C20,'Sales Master'!$B$3:$E$3247,4,0)</f>
        <v>DO!</v>
      </c>
      <c r="J20" s="482"/>
      <c r="K20" s="98">
        <f>VLOOKUP(C20,'Sales Master'!B$3:AC$499,28,0)</f>
        <v>6</v>
      </c>
      <c r="L20" s="99">
        <f>K20*G20</f>
        <v>12</v>
      </c>
      <c r="M20" s="78"/>
      <c r="N20" s="225">
        <f>VLOOKUP(C20,'Sales Master'!$B$3:$DA$3038,104,0)</f>
        <v>0.71</v>
      </c>
      <c r="O20" s="225">
        <f>K20-N20</f>
        <v>5.29</v>
      </c>
      <c r="P20" s="225">
        <f>O20*G20</f>
        <v>10.58</v>
      </c>
      <c r="R20" s="24">
        <v>3</v>
      </c>
      <c r="S20" s="24" t="s">
        <v>52</v>
      </c>
      <c r="T20" s="24" t="s">
        <v>66</v>
      </c>
    </row>
    <row r="21" spans="2:20" ht="20.149999999999999" customHeight="1" x14ac:dyDescent="0.45">
      <c r="B21" s="34"/>
      <c r="C21" s="22" t="s">
        <v>1562</v>
      </c>
      <c r="D21" s="480" t="str">
        <f>VLOOKUP(C21,'Sales Master'!B$3:D$499,2,)</f>
        <v>Atap Seeds in Syrup亚嗒子</v>
      </c>
      <c r="E21" s="480"/>
      <c r="F21" s="480"/>
      <c r="G21" s="90">
        <v>1</v>
      </c>
      <c r="H21" s="102" t="str">
        <f>VLOOKUP(C21,'Sales Master'!$B$3:$F$3179,5,0)</f>
        <v>20 kgs/tin</v>
      </c>
      <c r="I21" s="482" t="str">
        <f>VLOOKUP(C21,'Sales Master'!$B$3:$E$3247,4,0)</f>
        <v>2P</v>
      </c>
      <c r="J21" s="482"/>
      <c r="K21" s="98">
        <f>VLOOKUP(C21,'Sales Master'!B$3:AC$499,28,0)</f>
        <v>61</v>
      </c>
      <c r="L21" s="99">
        <f t="shared" ref="L21" si="0">K21*G21</f>
        <v>61</v>
      </c>
      <c r="M21" s="78"/>
      <c r="N21" s="225">
        <f>VLOOKUP(C21,'Sales Master'!$B$3:$DA$3038,104,0)</f>
        <v>53</v>
      </c>
      <c r="O21" s="225">
        <f t="shared" ref="O21" si="1">K21-N21</f>
        <v>8</v>
      </c>
      <c r="P21" s="225">
        <f t="shared" ref="P21" si="2">O21*G21</f>
        <v>8</v>
      </c>
      <c r="R21" s="24">
        <v>3</v>
      </c>
      <c r="S21" s="24" t="s">
        <v>615</v>
      </c>
      <c r="T21" s="24" t="s">
        <v>711</v>
      </c>
    </row>
    <row r="22" spans="2:20" ht="20.149999999999999" customHeight="1" x14ac:dyDescent="0.45">
      <c r="B22" s="34"/>
      <c r="C22" s="22" t="s">
        <v>1617</v>
      </c>
      <c r="D22" s="480" t="str">
        <f>VLOOKUP(C22,'Sales Master'!B$3:D$499,2,)</f>
        <v>Dried Longan 龙眼干</v>
      </c>
      <c r="E22" s="480"/>
      <c r="F22" s="480"/>
      <c r="G22" s="90">
        <v>1</v>
      </c>
      <c r="H22" s="444" t="str">
        <f>VLOOKUP(C22,'Sales Master'!$B$3:$F$3179,5,0)</f>
        <v>15 KGS</v>
      </c>
      <c r="I22" s="482" t="str">
        <f>VLOOKUP(C22,'Sales Master'!$B$3:$E$3247,4,0)</f>
        <v>AAA</v>
      </c>
      <c r="J22" s="482"/>
      <c r="K22" s="98">
        <f>VLOOKUP(C22,'Sales Master'!B$3:AC$499,28,0)</f>
        <v>160</v>
      </c>
      <c r="L22" s="99">
        <f t="shared" ref="L22:L23" si="3">K22*G22</f>
        <v>160</v>
      </c>
      <c r="M22" s="78"/>
      <c r="N22" s="225">
        <f>VLOOKUP(C22,'Sales Master'!$B$3:$DA$3038,104,0)</f>
        <v>127.5</v>
      </c>
      <c r="O22" s="225">
        <f t="shared" ref="O22:O23" si="4">K22-N22</f>
        <v>32.5</v>
      </c>
      <c r="P22" s="225">
        <f t="shared" ref="P22:P23" si="5">O22*G22</f>
        <v>32.5</v>
      </c>
    </row>
    <row r="23" spans="2:20" ht="20.149999999999999" customHeight="1" x14ac:dyDescent="0.45">
      <c r="B23" s="34"/>
      <c r="C23" s="22" t="s">
        <v>1585</v>
      </c>
      <c r="D23" s="480" t="str">
        <f>VLOOKUP(C23,'Sales Master'!B$3:D$499,2,)</f>
        <v>Green Bean 绿豆</v>
      </c>
      <c r="E23" s="480"/>
      <c r="F23" s="480"/>
      <c r="G23" s="90">
        <v>2</v>
      </c>
      <c r="H23" s="102" t="str">
        <f>VLOOKUP(C23,'Sales Master'!$B$3:$F$3179,5,0)</f>
        <v>5 kgs</v>
      </c>
      <c r="I23" s="482" t="str">
        <f>VLOOKUP(C23,'Sales Master'!$B$3:$E$3247,4,0)</f>
        <v>-</v>
      </c>
      <c r="J23" s="482"/>
      <c r="K23" s="98">
        <f>VLOOKUP(C23,'Sales Master'!B$3:AC$499,28,0)</f>
        <v>13.5</v>
      </c>
      <c r="L23" s="99">
        <f t="shared" si="3"/>
        <v>27</v>
      </c>
      <c r="M23" s="78"/>
      <c r="N23" s="225">
        <f>VLOOKUP(C23,'Sales Master'!$B$3:$DA$3038,104,0)</f>
        <v>9.3999999999999986</v>
      </c>
      <c r="O23" s="225">
        <f t="shared" si="4"/>
        <v>4.1000000000000014</v>
      </c>
      <c r="P23" s="225">
        <f t="shared" si="5"/>
        <v>8.2000000000000028</v>
      </c>
    </row>
    <row r="24" spans="2:20" ht="20.149999999999999" customHeight="1" x14ac:dyDescent="0.45">
      <c r="B24" s="34"/>
      <c r="C24" s="22" t="s">
        <v>1608</v>
      </c>
      <c r="D24" s="480" t="str">
        <f>VLOOKUP(C24,'Sales Master'!B$3:D$499,2,)</f>
        <v>Pearl Barley 薏米</v>
      </c>
      <c r="E24" s="480"/>
      <c r="F24" s="480"/>
      <c r="G24" s="90">
        <v>2</v>
      </c>
      <c r="H24" s="102" t="str">
        <f>VLOOKUP(C24,'Sales Master'!$B$3:$F$3179,5,0)</f>
        <v>5 kgs</v>
      </c>
      <c r="I24" s="482" t="str">
        <f>VLOOKUP(C24,'Sales Master'!$B$3:$E$3247,4,0)</f>
        <v>-</v>
      </c>
      <c r="J24" s="482"/>
      <c r="K24" s="98">
        <f>VLOOKUP(C24,'Sales Master'!B$3:AC$499,28,0)</f>
        <v>9</v>
      </c>
      <c r="L24" s="99">
        <f t="shared" ref="L24:L32" si="6">K24*G24</f>
        <v>18</v>
      </c>
      <c r="M24" s="78"/>
      <c r="N24" s="225">
        <f>VLOOKUP(C24,'Sales Master'!$B$3:$DA$3038,104,0)</f>
        <v>6.8000000000000007</v>
      </c>
      <c r="O24" s="225">
        <f t="shared" ref="O24:O32" si="7">K24-N24</f>
        <v>2.1999999999999993</v>
      </c>
      <c r="P24" s="225">
        <f t="shared" ref="P24:P32" si="8">O24*G24</f>
        <v>4.3999999999999986</v>
      </c>
    </row>
    <row r="25" spans="2:20" ht="20.149999999999999" customHeight="1" x14ac:dyDescent="0.45">
      <c r="B25" s="34"/>
      <c r="C25" s="22" t="s">
        <v>1599</v>
      </c>
      <c r="D25" s="480" t="str">
        <f>VLOOKUP(C25,'Sales Master'!B$3:D$499,2,)</f>
        <v>Black Glutinous Rice 黑糯米</v>
      </c>
      <c r="E25" s="480"/>
      <c r="F25" s="480"/>
      <c r="G25" s="90">
        <v>2</v>
      </c>
      <c r="H25" s="102" t="str">
        <f>VLOOKUP(C25,'Sales Master'!$B$3:$F$3179,5,0)</f>
        <v>5 kgs</v>
      </c>
      <c r="I25" s="482" t="str">
        <f>VLOOKUP(C25,'Sales Master'!$B$3:$E$3247,4,0)</f>
        <v>-</v>
      </c>
      <c r="J25" s="482"/>
      <c r="K25" s="98">
        <f>VLOOKUP(C25,'Sales Master'!B$3:AC$499,28,0)</f>
        <v>18</v>
      </c>
      <c r="L25" s="99">
        <f t="shared" si="6"/>
        <v>36</v>
      </c>
      <c r="M25" s="78"/>
      <c r="N25" s="225">
        <f>VLOOKUP(C25,'Sales Master'!$B$3:$DA$3038,104,0)</f>
        <v>12</v>
      </c>
      <c r="O25" s="225">
        <f t="shared" si="7"/>
        <v>6</v>
      </c>
      <c r="P25" s="225">
        <f t="shared" si="8"/>
        <v>12</v>
      </c>
    </row>
    <row r="26" spans="2:20" ht="20.149999999999999" customHeight="1" x14ac:dyDescent="0.45">
      <c r="B26" s="34"/>
      <c r="C26" s="22" t="s">
        <v>1603</v>
      </c>
      <c r="D26" s="480" t="str">
        <f>VLOOKUP(C26,'Sales Master'!B$3:D$499,2,)</f>
        <v>White Glutinous Rice白糯米</v>
      </c>
      <c r="E26" s="480"/>
      <c r="F26" s="480"/>
      <c r="G26" s="90">
        <v>1</v>
      </c>
      <c r="H26" s="102" t="str">
        <f>VLOOKUP(C26,'Sales Master'!$B$3:$F$3179,5,0)</f>
        <v>5 kgs</v>
      </c>
      <c r="I26" s="482" t="str">
        <f>VLOOKUP(C26,'Sales Master'!$B$3:$E$3247,4,0)</f>
        <v>-</v>
      </c>
      <c r="J26" s="482"/>
      <c r="K26" s="98">
        <f>VLOOKUP(C26,'Sales Master'!B$3:AC$499,28,0)</f>
        <v>10</v>
      </c>
      <c r="L26" s="99">
        <f t="shared" si="6"/>
        <v>10</v>
      </c>
      <c r="M26" s="78"/>
      <c r="N26" s="225">
        <f>VLOOKUP(C26,'Sales Master'!$B$3:$DA$3038,104,0)</f>
        <v>6</v>
      </c>
      <c r="O26" s="225">
        <f t="shared" si="7"/>
        <v>4</v>
      </c>
      <c r="P26" s="225">
        <f t="shared" si="8"/>
        <v>4</v>
      </c>
    </row>
    <row r="27" spans="2:20" ht="20.149999999999999" customHeight="1" x14ac:dyDescent="0.45">
      <c r="B27" s="34"/>
      <c r="C27" s="22" t="s">
        <v>1548</v>
      </c>
      <c r="D27" s="480" t="str">
        <f>VLOOKUP(C27,'Sales Master'!B$3:D$499,2,)</f>
        <v>Potato Starch 风车粉</v>
      </c>
      <c r="E27" s="480"/>
      <c r="F27" s="480"/>
      <c r="G27" s="90">
        <v>2</v>
      </c>
      <c r="H27" s="102" t="str">
        <f>VLOOKUP(C27,'Sales Master'!$B$3:$F$3179,5,0)</f>
        <v>5 kg</v>
      </c>
      <c r="I27" s="482" t="str">
        <f>VLOOKUP(C27,'Sales Master'!$B$3:$E$3247,4,0)</f>
        <v>RE-PACK</v>
      </c>
      <c r="J27" s="482"/>
      <c r="K27" s="98">
        <f>VLOOKUP(C27,'Sales Master'!B$3:AC$499,28,0)</f>
        <v>12.5</v>
      </c>
      <c r="L27" s="99">
        <f t="shared" si="6"/>
        <v>25</v>
      </c>
      <c r="M27" s="78"/>
      <c r="N27" s="225">
        <f>VLOOKUP(C27,'Sales Master'!$B$3:$DA$3038,104,0)</f>
        <v>7.1999999999999993</v>
      </c>
      <c r="O27" s="225">
        <f t="shared" si="7"/>
        <v>5.3000000000000007</v>
      </c>
      <c r="P27" s="225">
        <f t="shared" si="8"/>
        <v>10.600000000000001</v>
      </c>
    </row>
    <row r="28" spans="2:20" ht="20.149999999999999" customHeight="1" x14ac:dyDescent="0.45">
      <c r="B28" s="34"/>
      <c r="C28" s="22" t="s">
        <v>2017</v>
      </c>
      <c r="D28" s="480" t="str">
        <f>VLOOKUP(C28,'Sales Master'!B$3:D$499,2,)</f>
        <v>Sweeten Melon  cube 冬瓜</v>
      </c>
      <c r="E28" s="480"/>
      <c r="F28" s="480"/>
      <c r="G28" s="90">
        <v>2</v>
      </c>
      <c r="H28" s="102" t="str">
        <f>VLOOKUP(C28,'Sales Master'!$B$3:$F$3179,5,0)</f>
        <v>3KGS/PKT</v>
      </c>
      <c r="I28" s="482" t="str">
        <f>VLOOKUP(C28,'Sales Master'!$B$3:$E$3247,4,0)</f>
        <v>Rabbit Brand</v>
      </c>
      <c r="J28" s="482"/>
      <c r="K28" s="98">
        <f>VLOOKUP(C28,'Sales Master'!B$3:AC$499,28,0)</f>
        <v>18</v>
      </c>
      <c r="L28" s="99">
        <f t="shared" si="6"/>
        <v>36</v>
      </c>
      <c r="M28" s="78"/>
      <c r="N28" s="225">
        <f>VLOOKUP(C28,'Sales Master'!$B$3:$DA$3038,104,0)</f>
        <v>13.5</v>
      </c>
      <c r="O28" s="225">
        <f t="shared" si="7"/>
        <v>4.5</v>
      </c>
      <c r="P28" s="225">
        <f t="shared" si="8"/>
        <v>9</v>
      </c>
    </row>
    <row r="29" spans="2:20" ht="20.149999999999999" customHeight="1" x14ac:dyDescent="0.45">
      <c r="B29" s="34"/>
      <c r="C29" s="22" t="s">
        <v>1768</v>
      </c>
      <c r="D29" s="480" t="str">
        <f>VLOOKUP(C29,'Sales Master'!B$3:D$499,2,)</f>
        <v>Red Sugar 赤糖</v>
      </c>
      <c r="E29" s="480"/>
      <c r="F29" s="480"/>
      <c r="G29" s="90">
        <v>1</v>
      </c>
      <c r="H29" s="102" t="str">
        <f>VLOOKUP(C29,'Sales Master'!$B$3:$F$3179,5,0)</f>
        <v>6 kgs</v>
      </c>
      <c r="I29" s="482" t="str">
        <f>VLOOKUP(C29,'Sales Master'!$B$3:$E$3247,4,0)</f>
        <v>Star</v>
      </c>
      <c r="J29" s="482"/>
      <c r="K29" s="98">
        <f>VLOOKUP(C29,'Sales Master'!B$3:AC$499,28,0)</f>
        <v>16.5</v>
      </c>
      <c r="L29" s="99">
        <f t="shared" si="6"/>
        <v>16.5</v>
      </c>
      <c r="M29" s="78"/>
      <c r="N29" s="225">
        <f>VLOOKUP(C29,'Sales Master'!$B$3:$DA$3038,104,0)</f>
        <v>10.5</v>
      </c>
      <c r="O29" s="225">
        <f t="shared" si="7"/>
        <v>6</v>
      </c>
      <c r="P29" s="225">
        <f t="shared" si="8"/>
        <v>6</v>
      </c>
    </row>
    <row r="30" spans="2:20" ht="20.149999999999999" customHeight="1" x14ac:dyDescent="0.45">
      <c r="B30" s="34"/>
      <c r="C30" s="22" t="s">
        <v>1776</v>
      </c>
      <c r="D30" s="480" t="str">
        <f>VLOOKUP(C30,'Sales Master'!B$3:D$499,2,)</f>
        <v>Coconut Sugar椰糖</v>
      </c>
      <c r="E30" s="480"/>
      <c r="F30" s="480"/>
      <c r="G30" s="22">
        <v>2</v>
      </c>
      <c r="H30" s="102" t="str">
        <f>VLOOKUP(C30,'Sales Master'!$B$3:$F$3179,5,0)</f>
        <v>10kgs/ctn</v>
      </c>
      <c r="I30" s="482" t="str">
        <f>VLOOKUP(C30,'Sales Master'!$B$3:$E$3247,4,0)</f>
        <v>2P</v>
      </c>
      <c r="J30" s="482"/>
      <c r="K30" s="98">
        <f>VLOOKUP(C30,'Sales Master'!B$3:AC$499,28,0)</f>
        <v>36</v>
      </c>
      <c r="L30" s="99">
        <f t="shared" si="6"/>
        <v>72</v>
      </c>
      <c r="M30" s="78"/>
      <c r="N30" s="225">
        <f>VLOOKUP(C30,'Sales Master'!$B$3:$DA$3038,104,0)</f>
        <v>31</v>
      </c>
      <c r="O30" s="225">
        <f t="shared" si="7"/>
        <v>5</v>
      </c>
      <c r="P30" s="225">
        <f t="shared" si="8"/>
        <v>10</v>
      </c>
    </row>
    <row r="31" spans="2:20" x14ac:dyDescent="0.45">
      <c r="B31" s="34"/>
      <c r="C31" s="22" t="s">
        <v>1737</v>
      </c>
      <c r="D31" s="480" t="str">
        <f>VLOOKUP(C31,'Sales Master'!B$3:D$499,2,)</f>
        <v>Coconut Milk 椰浆</v>
      </c>
      <c r="E31" s="480"/>
      <c r="F31" s="480"/>
      <c r="G31" s="401">
        <v>3</v>
      </c>
      <c r="H31" s="102" t="str">
        <f>VLOOKUP(C31,'Sales Master'!$B$3:$F$3179,5,0)</f>
        <v>(200gm x 30bag)/箱</v>
      </c>
      <c r="I31" s="482" t="str">
        <f>VLOOKUP(C31,'Sales Master'!$B$3:$E$3247,4,0)</f>
        <v>Kara UHT</v>
      </c>
      <c r="J31" s="482"/>
      <c r="K31" s="98">
        <f>VLOOKUP(C31,'Sales Master'!B$3:AC$499,28,0)</f>
        <v>22</v>
      </c>
      <c r="L31" s="99">
        <f t="shared" si="6"/>
        <v>66</v>
      </c>
      <c r="M31" s="78"/>
      <c r="N31" s="225">
        <f>VLOOKUP(C31,'Sales Master'!$B$3:$DA$3038,104,0)</f>
        <v>20</v>
      </c>
      <c r="O31" s="225">
        <f t="shared" si="7"/>
        <v>2</v>
      </c>
      <c r="P31" s="225">
        <f t="shared" si="8"/>
        <v>6</v>
      </c>
    </row>
    <row r="32" spans="2:20" ht="20.149999999999999" customHeight="1" x14ac:dyDescent="0.45">
      <c r="B32" s="34"/>
      <c r="C32" s="22" t="s">
        <v>1792</v>
      </c>
      <c r="D32" s="480" t="str">
        <f>VLOOKUP(C32,'Sales Master'!B$3:D$499,2,)</f>
        <v>Yam 芋头</v>
      </c>
      <c r="E32" s="480"/>
      <c r="F32" s="480"/>
      <c r="G32" s="401">
        <v>3</v>
      </c>
      <c r="H32" s="102" t="str">
        <f>VLOOKUP(C32,'Sales Master'!$B$3:$F$3179,5,0)</f>
        <v>1 KG</v>
      </c>
      <c r="I32" s="482" t="str">
        <f>VLOOKUP(C32,'Sales Master'!$B$3:$E$3247,4,0)</f>
        <v>Malaysia</v>
      </c>
      <c r="J32" s="482"/>
      <c r="K32" s="98">
        <f>VLOOKUP(C32,'Sales Master'!B$3:AC$499,28,0)</f>
        <v>3</v>
      </c>
      <c r="L32" s="99">
        <f t="shared" si="6"/>
        <v>9</v>
      </c>
      <c r="M32" s="78"/>
      <c r="N32" s="225">
        <f>VLOOKUP(C32,'Sales Master'!$B$3:$DA$3038,104,0)</f>
        <v>1.8</v>
      </c>
      <c r="O32" s="225">
        <f t="shared" si="7"/>
        <v>1.2</v>
      </c>
      <c r="P32" s="225">
        <f t="shared" si="8"/>
        <v>3.5999999999999996</v>
      </c>
    </row>
    <row r="33" spans="2:16" ht="20.149999999999999" customHeight="1" x14ac:dyDescent="0.45">
      <c r="B33" s="34"/>
      <c r="C33" s="22"/>
      <c r="D33" s="480"/>
      <c r="E33" s="480"/>
      <c r="F33" s="480"/>
      <c r="G33" s="90"/>
      <c r="H33" s="102"/>
      <c r="I33" s="482"/>
      <c r="J33" s="482"/>
      <c r="K33" s="98"/>
      <c r="L33" s="99"/>
      <c r="M33" s="78"/>
      <c r="N33" s="225"/>
      <c r="O33" s="225"/>
      <c r="P33" s="225"/>
    </row>
    <row r="34" spans="2:16" ht="20.149999999999999" customHeight="1" x14ac:dyDescent="0.45">
      <c r="B34" s="34"/>
      <c r="C34" s="22"/>
      <c r="D34" s="230"/>
      <c r="E34" s="230"/>
      <c r="F34" s="230"/>
      <c r="G34" s="90"/>
      <c r="H34" s="102"/>
      <c r="I34" s="438"/>
      <c r="J34" s="438"/>
      <c r="K34" s="98"/>
      <c r="L34" s="99"/>
      <c r="M34" s="78"/>
      <c r="N34" s="225"/>
      <c r="O34" s="225"/>
      <c r="P34" s="225"/>
    </row>
    <row r="35" spans="2:16" ht="20.149999999999999" customHeight="1" thickBot="1" x14ac:dyDescent="0.5">
      <c r="B35" s="37"/>
      <c r="C35" s="38"/>
      <c r="D35" s="509"/>
      <c r="E35" s="509"/>
      <c r="F35" s="509"/>
      <c r="G35" s="38"/>
      <c r="H35" s="69"/>
      <c r="I35" s="451"/>
      <c r="J35" s="451"/>
      <c r="K35" s="39"/>
      <c r="L35" s="40"/>
    </row>
    <row r="36" spans="2:16" ht="20.149999999999999" customHeight="1" thickBot="1" x14ac:dyDescent="0.5">
      <c r="B36" s="41"/>
      <c r="L36" s="42"/>
    </row>
    <row r="37" spans="2:16" ht="20.149999999999999" customHeight="1" x14ac:dyDescent="0.45">
      <c r="B37" s="11" t="s">
        <v>18</v>
      </c>
      <c r="C37" s="7"/>
      <c r="D37" s="7"/>
      <c r="E37" s="7"/>
      <c r="F37" s="7"/>
      <c r="G37" s="7"/>
      <c r="H37" s="7"/>
      <c r="I37" s="7"/>
      <c r="J37" s="510" t="s">
        <v>15</v>
      </c>
      <c r="K37" s="511"/>
      <c r="L37" s="43">
        <f>SUM(L17:L33)</f>
        <v>640.5</v>
      </c>
      <c r="M37" s="76">
        <f>SUM(P18:P35)</f>
        <v>171.57999999999998</v>
      </c>
      <c r="N37" s="201">
        <f>M37/L37</f>
        <v>0.26788446526151444</v>
      </c>
    </row>
    <row r="38" spans="2:16" ht="20.149999999999999" customHeight="1" x14ac:dyDescent="0.45">
      <c r="B38" s="11" t="s">
        <v>19</v>
      </c>
      <c r="C38" s="7"/>
      <c r="D38" s="7"/>
      <c r="E38" s="7"/>
      <c r="F38" s="7"/>
      <c r="G38" s="7"/>
      <c r="H38" s="7"/>
      <c r="I38" s="7"/>
      <c r="J38" s="44" t="s">
        <v>22</v>
      </c>
      <c r="K38" s="45"/>
      <c r="L38" s="46">
        <f>L37*K38</f>
        <v>0</v>
      </c>
    </row>
    <row r="39" spans="2:16" ht="20.149999999999999" customHeight="1" x14ac:dyDescent="0.45">
      <c r="B39" s="11" t="s">
        <v>20</v>
      </c>
      <c r="C39" s="7"/>
      <c r="D39" s="7"/>
      <c r="E39" s="7"/>
      <c r="F39" s="7"/>
      <c r="G39" s="7"/>
      <c r="H39" s="7"/>
      <c r="I39" s="7"/>
      <c r="J39" s="486" t="s">
        <v>21</v>
      </c>
      <c r="K39" s="487"/>
      <c r="L39" s="46">
        <f>L37-L38</f>
        <v>640.5</v>
      </c>
    </row>
    <row r="40" spans="2:16" ht="20.149999999999999" customHeight="1" x14ac:dyDescent="0.45">
      <c r="B40" s="11" t="s">
        <v>24</v>
      </c>
      <c r="C40" s="7"/>
      <c r="D40" s="7"/>
      <c r="E40" s="7"/>
      <c r="F40" s="7"/>
      <c r="G40" s="7"/>
      <c r="H40" s="7"/>
      <c r="I40" s="7"/>
      <c r="J40" s="150" t="s">
        <v>17</v>
      </c>
      <c r="K40" s="151">
        <v>7.0000000000000007E-2</v>
      </c>
      <c r="L40" s="47">
        <f>L39*K40</f>
        <v>44.835000000000001</v>
      </c>
    </row>
    <row r="41" spans="2:16" ht="20.149999999999999" customHeight="1" thickBot="1" x14ac:dyDescent="0.5">
      <c r="B41" s="11" t="s">
        <v>25</v>
      </c>
      <c r="C41" s="7"/>
      <c r="D41" s="7"/>
      <c r="E41" s="7"/>
      <c r="F41" s="7"/>
      <c r="G41" s="7"/>
      <c r="H41" s="7"/>
      <c r="I41" s="7"/>
      <c r="J41" s="488" t="s">
        <v>23</v>
      </c>
      <c r="K41" s="489"/>
      <c r="L41" s="48">
        <f>L39+L40</f>
        <v>685.33500000000004</v>
      </c>
    </row>
    <row r="42" spans="2:16" ht="20.149999999999999" customHeight="1" x14ac:dyDescent="0.45">
      <c r="B42" s="11" t="s">
        <v>26</v>
      </c>
      <c r="C42" s="7"/>
      <c r="D42" s="7"/>
      <c r="E42" s="7"/>
      <c r="F42" s="7"/>
      <c r="G42" s="7"/>
      <c r="H42" s="7"/>
      <c r="I42" s="7"/>
      <c r="L42" s="42"/>
    </row>
    <row r="43" spans="2:16" ht="20.149999999999999" customHeight="1" x14ac:dyDescent="0.45">
      <c r="B43" s="41"/>
      <c r="L43" s="42"/>
    </row>
    <row r="44" spans="2:16" ht="20.149999999999999" customHeight="1" x14ac:dyDescent="0.45">
      <c r="B44" s="41"/>
      <c r="L44" s="42"/>
    </row>
    <row r="45" spans="2:16" ht="20.149999999999999" customHeight="1" x14ac:dyDescent="0.45">
      <c r="B45" s="41"/>
      <c r="L45" s="42"/>
    </row>
    <row r="46" spans="2:16" ht="20.149999999999999" customHeight="1" x14ac:dyDescent="0.45">
      <c r="B46" s="49"/>
      <c r="C46" s="50"/>
      <c r="D46" s="50"/>
      <c r="J46" s="50"/>
      <c r="K46" s="50"/>
      <c r="L46" s="51"/>
    </row>
    <row r="47" spans="2:16" ht="20.149999999999999" customHeight="1" x14ac:dyDescent="0.45">
      <c r="B47" s="41" t="s">
        <v>27</v>
      </c>
      <c r="J47" s="24" t="s">
        <v>28</v>
      </c>
      <c r="L47" s="42"/>
    </row>
    <row r="48" spans="2:16" ht="19" thickBot="1" x14ac:dyDescent="0.5">
      <c r="B48" s="52"/>
      <c r="C48" s="53"/>
      <c r="D48" s="53"/>
      <c r="E48" s="53"/>
      <c r="F48" s="53"/>
      <c r="G48" s="53"/>
      <c r="H48" s="53"/>
      <c r="I48" s="53"/>
      <c r="J48" s="53"/>
      <c r="K48" s="53"/>
      <c r="L48" s="54"/>
    </row>
  </sheetData>
  <mergeCells count="52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33:F33"/>
    <mergeCell ref="I33:J33"/>
    <mergeCell ref="D22:F22"/>
    <mergeCell ref="I22:J22"/>
    <mergeCell ref="D23:F23"/>
    <mergeCell ref="I23:J23"/>
    <mergeCell ref="I30:J30"/>
    <mergeCell ref="D29:F29"/>
    <mergeCell ref="I28:J28"/>
    <mergeCell ref="I26:J26"/>
    <mergeCell ref="I27:J27"/>
    <mergeCell ref="I25:J25"/>
    <mergeCell ref="D30:F30"/>
    <mergeCell ref="J41:K41"/>
    <mergeCell ref="D24:F24"/>
    <mergeCell ref="D25:F25"/>
    <mergeCell ref="D26:F26"/>
    <mergeCell ref="D27:F27"/>
    <mergeCell ref="D28:F28"/>
    <mergeCell ref="D35:F35"/>
    <mergeCell ref="I35:J35"/>
    <mergeCell ref="J37:K37"/>
    <mergeCell ref="J39:K39"/>
    <mergeCell ref="D32:F32"/>
    <mergeCell ref="I32:J32"/>
    <mergeCell ref="I29:J29"/>
    <mergeCell ref="I24:J24"/>
    <mergeCell ref="D31:F31"/>
    <mergeCell ref="I31:J31"/>
  </mergeCells>
  <conditionalFormatting sqref="C32">
    <cfRule type="duplicateValues" dxfId="39" priority="1"/>
  </conditionalFormatting>
  <conditionalFormatting sqref="C31:C32">
    <cfRule type="duplicateValues" dxfId="38" priority="2"/>
  </conditionalFormatting>
  <pageMargins left="0.70866141732283472" right="0.51181102362204722" top="0.51181102362204722" bottom="0.51181102362204722" header="0.31496062992125984" footer="0.31496062992125984"/>
  <pageSetup paperSize="9" scale="74" orientation="portrait" horizontalDpi="300" verticalDpi="300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B3755-9584-489E-852E-11C2AA00E857}">
  <sheetPr codeName="Sheet146">
    <tabColor rgb="FF92D050"/>
    <pageSetUpPr fitToPage="1"/>
  </sheetPr>
  <dimension ref="B1:T44"/>
  <sheetViews>
    <sheetView topLeftCell="A23" workbookViewId="0">
      <selection activeCell="D26" sqref="D26:F26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6.54296875" style="24" customWidth="1"/>
    <col min="7" max="7" width="8.54296875" style="24" customWidth="1"/>
    <col min="8" max="8" width="15.54296875" style="24" customWidth="1"/>
    <col min="9" max="9" width="2.54296875" style="24" customWidth="1"/>
    <col min="10" max="10" width="15.54296875" style="24" customWidth="1"/>
    <col min="11" max="11" width="10.54296875" style="24" customWidth="1"/>
    <col min="12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191"/>
      <c r="C9" s="191"/>
      <c r="D9" s="191"/>
      <c r="E9" s="191"/>
      <c r="F9" s="191"/>
      <c r="G9" s="191"/>
      <c r="H9" s="191"/>
      <c r="I9" s="191"/>
      <c r="J9" s="191"/>
      <c r="K9" s="191"/>
      <c r="L9" s="191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160</v>
      </c>
      <c r="J10" s="29" t="s">
        <v>29</v>
      </c>
      <c r="K10" s="452">
        <v>202209465</v>
      </c>
      <c r="L10" s="453"/>
    </row>
    <row r="11" spans="2:12" ht="20.149999999999999" customHeight="1" x14ac:dyDescent="0.45">
      <c r="B11" s="454" t="s">
        <v>248</v>
      </c>
      <c r="C11" s="455"/>
      <c r="D11" s="456"/>
      <c r="E11" s="30"/>
      <c r="F11" s="457" t="str">
        <f>VLOOKUP(H10,'Delivery Location'!A$4:N$416,2,0)</f>
        <v>甜甜                                                            Blk 28  Jalan Klinik  #09-43 Singapore  160028</v>
      </c>
      <c r="G11" s="458"/>
      <c r="H11" s="459"/>
      <c r="J11" s="31" t="s">
        <v>11</v>
      </c>
      <c r="K11" s="466">
        <v>44833</v>
      </c>
      <c r="L11" s="467"/>
    </row>
    <row r="12" spans="2:12" ht="20.149999999999999" customHeight="1" x14ac:dyDescent="0.45">
      <c r="B12" s="468" t="s">
        <v>550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533</v>
      </c>
      <c r="L12" s="472"/>
    </row>
    <row r="13" spans="2:12" ht="20.149999999999999" customHeight="1" x14ac:dyDescent="0.45">
      <c r="B13" s="468" t="s">
        <v>551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14</v>
      </c>
      <c r="L13" s="472"/>
    </row>
    <row r="14" spans="2:12" ht="20.149999999999999" customHeight="1" x14ac:dyDescent="0.45">
      <c r="B14" s="468" t="s">
        <v>552</v>
      </c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552"/>
      <c r="C15" s="474"/>
      <c r="D15" s="475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  <c r="L16" s="24" t="s">
        <v>720</v>
      </c>
    </row>
    <row r="17" spans="2:20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20" ht="20.149999999999999" customHeight="1" x14ac:dyDescent="0.45">
      <c r="B18" s="34"/>
      <c r="C18" s="22" t="s">
        <v>1789</v>
      </c>
      <c r="D18" s="480" t="str">
        <f>VLOOKUP(C18,'Sales Master'!B$3:D$499,2,)</f>
        <v>Sweet Potato 番薯</v>
      </c>
      <c r="E18" s="480"/>
      <c r="F18" s="480"/>
      <c r="G18" s="90">
        <v>50</v>
      </c>
      <c r="H18" s="102" t="str">
        <f>VLOOKUP(C18,'Sales Master'!$B$3:$F$3247,5,0)</f>
        <v>1 KG</v>
      </c>
      <c r="I18" s="482" t="str">
        <f>VLOOKUP(C18,'Sales Master'!$B$3:$E$3247,4,0)</f>
        <v>Malaysia</v>
      </c>
      <c r="J18" s="482"/>
      <c r="K18" s="94">
        <f>VLOOKUP(C18,'Sales Master'!B$3:AC$499,28,0)</f>
        <v>2.5</v>
      </c>
      <c r="L18" s="77">
        <f t="shared" ref="L18" si="0">K18*G18</f>
        <v>125</v>
      </c>
      <c r="M18" s="78"/>
      <c r="N18" s="225">
        <f>VLOOKUP(C18,'Sales Master'!$B$3:$DA$3038,104,0)</f>
        <v>1.8666666666666665</v>
      </c>
      <c r="O18" s="225">
        <f t="shared" ref="O18" si="1">K18-N18</f>
        <v>0.63333333333333353</v>
      </c>
      <c r="P18" s="225">
        <f t="shared" ref="P18" si="2">O18*G18</f>
        <v>31.666666666666675</v>
      </c>
    </row>
    <row r="19" spans="2:20" ht="20.149999999999999" customHeight="1" x14ac:dyDescent="0.45">
      <c r="B19" s="34"/>
      <c r="C19" s="22" t="s">
        <v>1593</v>
      </c>
      <c r="D19" s="480" t="str">
        <f>VLOOKUP(C19,'Sales Master'!B$3:D$499,2,)</f>
        <v>Split Green Mung Bean豆畔</v>
      </c>
      <c r="E19" s="480"/>
      <c r="F19" s="480"/>
      <c r="G19" s="90">
        <v>2</v>
      </c>
      <c r="H19" s="102" t="str">
        <f>VLOOKUP(C19,'Sales Master'!$B$3:$F$3247,5,0)</f>
        <v>5 KG</v>
      </c>
      <c r="I19" s="482" t="str">
        <f>VLOOKUP(C19,'Sales Master'!$B$3:$E$3247,4,0)</f>
        <v>-</v>
      </c>
      <c r="J19" s="482"/>
      <c r="K19" s="94">
        <f>VLOOKUP(C19,'Sales Master'!B$3:AC$499,28,0)</f>
        <v>17</v>
      </c>
      <c r="L19" s="77">
        <f t="shared" ref="L19:L20" si="3">K19*G19</f>
        <v>34</v>
      </c>
      <c r="M19" s="78"/>
      <c r="N19" s="225">
        <f>VLOOKUP(C19,'Sales Master'!$B$3:$DA$3038,104,0)</f>
        <v>12.166666666666666</v>
      </c>
      <c r="O19" s="225">
        <f t="shared" ref="O19:O20" si="4">K19-N19</f>
        <v>4.8333333333333339</v>
      </c>
      <c r="P19" s="225">
        <f t="shared" ref="P19:P20" si="5">O19*G19</f>
        <v>9.6666666666666679</v>
      </c>
      <c r="R19" s="24">
        <v>2</v>
      </c>
      <c r="S19" s="24" t="s">
        <v>36</v>
      </c>
      <c r="T19" s="24" t="s">
        <v>54</v>
      </c>
    </row>
    <row r="20" spans="2:20" ht="20.149999999999999" customHeight="1" x14ac:dyDescent="0.45">
      <c r="B20" s="34"/>
      <c r="C20" s="22" t="s">
        <v>1630</v>
      </c>
      <c r="D20" s="480" t="str">
        <f>VLOOKUP(C20,'Sales Master'!B$3:D$499,2,)</f>
        <v>GingKo Nut白果粒</v>
      </c>
      <c r="E20" s="480"/>
      <c r="F20" s="480"/>
      <c r="G20" s="90">
        <v>2</v>
      </c>
      <c r="H20" s="102" t="str">
        <f>VLOOKUP(C20,'Sales Master'!$B$3:$F$3247,5,0)</f>
        <v>5 kgs</v>
      </c>
      <c r="I20" s="482" t="str">
        <f>VLOOKUP(C20,'Sales Master'!$B$3:$E$3247,4,0)</f>
        <v>-</v>
      </c>
      <c r="J20" s="482"/>
      <c r="K20" s="94">
        <f>VLOOKUP(C20,'Sales Master'!B$3:AC$499,28,0)</f>
        <v>19</v>
      </c>
      <c r="L20" s="77">
        <f t="shared" si="3"/>
        <v>38</v>
      </c>
      <c r="M20" s="78"/>
      <c r="N20" s="225">
        <f>VLOOKUP(C20,'Sales Master'!$B$3:$DA$3038,104,0)</f>
        <v>14.5</v>
      </c>
      <c r="O20" s="225">
        <f t="shared" si="4"/>
        <v>4.5</v>
      </c>
      <c r="P20" s="225">
        <f t="shared" si="5"/>
        <v>9</v>
      </c>
      <c r="R20" s="24">
        <v>3</v>
      </c>
      <c r="S20" s="24" t="s">
        <v>52</v>
      </c>
      <c r="T20" s="24" t="s">
        <v>66</v>
      </c>
    </row>
    <row r="21" spans="2:20" ht="20.149999999999999" customHeight="1" x14ac:dyDescent="0.45">
      <c r="B21" s="34"/>
      <c r="C21" s="22" t="s">
        <v>1633</v>
      </c>
      <c r="D21" s="480" t="str">
        <f>VLOOKUP(C21,'Sales Master'!B$3:D$499,2,)</f>
        <v>Pong Thai Hai (Dry) 碰大海</v>
      </c>
      <c r="E21" s="480"/>
      <c r="F21" s="480"/>
      <c r="G21" s="90">
        <v>5</v>
      </c>
      <c r="H21" s="102" t="str">
        <f>VLOOKUP(C21,'Sales Master'!$B$3:$F$3247,5,0)</f>
        <v>1 kg</v>
      </c>
      <c r="I21" s="482" t="str">
        <f>VLOOKUP(C21,'Sales Master'!$B$3:$E$3247,4,0)</f>
        <v>-</v>
      </c>
      <c r="J21" s="482"/>
      <c r="K21" s="94">
        <f>VLOOKUP(C21,'Sales Master'!B$3:AC$499,28,0)</f>
        <v>24</v>
      </c>
      <c r="L21" s="77">
        <f t="shared" ref="L21" si="6">K21*G21</f>
        <v>120</v>
      </c>
      <c r="M21" s="78"/>
      <c r="N21" s="225">
        <f>VLOOKUP(C21,'Sales Master'!$B$3:$DA$3038,104,0)</f>
        <v>18</v>
      </c>
      <c r="O21" s="225">
        <f t="shared" ref="O21" si="7">K21-N21</f>
        <v>6</v>
      </c>
      <c r="P21" s="225">
        <f t="shared" ref="P21" si="8">O21*G21</f>
        <v>30</v>
      </c>
      <c r="R21" s="24">
        <v>3</v>
      </c>
      <c r="S21" s="24" t="s">
        <v>615</v>
      </c>
      <c r="T21" s="24" t="s">
        <v>711</v>
      </c>
    </row>
    <row r="22" spans="2:20" ht="20.149999999999999" customHeight="1" x14ac:dyDescent="0.45">
      <c r="B22" s="34"/>
      <c r="C22" s="22" t="s">
        <v>2073</v>
      </c>
      <c r="D22" s="480" t="str">
        <f>VLOOKUP(C22,'Sales Master'!B$3:D$499,2,)</f>
        <v>Water Chestnut 马蹄 - Can</v>
      </c>
      <c r="E22" s="480"/>
      <c r="F22" s="480"/>
      <c r="G22" s="90">
        <v>3</v>
      </c>
      <c r="H22" s="102" t="str">
        <f>VLOOKUP(C22,'Sales Master'!$B$3:$F$3247,5,0)</f>
        <v>(567gm x 24)/箱</v>
      </c>
      <c r="I22" s="482" t="str">
        <f>VLOOKUP(C22,'Sales Master'!$B$3:$E$3247,4,0)</f>
        <v>GOLDEN CHAMP</v>
      </c>
      <c r="J22" s="482"/>
      <c r="K22" s="94">
        <f>VLOOKUP(C22,'Sales Master'!B$3:AC$499,28,0)</f>
        <v>34</v>
      </c>
      <c r="L22" s="77">
        <f t="shared" ref="L22" si="9">K22*G22</f>
        <v>102</v>
      </c>
      <c r="M22" s="78"/>
      <c r="N22" s="225">
        <f>VLOOKUP(C22,'Sales Master'!$B$3:$DA$3038,104,0)</f>
        <v>28</v>
      </c>
      <c r="O22" s="225">
        <f t="shared" ref="O22" si="10">K22-N22</f>
        <v>6</v>
      </c>
      <c r="P22" s="225">
        <f t="shared" ref="P22" si="11">O22*G22</f>
        <v>18</v>
      </c>
    </row>
    <row r="23" spans="2:20" ht="20.149999999999999" customHeight="1" x14ac:dyDescent="0.45">
      <c r="B23" s="34"/>
      <c r="C23" s="22" t="s">
        <v>1566</v>
      </c>
      <c r="D23" s="480" t="str">
        <f>VLOOKUP(C23,'Sales Master'!B$3:D$499,2,)</f>
        <v>Chin Chow  仙草</v>
      </c>
      <c r="E23" s="480"/>
      <c r="F23" s="480"/>
      <c r="G23" s="90">
        <v>1</v>
      </c>
      <c r="H23" s="102" t="str">
        <f>VLOOKUP(C23,'Sales Master'!$B$3:$F$3247,5,0)</f>
        <v>5KGS/PKT</v>
      </c>
      <c r="I23" s="482" t="str">
        <f>VLOOKUP(C23,'Sales Master'!$B$3:$E$3247,4,0)</f>
        <v>TSM</v>
      </c>
      <c r="J23" s="482"/>
      <c r="K23" s="94">
        <f>VLOOKUP(C23,'Sales Master'!B$3:AC$499,28,0)</f>
        <v>5</v>
      </c>
      <c r="L23" s="77">
        <f t="shared" ref="L23" si="12">K23*G23</f>
        <v>5</v>
      </c>
      <c r="M23" s="78"/>
      <c r="N23" s="225">
        <f>VLOOKUP(C23,'Sales Master'!$B$3:$DA$3038,104,0)</f>
        <v>4</v>
      </c>
      <c r="O23" s="225">
        <f t="shared" ref="O23" si="13">K23-N23</f>
        <v>1</v>
      </c>
      <c r="P23" s="225">
        <f t="shared" ref="P23" si="14">O23*G23</f>
        <v>1</v>
      </c>
    </row>
    <row r="24" spans="2:20" ht="20.149999999999999" customHeight="1" x14ac:dyDescent="0.45">
      <c r="B24" s="34"/>
      <c r="C24" s="230"/>
      <c r="G24" s="90"/>
      <c r="H24" s="68"/>
      <c r="I24" s="481"/>
      <c r="J24" s="481"/>
      <c r="K24" s="94"/>
      <c r="L24" s="77"/>
      <c r="M24" s="78"/>
    </row>
    <row r="25" spans="2:20" ht="20.149999999999999" customHeight="1" x14ac:dyDescent="0.45">
      <c r="B25" s="34"/>
      <c r="C25" s="568"/>
      <c r="D25" s="568"/>
      <c r="E25" s="568"/>
      <c r="F25" s="568"/>
      <c r="G25" s="568"/>
      <c r="H25" s="68"/>
      <c r="I25" s="481"/>
      <c r="J25" s="481"/>
      <c r="K25" s="98"/>
      <c r="L25" s="77"/>
      <c r="M25" s="78"/>
      <c r="N25" s="24" t="s">
        <v>720</v>
      </c>
    </row>
    <row r="26" spans="2:20" x14ac:dyDescent="0.45">
      <c r="B26" s="34"/>
      <c r="C26" s="22"/>
      <c r="D26" s="480"/>
      <c r="E26" s="480"/>
      <c r="F26" s="480"/>
      <c r="G26" s="90"/>
      <c r="H26" s="68"/>
      <c r="I26" s="481"/>
      <c r="J26" s="481"/>
      <c r="K26" s="98"/>
      <c r="L26" s="77"/>
      <c r="M26" s="78"/>
    </row>
    <row r="27" spans="2:20" ht="20.149999999999999" customHeight="1" x14ac:dyDescent="0.45">
      <c r="B27" s="34"/>
      <c r="C27" s="22"/>
      <c r="D27" s="508"/>
      <c r="E27" s="508"/>
      <c r="F27" s="508"/>
      <c r="G27" s="22"/>
      <c r="H27" s="68"/>
      <c r="I27" s="481"/>
      <c r="J27" s="481"/>
      <c r="K27" s="94"/>
      <c r="L27" s="77"/>
      <c r="M27" s="78"/>
    </row>
    <row r="28" spans="2:20" ht="20.149999999999999" customHeight="1" x14ac:dyDescent="0.45">
      <c r="B28" s="34"/>
      <c r="C28" s="22"/>
      <c r="D28" s="508"/>
      <c r="E28" s="508"/>
      <c r="F28" s="508"/>
      <c r="G28" s="22"/>
      <c r="H28" s="68"/>
      <c r="I28" s="481"/>
      <c r="J28" s="481"/>
      <c r="K28" s="94"/>
      <c r="L28" s="77"/>
      <c r="M28" s="78"/>
    </row>
    <row r="29" spans="2:20" ht="20.149999999999999" customHeight="1" x14ac:dyDescent="0.45">
      <c r="B29" s="34"/>
      <c r="C29" s="22"/>
      <c r="D29" s="508"/>
      <c r="E29" s="508"/>
      <c r="F29" s="508"/>
      <c r="G29" s="22"/>
      <c r="H29" s="68"/>
      <c r="I29" s="481"/>
      <c r="J29" s="481"/>
      <c r="K29" s="94"/>
      <c r="L29" s="77"/>
    </row>
    <row r="30" spans="2:20" ht="20.149999999999999" customHeight="1" thickBot="1" x14ac:dyDescent="0.5">
      <c r="B30" s="37"/>
      <c r="C30" s="38"/>
      <c r="D30" s="509"/>
      <c r="E30" s="509"/>
      <c r="F30" s="509"/>
      <c r="G30" s="38"/>
      <c r="H30" s="69"/>
      <c r="I30" s="451"/>
      <c r="J30" s="451"/>
      <c r="K30" s="39"/>
      <c r="L30" s="40"/>
    </row>
    <row r="31" spans="2:20" ht="20.149999999999999" customHeight="1" thickBot="1" x14ac:dyDescent="0.5">
      <c r="B31" s="41"/>
      <c r="L31" s="42"/>
    </row>
    <row r="32" spans="2:20" ht="20.149999999999999" customHeight="1" x14ac:dyDescent="0.45">
      <c r="B32" s="11" t="s">
        <v>18</v>
      </c>
      <c r="C32" s="7"/>
      <c r="D32" s="7"/>
      <c r="E32" s="7"/>
      <c r="F32" s="7"/>
      <c r="G32" s="7"/>
      <c r="H32" s="7"/>
      <c r="I32" s="7"/>
      <c r="J32" s="510" t="s">
        <v>15</v>
      </c>
      <c r="K32" s="511"/>
      <c r="L32" s="43">
        <f>SUM(L17:L29)</f>
        <v>424</v>
      </c>
      <c r="M32" s="76">
        <f>SUM(P18:P30)</f>
        <v>99.333333333333343</v>
      </c>
      <c r="N32" s="201">
        <f>M32/L32</f>
        <v>0.23427672955974846</v>
      </c>
    </row>
    <row r="33" spans="2:12" ht="20.149999999999999" customHeight="1" x14ac:dyDescent="0.45">
      <c r="B33" s="11" t="s">
        <v>19</v>
      </c>
      <c r="C33" s="7"/>
      <c r="D33" s="7"/>
      <c r="E33" s="7"/>
      <c r="F33" s="7"/>
      <c r="G33" s="7"/>
      <c r="H33" s="7"/>
      <c r="I33" s="7"/>
      <c r="J33" s="44" t="s">
        <v>22</v>
      </c>
      <c r="K33" s="45"/>
      <c r="L33" s="46">
        <f>L32*K33</f>
        <v>0</v>
      </c>
    </row>
    <row r="34" spans="2:12" ht="20.149999999999999" customHeight="1" x14ac:dyDescent="0.45">
      <c r="B34" s="11" t="s">
        <v>20</v>
      </c>
      <c r="C34" s="7"/>
      <c r="D34" s="7"/>
      <c r="E34" s="7"/>
      <c r="F34" s="7"/>
      <c r="G34" s="7"/>
      <c r="H34" s="7"/>
      <c r="I34" s="7"/>
      <c r="J34" s="486" t="s">
        <v>21</v>
      </c>
      <c r="K34" s="487"/>
      <c r="L34" s="46">
        <f>L32-L33</f>
        <v>424</v>
      </c>
    </row>
    <row r="35" spans="2:12" ht="20.149999999999999" customHeight="1" x14ac:dyDescent="0.45">
      <c r="B35" s="11" t="s">
        <v>24</v>
      </c>
      <c r="C35" s="7"/>
      <c r="D35" s="7"/>
      <c r="E35" s="7"/>
      <c r="F35" s="7"/>
      <c r="G35" s="7"/>
      <c r="H35" s="7"/>
      <c r="I35" s="7"/>
      <c r="J35" s="150" t="s">
        <v>17</v>
      </c>
      <c r="K35" s="151">
        <v>7.0000000000000007E-2</v>
      </c>
      <c r="L35" s="47">
        <f>L34*K35</f>
        <v>29.680000000000003</v>
      </c>
    </row>
    <row r="36" spans="2:12" ht="20.149999999999999" customHeight="1" thickBot="1" x14ac:dyDescent="0.5">
      <c r="B36" s="11" t="s">
        <v>25</v>
      </c>
      <c r="C36" s="7"/>
      <c r="D36" s="7"/>
      <c r="E36" s="7"/>
      <c r="F36" s="7"/>
      <c r="G36" s="7"/>
      <c r="H36" s="7"/>
      <c r="I36" s="7"/>
      <c r="J36" s="488" t="s">
        <v>23</v>
      </c>
      <c r="K36" s="489"/>
      <c r="L36" s="48">
        <f>L34+L35</f>
        <v>453.68</v>
      </c>
    </row>
    <row r="37" spans="2:12" ht="20.149999999999999" customHeight="1" x14ac:dyDescent="0.45">
      <c r="B37" s="11" t="s">
        <v>26</v>
      </c>
      <c r="C37" s="7"/>
      <c r="D37" s="7"/>
      <c r="E37" s="7"/>
      <c r="F37" s="7"/>
      <c r="G37" s="7"/>
      <c r="H37" s="7"/>
      <c r="I37" s="7"/>
      <c r="L37" s="42"/>
    </row>
    <row r="38" spans="2:12" ht="20.149999999999999" customHeight="1" x14ac:dyDescent="0.45">
      <c r="B38" s="41"/>
      <c r="L38" s="42"/>
    </row>
    <row r="39" spans="2:12" ht="20.149999999999999" customHeight="1" x14ac:dyDescent="0.45">
      <c r="B39" s="41"/>
      <c r="L39" s="42"/>
    </row>
    <row r="40" spans="2:12" ht="20.149999999999999" customHeight="1" x14ac:dyDescent="0.45">
      <c r="B40" s="41"/>
      <c r="L40" s="42"/>
    </row>
    <row r="41" spans="2:12" ht="20.149999999999999" customHeight="1" x14ac:dyDescent="0.45">
      <c r="B41" s="41"/>
      <c r="L41" s="42"/>
    </row>
    <row r="42" spans="2:12" ht="20.149999999999999" customHeight="1" x14ac:dyDescent="0.45">
      <c r="B42" s="49"/>
      <c r="C42" s="50"/>
      <c r="D42" s="50"/>
      <c r="J42" s="50"/>
      <c r="K42" s="50"/>
      <c r="L42" s="51"/>
    </row>
    <row r="43" spans="2:12" ht="20.149999999999999" customHeight="1" x14ac:dyDescent="0.45">
      <c r="B43" s="41" t="s">
        <v>27</v>
      </c>
      <c r="J43" s="24" t="s">
        <v>28</v>
      </c>
      <c r="L43" s="42"/>
    </row>
    <row r="44" spans="2:12" ht="19" thickBot="1" x14ac:dyDescent="0.5">
      <c r="B44" s="52"/>
      <c r="C44" s="53"/>
      <c r="D44" s="53"/>
      <c r="E44" s="53"/>
      <c r="F44" s="53"/>
      <c r="G44" s="53"/>
      <c r="H44" s="53"/>
      <c r="I44" s="53"/>
      <c r="J44" s="53"/>
      <c r="K44" s="53"/>
      <c r="L44" s="54"/>
    </row>
  </sheetData>
  <mergeCells count="43">
    <mergeCell ref="J36:K36"/>
    <mergeCell ref="D27:F27"/>
    <mergeCell ref="I27:J27"/>
    <mergeCell ref="D28:F28"/>
    <mergeCell ref="I28:J28"/>
    <mergeCell ref="D29:F29"/>
    <mergeCell ref="I29:J29"/>
    <mergeCell ref="D30:F30"/>
    <mergeCell ref="I30:J30"/>
    <mergeCell ref="J32:K32"/>
    <mergeCell ref="J34:K34"/>
    <mergeCell ref="D26:F26"/>
    <mergeCell ref="I26:J26"/>
    <mergeCell ref="I23:J23"/>
    <mergeCell ref="I20:J20"/>
    <mergeCell ref="I24:J24"/>
    <mergeCell ref="I25:J25"/>
    <mergeCell ref="C25:G25"/>
    <mergeCell ref="I22:J22"/>
    <mergeCell ref="D22:F22"/>
    <mergeCell ref="D23:F23"/>
    <mergeCell ref="D17:F17"/>
    <mergeCell ref="I17:J17"/>
    <mergeCell ref="I21:J21"/>
    <mergeCell ref="I19:J19"/>
    <mergeCell ref="D19:F19"/>
    <mergeCell ref="D18:F18"/>
    <mergeCell ref="I18:J18"/>
    <mergeCell ref="D20:F20"/>
    <mergeCell ref="D21:F21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51181102362204722" top="0.51181102362204722" bottom="0.51181102362204722" header="0.31496062992125984" footer="0.31496062992125984"/>
  <pageSetup paperSize="9" scale="75" orientation="portrait" horizontalDpi="300" verticalDpi="300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CFB338-E492-4F4E-AED3-CF49E77A8511}">
  <sheetPr codeName="Sheet120">
    <tabColor rgb="FF00B050"/>
    <pageSetUpPr fitToPage="1"/>
  </sheetPr>
  <dimension ref="B1:P43"/>
  <sheetViews>
    <sheetView topLeftCell="B1" workbookViewId="0">
      <selection activeCell="B1" sqref="B1:L43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6.54296875" style="24" customWidth="1"/>
    <col min="7" max="7" width="8.54296875" style="24" customWidth="1"/>
    <col min="8" max="8" width="12.54296875" style="24" customWidth="1"/>
    <col min="9" max="9" width="2.54296875" style="24" customWidth="1"/>
    <col min="10" max="10" width="15.54296875" style="24" customWidth="1"/>
    <col min="11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234</v>
      </c>
      <c r="J10" s="29" t="s">
        <v>29</v>
      </c>
      <c r="K10" s="452">
        <v>202208296</v>
      </c>
      <c r="L10" s="453"/>
    </row>
    <row r="11" spans="2:12" ht="20.149999999999999" customHeight="1" x14ac:dyDescent="0.45">
      <c r="B11" s="454" t="s">
        <v>583</v>
      </c>
      <c r="C11" s="455"/>
      <c r="D11" s="456"/>
      <c r="E11" s="30"/>
      <c r="F11" s="457" t="str">
        <f>VLOOKUP(H10,'Delivery Location'!A$4:N$416,2,0)</f>
        <v>S111 Pte Ltd                                              No 39, Greenwich Drive. #01-12  Blk 8, Tampines Logistics Hub  Singapore 533863.</v>
      </c>
      <c r="G11" s="458"/>
      <c r="H11" s="459"/>
      <c r="J11" s="31" t="s">
        <v>11</v>
      </c>
      <c r="K11" s="466">
        <v>44790</v>
      </c>
      <c r="L11" s="467"/>
    </row>
    <row r="12" spans="2:12" ht="20.149999999999999" customHeight="1" x14ac:dyDescent="0.45">
      <c r="B12" s="468" t="s">
        <v>584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533</v>
      </c>
      <c r="L12" s="472"/>
    </row>
    <row r="13" spans="2:12" ht="20.149999999999999" customHeight="1" x14ac:dyDescent="0.45">
      <c r="B13" s="468" t="s">
        <v>890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688</v>
      </c>
      <c r="L13" s="472"/>
    </row>
    <row r="14" spans="2:12" ht="20.149999999999999" customHeight="1" x14ac:dyDescent="0.45">
      <c r="B14" s="468" t="s">
        <v>891</v>
      </c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552" t="s">
        <v>585</v>
      </c>
      <c r="C15" s="474"/>
      <c r="D15" s="475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16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8" t="s">
        <v>60</v>
      </c>
      <c r="I17" s="478" t="s">
        <v>621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16" ht="20.149999999999999" customHeight="1" x14ac:dyDescent="0.45">
      <c r="B18" s="34"/>
      <c r="C18" s="22" t="s">
        <v>1460</v>
      </c>
      <c r="D18" s="508" t="str">
        <f>VLOOKUP(C18,'Sales Master'!B$3:D$499,2,)</f>
        <v>Coconut Sugar Syrup 椰糖浆</v>
      </c>
      <c r="E18" s="508"/>
      <c r="F18" s="508"/>
      <c r="G18" s="90">
        <v>1</v>
      </c>
      <c r="H18" s="68" t="str">
        <f>VLOOKUP(C18,'Sales Master'!$B$3:$E$590,4,0)</f>
        <v>DO!</v>
      </c>
      <c r="I18" s="481" t="str">
        <f>VLOOKUP(C18,'Sales Master'!$B$3:F$590,5,0)</f>
        <v>4L/BTL</v>
      </c>
      <c r="J18" s="481"/>
      <c r="K18" s="94">
        <f>VLOOKUP(C18,'Sales Master'!B$3:S$499,18,0)</f>
        <v>15</v>
      </c>
      <c r="L18" s="77">
        <f>K18*G18</f>
        <v>15</v>
      </c>
      <c r="M18" s="78"/>
      <c r="N18" s="225">
        <f>VLOOKUP(C18,'Sales Master'!$B$3:$DA$3038,104,0)</f>
        <v>9.27</v>
      </c>
      <c r="O18" s="225">
        <f>K18-N18</f>
        <v>5.73</v>
      </c>
      <c r="P18" s="225">
        <f>O18*G18</f>
        <v>5.73</v>
      </c>
    </row>
    <row r="19" spans="2:16" ht="20.149999999999999" customHeight="1" x14ac:dyDescent="0.45">
      <c r="B19" s="34"/>
      <c r="C19" s="22"/>
      <c r="D19" s="508"/>
      <c r="E19" s="508"/>
      <c r="F19" s="508"/>
      <c r="G19" s="90"/>
      <c r="H19" s="68"/>
      <c r="I19" s="481"/>
      <c r="J19" s="481"/>
      <c r="K19" s="94"/>
      <c r="L19" s="77"/>
      <c r="M19" s="78"/>
    </row>
    <row r="20" spans="2:16" ht="20.149999999999999" customHeight="1" x14ac:dyDescent="0.45">
      <c r="B20" s="34"/>
      <c r="C20" s="22"/>
      <c r="D20" s="508"/>
      <c r="E20" s="508"/>
      <c r="F20" s="508"/>
      <c r="G20" s="90"/>
      <c r="H20" s="68"/>
      <c r="I20" s="481"/>
      <c r="J20" s="481"/>
      <c r="K20" s="94"/>
      <c r="L20" s="77"/>
      <c r="M20" s="78"/>
    </row>
    <row r="21" spans="2:16" ht="20.149999999999999" customHeight="1" x14ac:dyDescent="0.45">
      <c r="B21" s="34"/>
      <c r="C21" s="22"/>
      <c r="D21" s="508"/>
      <c r="E21" s="508"/>
      <c r="F21" s="508"/>
      <c r="G21" s="90"/>
      <c r="H21" s="68"/>
      <c r="I21" s="481"/>
      <c r="J21" s="481"/>
      <c r="K21" s="94"/>
      <c r="L21" s="77"/>
      <c r="M21" s="78"/>
    </row>
    <row r="22" spans="2:16" ht="20.149999999999999" customHeight="1" x14ac:dyDescent="0.45">
      <c r="B22" s="34"/>
      <c r="C22" s="22"/>
      <c r="D22" s="508"/>
      <c r="E22" s="508"/>
      <c r="F22" s="508"/>
      <c r="G22" s="90"/>
      <c r="H22" s="68"/>
      <c r="I22" s="481"/>
      <c r="J22" s="481"/>
      <c r="K22" s="94"/>
      <c r="L22" s="77"/>
      <c r="M22" s="78"/>
    </row>
    <row r="23" spans="2:16" ht="20.149999999999999" customHeight="1" x14ac:dyDescent="0.45">
      <c r="B23" s="34"/>
      <c r="C23" s="22"/>
      <c r="D23" s="508"/>
      <c r="E23" s="508"/>
      <c r="F23" s="508"/>
      <c r="G23" s="90"/>
      <c r="H23" s="68"/>
      <c r="I23" s="481"/>
      <c r="J23" s="481"/>
      <c r="K23" s="94"/>
      <c r="L23" s="77"/>
      <c r="M23" s="78"/>
    </row>
    <row r="24" spans="2:16" ht="20.149999999999999" customHeight="1" x14ac:dyDescent="0.45">
      <c r="B24" s="34"/>
      <c r="C24" s="22"/>
      <c r="D24" s="508"/>
      <c r="E24" s="508"/>
      <c r="F24" s="508"/>
      <c r="G24" s="22"/>
      <c r="H24" s="68"/>
      <c r="I24" s="481"/>
      <c r="J24" s="481"/>
      <c r="K24" s="94"/>
      <c r="L24" s="77"/>
      <c r="M24" s="78"/>
    </row>
    <row r="25" spans="2:16" ht="20.149999999999999" customHeight="1" x14ac:dyDescent="0.45">
      <c r="B25" s="34"/>
      <c r="C25" s="22"/>
      <c r="D25" s="508"/>
      <c r="E25" s="508"/>
      <c r="F25" s="508"/>
      <c r="G25" s="22"/>
      <c r="H25" s="68"/>
      <c r="I25" s="481"/>
      <c r="J25" s="481"/>
      <c r="K25" s="94"/>
      <c r="L25" s="77"/>
      <c r="M25" s="78"/>
    </row>
    <row r="26" spans="2:16" ht="20.149999999999999" customHeight="1" x14ac:dyDescent="0.45">
      <c r="B26" s="34"/>
      <c r="C26" s="22"/>
      <c r="D26" s="508"/>
      <c r="E26" s="508"/>
      <c r="F26" s="508"/>
      <c r="G26" s="22"/>
      <c r="H26" s="68"/>
      <c r="I26" s="481"/>
      <c r="J26" s="481"/>
      <c r="K26" s="94"/>
      <c r="L26" s="77"/>
      <c r="M26" s="78"/>
    </row>
    <row r="27" spans="2:16" ht="20.149999999999999" customHeight="1" x14ac:dyDescent="0.45">
      <c r="B27" s="34"/>
      <c r="C27" s="22"/>
      <c r="D27" s="508"/>
      <c r="E27" s="508"/>
      <c r="F27" s="508"/>
      <c r="G27" s="22"/>
      <c r="H27" s="68"/>
      <c r="I27" s="481"/>
      <c r="J27" s="481"/>
      <c r="K27" s="94"/>
      <c r="L27" s="77"/>
      <c r="M27" s="78"/>
    </row>
    <row r="28" spans="2:16" ht="20.149999999999999" customHeight="1" x14ac:dyDescent="0.45">
      <c r="B28" s="34"/>
      <c r="C28" s="22"/>
      <c r="D28" s="508"/>
      <c r="E28" s="508"/>
      <c r="F28" s="508"/>
      <c r="G28" s="22"/>
      <c r="H28" s="68"/>
      <c r="I28" s="481"/>
      <c r="J28" s="481"/>
      <c r="K28" s="94"/>
      <c r="L28" s="77"/>
    </row>
    <row r="29" spans="2:16" ht="20.149999999999999" customHeight="1" thickBot="1" x14ac:dyDescent="0.5">
      <c r="B29" s="37"/>
      <c r="C29" s="38"/>
      <c r="D29" s="509"/>
      <c r="E29" s="509"/>
      <c r="F29" s="509"/>
      <c r="G29" s="38"/>
      <c r="H29" s="69"/>
      <c r="I29" s="451"/>
      <c r="J29" s="451"/>
      <c r="K29" s="39"/>
      <c r="L29" s="40"/>
    </row>
    <row r="30" spans="2:16" ht="20.149999999999999" customHeight="1" thickBot="1" x14ac:dyDescent="0.5">
      <c r="B30" s="41"/>
      <c r="L30" s="42"/>
    </row>
    <row r="31" spans="2:16" ht="20.149999999999999" customHeight="1" x14ac:dyDescent="0.45">
      <c r="B31" s="11" t="s">
        <v>18</v>
      </c>
      <c r="C31" s="7"/>
      <c r="D31" s="7"/>
      <c r="E31" s="7"/>
      <c r="F31" s="7"/>
      <c r="G31" s="7"/>
      <c r="H31" s="7"/>
      <c r="I31" s="7"/>
      <c r="J31" s="510" t="s">
        <v>15</v>
      </c>
      <c r="K31" s="511"/>
      <c r="L31" s="43">
        <f>SUM(L17:L28)</f>
        <v>15</v>
      </c>
      <c r="M31" s="76">
        <f>SUM(P18:P28)</f>
        <v>5.73</v>
      </c>
    </row>
    <row r="32" spans="2:16" ht="20.149999999999999" customHeight="1" x14ac:dyDescent="0.45">
      <c r="B32" s="11" t="s">
        <v>19</v>
      </c>
      <c r="C32" s="7"/>
      <c r="D32" s="7"/>
      <c r="E32" s="7"/>
      <c r="F32" s="7"/>
      <c r="G32" s="7"/>
      <c r="H32" s="7"/>
      <c r="I32" s="7"/>
      <c r="J32" s="44" t="s">
        <v>22</v>
      </c>
      <c r="K32" s="45"/>
      <c r="L32" s="46">
        <f>L31*K32</f>
        <v>0</v>
      </c>
    </row>
    <row r="33" spans="2:12" ht="20.149999999999999" customHeight="1" x14ac:dyDescent="0.45">
      <c r="B33" s="11" t="s">
        <v>20</v>
      </c>
      <c r="C33" s="7"/>
      <c r="D33" s="7"/>
      <c r="E33" s="7"/>
      <c r="F33" s="7"/>
      <c r="G33" s="7"/>
      <c r="H33" s="7"/>
      <c r="I33" s="7"/>
      <c r="J33" s="486" t="s">
        <v>21</v>
      </c>
      <c r="K33" s="487"/>
      <c r="L33" s="46">
        <f>L31-L32</f>
        <v>15</v>
      </c>
    </row>
    <row r="34" spans="2:12" ht="20.149999999999999" customHeight="1" x14ac:dyDescent="0.45">
      <c r="B34" s="11" t="s">
        <v>24</v>
      </c>
      <c r="C34" s="7"/>
      <c r="D34" s="7"/>
      <c r="E34" s="7"/>
      <c r="F34" s="7"/>
      <c r="G34" s="7"/>
      <c r="H34" s="7"/>
      <c r="I34" s="7"/>
      <c r="J34" s="150" t="s">
        <v>17</v>
      </c>
      <c r="K34" s="151">
        <v>7.0000000000000007E-2</v>
      </c>
      <c r="L34" s="47">
        <f>L33*K34</f>
        <v>1.05</v>
      </c>
    </row>
    <row r="35" spans="2:12" ht="20.149999999999999" customHeight="1" thickBot="1" x14ac:dyDescent="0.5">
      <c r="B35" s="11" t="s">
        <v>25</v>
      </c>
      <c r="C35" s="7"/>
      <c r="D35" s="7"/>
      <c r="E35" s="7"/>
      <c r="F35" s="7"/>
      <c r="G35" s="7"/>
      <c r="H35" s="7"/>
      <c r="I35" s="7"/>
      <c r="J35" s="488" t="s">
        <v>23</v>
      </c>
      <c r="K35" s="489"/>
      <c r="L35" s="48">
        <f>L33+L34</f>
        <v>16.05</v>
      </c>
    </row>
    <row r="36" spans="2:12" ht="20.149999999999999" customHeight="1" x14ac:dyDescent="0.45">
      <c r="B36" s="11" t="s">
        <v>26</v>
      </c>
      <c r="C36" s="7"/>
      <c r="D36" s="7"/>
      <c r="E36" s="7"/>
      <c r="F36" s="7"/>
      <c r="G36" s="7"/>
      <c r="H36" s="7"/>
      <c r="I36" s="7"/>
      <c r="L36" s="42"/>
    </row>
    <row r="37" spans="2:12" ht="20.149999999999999" customHeight="1" x14ac:dyDescent="0.45">
      <c r="B37" s="41"/>
      <c r="L37" s="42"/>
    </row>
    <row r="38" spans="2:12" ht="20.149999999999999" customHeight="1" x14ac:dyDescent="0.45">
      <c r="B38" s="41"/>
      <c r="L38" s="42"/>
    </row>
    <row r="39" spans="2:12" ht="20.149999999999999" customHeight="1" x14ac:dyDescent="0.45">
      <c r="B39" s="41"/>
      <c r="L39" s="42"/>
    </row>
    <row r="40" spans="2:12" ht="20.149999999999999" customHeight="1" x14ac:dyDescent="0.45">
      <c r="B40" s="41"/>
      <c r="L40" s="42"/>
    </row>
    <row r="41" spans="2:12" ht="20.149999999999999" customHeight="1" x14ac:dyDescent="0.45">
      <c r="B41" s="49"/>
      <c r="C41" s="50"/>
      <c r="D41" s="50"/>
      <c r="J41" s="50"/>
      <c r="K41" s="50"/>
      <c r="L41" s="51"/>
    </row>
    <row r="42" spans="2:12" ht="20.149999999999999" customHeight="1" x14ac:dyDescent="0.45">
      <c r="B42" s="41" t="s">
        <v>27</v>
      </c>
      <c r="J42" s="24" t="s">
        <v>28</v>
      </c>
      <c r="L42" s="42"/>
    </row>
    <row r="43" spans="2:12" ht="19" thickBot="1" x14ac:dyDescent="0.5">
      <c r="B43" s="52"/>
      <c r="C43" s="53"/>
      <c r="D43" s="53"/>
      <c r="E43" s="53"/>
      <c r="F43" s="53"/>
      <c r="G43" s="53"/>
      <c r="H43" s="53"/>
      <c r="I43" s="53"/>
      <c r="J43" s="53"/>
      <c r="K43" s="53"/>
      <c r="L43" s="54"/>
    </row>
  </sheetData>
  <mergeCells count="42">
    <mergeCell ref="D27:F27"/>
    <mergeCell ref="I27:J27"/>
    <mergeCell ref="J35:K35"/>
    <mergeCell ref="D28:F28"/>
    <mergeCell ref="I28:J28"/>
    <mergeCell ref="D29:F29"/>
    <mergeCell ref="I29:J29"/>
    <mergeCell ref="J31:K31"/>
    <mergeCell ref="J33:K33"/>
    <mergeCell ref="D25:F25"/>
    <mergeCell ref="I25:J25"/>
    <mergeCell ref="D26:F26"/>
    <mergeCell ref="I26:J26"/>
    <mergeCell ref="D23:F23"/>
    <mergeCell ref="I23:J23"/>
    <mergeCell ref="D24:F24"/>
    <mergeCell ref="I24:J24"/>
    <mergeCell ref="D20:F20"/>
    <mergeCell ref="I20:J20"/>
    <mergeCell ref="D21:F21"/>
    <mergeCell ref="I21:J21"/>
    <mergeCell ref="D22:F22"/>
    <mergeCell ref="I22:J22"/>
    <mergeCell ref="D17:F17"/>
    <mergeCell ref="I17:J17"/>
    <mergeCell ref="D18:F18"/>
    <mergeCell ref="I18:J18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8"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13C928-C8A7-438B-ADFA-83F65013FDAD}">
  <sheetPr>
    <tabColor theme="9" tint="0.39997558519241921"/>
    <pageSetUpPr fitToPage="1"/>
  </sheetPr>
  <dimension ref="B1:P44"/>
  <sheetViews>
    <sheetView topLeftCell="B21" workbookViewId="0">
      <selection activeCell="N21" sqref="N21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8.36328125" style="24" customWidth="1"/>
    <col min="7" max="7" width="8.54296875" style="24" customWidth="1"/>
    <col min="8" max="8" width="15.7265625" style="24" customWidth="1"/>
    <col min="9" max="9" width="0.7265625" style="24" customWidth="1"/>
    <col min="10" max="10" width="20.26953125" style="24" customWidth="1"/>
    <col min="11" max="11" width="10.54296875" style="24" customWidth="1"/>
    <col min="12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2381</v>
      </c>
      <c r="J10" s="29" t="s">
        <v>29</v>
      </c>
      <c r="K10" s="452">
        <v>202210040</v>
      </c>
      <c r="L10" s="453"/>
    </row>
    <row r="11" spans="2:12" ht="20.149999999999999" customHeight="1" x14ac:dyDescent="0.45">
      <c r="B11" s="454" t="s">
        <v>2302</v>
      </c>
      <c r="C11" s="455"/>
      <c r="D11" s="456"/>
      <c r="E11" s="30"/>
      <c r="F11" s="457" t="str">
        <f>VLOOKUP(H10,'Delivery Location'!A$4:N$416,2,0)</f>
        <v>R&amp;B Tea Singapore                                                      TOA PAYOH,                                                  470 TOA PAYOH LORONG 6                          SINGAPORE 310470</v>
      </c>
      <c r="G11" s="458"/>
      <c r="H11" s="459"/>
      <c r="J11" s="31" t="s">
        <v>11</v>
      </c>
      <c r="K11" s="466">
        <v>44837</v>
      </c>
      <c r="L11" s="467"/>
    </row>
    <row r="12" spans="2:12" ht="20.149999999999999" customHeight="1" x14ac:dyDescent="0.45">
      <c r="B12" s="468" t="s">
        <v>2303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533</v>
      </c>
      <c r="L12" s="472"/>
    </row>
    <row r="13" spans="2:12" ht="20.149999999999999" customHeight="1" x14ac:dyDescent="0.45">
      <c r="B13" s="468" t="s">
        <v>2024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14</v>
      </c>
      <c r="L13" s="472"/>
    </row>
    <row r="14" spans="2:12" ht="20.149999999999999" customHeight="1" x14ac:dyDescent="0.45">
      <c r="B14" s="468" t="s">
        <v>2025</v>
      </c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463" t="s">
        <v>2026</v>
      </c>
      <c r="C15" s="464"/>
      <c r="D15" s="465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16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16" ht="20.149999999999999" customHeight="1" x14ac:dyDescent="0.45">
      <c r="B18" s="34"/>
      <c r="C18" s="22" t="s">
        <v>2305</v>
      </c>
      <c r="D18" s="508" t="str">
        <f>VLOOKUP(C18,'Sales Master'!B$3:D$499,2,)</f>
        <v>Passion Fruit Puree 百香果浆</v>
      </c>
      <c r="E18" s="508"/>
      <c r="F18" s="508"/>
      <c r="G18" s="90">
        <v>2</v>
      </c>
      <c r="H18" s="389" t="str">
        <f>VLOOKUP(C18,'Sales Master'!$B$3:$F$3247,5,0)</f>
        <v>1 KG/BOX</v>
      </c>
      <c r="I18" s="482" t="str">
        <f>VLOOKUP(C18,'Sales Master'!$B$3:$E$3247,4,0)</f>
        <v>-</v>
      </c>
      <c r="J18" s="482"/>
      <c r="K18" s="35">
        <f>VLOOKUP(C18,'Sales Master'!B$3:AD$498,29,0)</f>
        <v>8.5</v>
      </c>
      <c r="L18" s="77">
        <f>K18*G18</f>
        <v>17</v>
      </c>
      <c r="M18" s="78"/>
      <c r="N18" s="225">
        <f>VLOOKUP(C18,'Sales Master'!$B$3:$DA$3038,104,0)</f>
        <v>4.4000000000000004</v>
      </c>
      <c r="O18" s="225">
        <f>K18-N18</f>
        <v>4.0999999999999996</v>
      </c>
      <c r="P18" s="225">
        <f>O18*G18</f>
        <v>8.1999999999999993</v>
      </c>
    </row>
    <row r="19" spans="2:16" ht="20.149999999999999" customHeight="1" x14ac:dyDescent="0.45">
      <c r="B19" s="34"/>
      <c r="C19" s="22" t="s">
        <v>1759</v>
      </c>
      <c r="D19" s="508" t="str">
        <f>VLOOKUP(C19,'Sales Master'!B$3:D$499,2,)</f>
        <v>Honey Longan syrup</v>
      </c>
      <c r="E19" s="508"/>
      <c r="F19" s="508"/>
      <c r="G19" s="90">
        <v>6</v>
      </c>
      <c r="H19" s="389" t="str">
        <f>VLOOKUP(C19,'Sales Master'!$B$3:$F$3247,5,0)</f>
        <v>3 kgs</v>
      </c>
      <c r="I19" s="482">
        <f>VLOOKUP(C19,'Sales Master'!$B$3:$E$3247,4,0)</f>
        <v>0</v>
      </c>
      <c r="J19" s="482"/>
      <c r="K19" s="35">
        <f>VLOOKUP(C19,'Sales Master'!B$3:AD$498,29,0)</f>
        <v>14.8</v>
      </c>
      <c r="L19" s="77">
        <f>K19*G19</f>
        <v>88.800000000000011</v>
      </c>
      <c r="M19" s="78"/>
      <c r="N19" s="225">
        <f>VLOOKUP(C19,'Sales Master'!$B$3:$DA$3038,104,0)</f>
        <v>12</v>
      </c>
      <c r="O19" s="225">
        <f>K19-N19</f>
        <v>2.8000000000000007</v>
      </c>
      <c r="P19" s="225">
        <f>O19*G19</f>
        <v>16.800000000000004</v>
      </c>
    </row>
    <row r="20" spans="2:16" ht="20.149999999999999" customHeight="1" x14ac:dyDescent="0.45">
      <c r="B20" s="34"/>
      <c r="C20" s="22"/>
      <c r="D20" s="508"/>
      <c r="E20" s="508"/>
      <c r="F20" s="508"/>
      <c r="G20" s="90"/>
      <c r="H20" s="68"/>
      <c r="I20" s="481"/>
      <c r="J20" s="481"/>
      <c r="K20" s="35"/>
      <c r="L20" s="77"/>
      <c r="M20" s="78"/>
      <c r="N20" s="225"/>
      <c r="O20" s="225"/>
      <c r="P20" s="225"/>
    </row>
    <row r="21" spans="2:16" ht="20.149999999999999" customHeight="1" x14ac:dyDescent="0.45">
      <c r="B21" s="34"/>
      <c r="C21" s="22"/>
      <c r="D21" s="508"/>
      <c r="E21" s="508"/>
      <c r="F21" s="508"/>
      <c r="G21" s="90"/>
      <c r="H21" s="68"/>
      <c r="I21" s="481"/>
      <c r="J21" s="481"/>
      <c r="K21" s="35"/>
      <c r="L21" s="77"/>
      <c r="M21" s="78"/>
      <c r="N21" s="225"/>
      <c r="O21" s="225"/>
      <c r="P21" s="225"/>
    </row>
    <row r="22" spans="2:16" ht="20.149999999999999" customHeight="1" x14ac:dyDescent="0.45">
      <c r="B22" s="34"/>
      <c r="C22" s="22"/>
      <c r="D22" s="508"/>
      <c r="E22" s="508"/>
      <c r="F22" s="508"/>
      <c r="G22" s="90"/>
      <c r="H22" s="68"/>
      <c r="I22" s="481"/>
      <c r="J22" s="481"/>
      <c r="K22" s="35"/>
      <c r="L22" s="77"/>
      <c r="M22" s="78"/>
      <c r="N22" s="225"/>
      <c r="O22" s="225"/>
      <c r="P22" s="225"/>
    </row>
    <row r="23" spans="2:16" ht="20.149999999999999" customHeight="1" x14ac:dyDescent="0.45">
      <c r="B23" s="34"/>
      <c r="C23" s="22"/>
      <c r="D23" s="508"/>
      <c r="E23" s="508"/>
      <c r="F23" s="508"/>
      <c r="G23" s="90"/>
      <c r="H23" s="68"/>
      <c r="I23" s="481"/>
      <c r="J23" s="481"/>
      <c r="K23" s="35"/>
      <c r="L23" s="77"/>
      <c r="M23" s="78"/>
      <c r="N23" s="225"/>
      <c r="O23" s="225"/>
      <c r="P23" s="225"/>
    </row>
    <row r="24" spans="2:16" ht="20.149999999999999" customHeight="1" x14ac:dyDescent="0.45">
      <c r="B24" s="34"/>
      <c r="C24" s="22"/>
      <c r="D24" s="508"/>
      <c r="E24" s="508"/>
      <c r="F24" s="508"/>
      <c r="G24" s="90"/>
      <c r="H24" s="68"/>
      <c r="I24" s="481"/>
      <c r="J24" s="481"/>
      <c r="K24" s="35"/>
      <c r="L24" s="77"/>
      <c r="M24" s="78"/>
      <c r="N24" s="225"/>
      <c r="O24" s="225"/>
      <c r="P24" s="225"/>
    </row>
    <row r="25" spans="2:16" ht="20.149999999999999" customHeight="1" x14ac:dyDescent="0.45">
      <c r="B25" s="34"/>
      <c r="C25" s="22"/>
      <c r="D25" s="508"/>
      <c r="E25" s="508"/>
      <c r="F25" s="508"/>
      <c r="G25" s="90"/>
      <c r="H25" s="68"/>
      <c r="I25" s="481"/>
      <c r="J25" s="481"/>
      <c r="K25" s="35"/>
      <c r="L25" s="77"/>
      <c r="M25" s="78"/>
      <c r="N25" s="225"/>
      <c r="O25" s="225"/>
      <c r="P25" s="225"/>
    </row>
    <row r="26" spans="2:16" ht="20.149999999999999" customHeight="1" x14ac:dyDescent="0.45">
      <c r="B26" s="34"/>
      <c r="C26" s="22"/>
      <c r="D26" s="508"/>
      <c r="E26" s="508"/>
      <c r="F26" s="508"/>
      <c r="G26" s="90"/>
      <c r="H26" s="68"/>
      <c r="I26" s="481"/>
      <c r="J26" s="481"/>
      <c r="K26" s="35"/>
      <c r="L26" s="77"/>
      <c r="M26" s="78"/>
      <c r="N26" s="225"/>
      <c r="O26" s="225"/>
      <c r="P26" s="225"/>
    </row>
    <row r="27" spans="2:16" ht="20.149999999999999" customHeight="1" x14ac:dyDescent="0.45">
      <c r="B27" s="34"/>
      <c r="C27" s="22"/>
      <c r="D27" s="508"/>
      <c r="E27" s="508"/>
      <c r="F27" s="508"/>
      <c r="G27" s="90"/>
      <c r="H27" s="68"/>
      <c r="I27" s="481"/>
      <c r="J27" s="481"/>
      <c r="K27" s="35"/>
      <c r="L27" s="77"/>
      <c r="M27" s="78"/>
      <c r="N27" s="225"/>
      <c r="O27" s="225"/>
      <c r="P27" s="225"/>
    </row>
    <row r="28" spans="2:16" ht="20.149999999999999" customHeight="1" x14ac:dyDescent="0.45">
      <c r="B28" s="34"/>
      <c r="C28" s="22"/>
      <c r="D28" s="508"/>
      <c r="E28" s="508"/>
      <c r="F28" s="508"/>
      <c r="G28" s="90"/>
      <c r="H28" s="346"/>
      <c r="I28" s="481"/>
      <c r="J28" s="481"/>
      <c r="K28" s="35"/>
      <c r="L28" s="77"/>
      <c r="M28" s="78"/>
      <c r="N28" s="225"/>
      <c r="O28" s="225"/>
      <c r="P28" s="225"/>
    </row>
    <row r="29" spans="2:16" ht="20.149999999999999" customHeight="1" x14ac:dyDescent="0.45">
      <c r="B29" s="34"/>
      <c r="C29" s="22"/>
      <c r="G29" s="90"/>
      <c r="H29" s="346"/>
      <c r="I29" s="68"/>
      <c r="J29" s="68"/>
      <c r="K29" s="35"/>
      <c r="L29" s="77"/>
      <c r="M29" s="78"/>
      <c r="N29" s="225"/>
      <c r="O29" s="225"/>
      <c r="P29" s="225"/>
    </row>
    <row r="30" spans="2:16" ht="20.149999999999999" customHeight="1" thickBot="1" x14ac:dyDescent="0.5">
      <c r="B30" s="37"/>
      <c r="C30" s="38"/>
      <c r="D30" s="509"/>
      <c r="E30" s="509"/>
      <c r="F30" s="509"/>
      <c r="G30" s="38"/>
      <c r="H30" s="69"/>
      <c r="I30" s="451"/>
      <c r="J30" s="451"/>
      <c r="K30" s="39"/>
      <c r="L30" s="40"/>
    </row>
    <row r="31" spans="2:16" ht="20.149999999999999" customHeight="1" thickBot="1" x14ac:dyDescent="0.5">
      <c r="B31" s="41"/>
      <c r="L31" s="42"/>
    </row>
    <row r="32" spans="2:16" ht="20.149999999999999" customHeight="1" x14ac:dyDescent="0.45">
      <c r="B32" s="11" t="s">
        <v>18</v>
      </c>
      <c r="C32" s="7"/>
      <c r="D32" s="7"/>
      <c r="E32" s="7"/>
      <c r="F32" s="7"/>
      <c r="G32" s="7"/>
      <c r="H32" s="7"/>
      <c r="I32" s="7"/>
      <c r="J32" s="510" t="s">
        <v>15</v>
      </c>
      <c r="K32" s="511"/>
      <c r="L32" s="43">
        <f>SUM(L14:L28)</f>
        <v>105.80000000000001</v>
      </c>
      <c r="M32" s="76">
        <f>SUM(P18:P28)</f>
        <v>25.000000000000004</v>
      </c>
      <c r="N32" s="201">
        <f>M32/L32</f>
        <v>0.23629489603024575</v>
      </c>
    </row>
    <row r="33" spans="2:12" ht="20.149999999999999" customHeight="1" x14ac:dyDescent="0.45">
      <c r="B33" s="11" t="s">
        <v>19</v>
      </c>
      <c r="C33" s="7"/>
      <c r="D33" s="7"/>
      <c r="E33" s="7"/>
      <c r="F33" s="7"/>
      <c r="G33" s="7"/>
      <c r="H33" s="7"/>
      <c r="I33" s="7"/>
      <c r="J33" s="44" t="s">
        <v>22</v>
      </c>
      <c r="K33" s="45"/>
      <c r="L33" s="46">
        <f>L32*K33</f>
        <v>0</v>
      </c>
    </row>
    <row r="34" spans="2:12" ht="20.149999999999999" customHeight="1" x14ac:dyDescent="0.45">
      <c r="B34" s="11" t="s">
        <v>20</v>
      </c>
      <c r="C34" s="7"/>
      <c r="D34" s="7"/>
      <c r="E34" s="7"/>
      <c r="F34" s="7"/>
      <c r="G34" s="7"/>
      <c r="H34" s="7"/>
      <c r="I34" s="7"/>
      <c r="J34" s="486" t="s">
        <v>21</v>
      </c>
      <c r="K34" s="487"/>
      <c r="L34" s="46">
        <f>L32-L33</f>
        <v>105.80000000000001</v>
      </c>
    </row>
    <row r="35" spans="2:12" ht="20.149999999999999" customHeight="1" x14ac:dyDescent="0.45">
      <c r="B35" s="11" t="s">
        <v>24</v>
      </c>
      <c r="C35" s="7"/>
      <c r="D35" s="7"/>
      <c r="E35" s="7"/>
      <c r="F35" s="7"/>
      <c r="G35" s="7"/>
      <c r="H35" s="7"/>
      <c r="I35" s="7"/>
      <c r="J35" s="150" t="s">
        <v>17</v>
      </c>
      <c r="K35" s="151">
        <v>7.0000000000000007E-2</v>
      </c>
      <c r="L35" s="47">
        <f>L34*K35</f>
        <v>7.4060000000000015</v>
      </c>
    </row>
    <row r="36" spans="2:12" ht="20.149999999999999" customHeight="1" thickBot="1" x14ac:dyDescent="0.5">
      <c r="B36" s="11" t="s">
        <v>25</v>
      </c>
      <c r="C36" s="7"/>
      <c r="D36" s="7"/>
      <c r="E36" s="7"/>
      <c r="F36" s="7"/>
      <c r="G36" s="7"/>
      <c r="H36" s="7"/>
      <c r="I36" s="7"/>
      <c r="J36" s="488" t="s">
        <v>23</v>
      </c>
      <c r="K36" s="489"/>
      <c r="L36" s="48">
        <f>L34+L35</f>
        <v>113.20600000000002</v>
      </c>
    </row>
    <row r="37" spans="2:12" ht="20.149999999999999" customHeight="1" x14ac:dyDescent="0.45">
      <c r="B37" s="11" t="s">
        <v>26</v>
      </c>
      <c r="C37" s="7"/>
      <c r="D37" s="7"/>
      <c r="E37" s="7"/>
      <c r="F37" s="7"/>
      <c r="G37" s="7"/>
      <c r="H37" s="7"/>
      <c r="I37" s="7"/>
      <c r="L37" s="42"/>
    </row>
    <row r="38" spans="2:12" ht="20.149999999999999" customHeight="1" x14ac:dyDescent="0.45">
      <c r="B38" s="41"/>
      <c r="L38" s="42"/>
    </row>
    <row r="39" spans="2:12" x14ac:dyDescent="0.45">
      <c r="B39" s="41"/>
      <c r="L39" s="42"/>
    </row>
    <row r="40" spans="2:12" ht="20.149999999999999" customHeight="1" x14ac:dyDescent="0.45">
      <c r="B40" s="41"/>
      <c r="L40" s="42"/>
    </row>
    <row r="41" spans="2:12" ht="20.149999999999999" customHeight="1" x14ac:dyDescent="0.45">
      <c r="B41" s="41"/>
      <c r="L41" s="42"/>
    </row>
    <row r="42" spans="2:12" x14ac:dyDescent="0.45">
      <c r="B42" s="49"/>
      <c r="C42" s="50"/>
      <c r="D42" s="50"/>
      <c r="J42" s="50"/>
      <c r="K42" s="50"/>
      <c r="L42" s="51"/>
    </row>
    <row r="43" spans="2:12" ht="20.149999999999999" customHeight="1" x14ac:dyDescent="0.45">
      <c r="B43" s="41" t="s">
        <v>27</v>
      </c>
      <c r="J43" s="24" t="s">
        <v>28</v>
      </c>
      <c r="L43" s="42"/>
    </row>
    <row r="44" spans="2:12" ht="19" thickBot="1" x14ac:dyDescent="0.5">
      <c r="B44" s="52"/>
      <c r="C44" s="53"/>
      <c r="D44" s="53"/>
      <c r="E44" s="53"/>
      <c r="F44" s="53"/>
      <c r="G44" s="53"/>
      <c r="H44" s="53"/>
      <c r="I44" s="53"/>
      <c r="J44" s="53"/>
      <c r="K44" s="53"/>
      <c r="L44" s="54"/>
    </row>
  </sheetData>
  <mergeCells count="42">
    <mergeCell ref="D30:F30"/>
    <mergeCell ref="I30:J30"/>
    <mergeCell ref="J32:K32"/>
    <mergeCell ref="J34:K34"/>
    <mergeCell ref="J36:K36"/>
    <mergeCell ref="D24:F24"/>
    <mergeCell ref="I24:J24"/>
    <mergeCell ref="D28:F28"/>
    <mergeCell ref="I28:J28"/>
    <mergeCell ref="D25:F25"/>
    <mergeCell ref="I25:J25"/>
    <mergeCell ref="D26:F26"/>
    <mergeCell ref="I26:J26"/>
    <mergeCell ref="D27:F27"/>
    <mergeCell ref="I27:J27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</mergeCells>
  <pageMargins left="0.70866141732283472" right="0.31496062992125984" top="0.59055118110236227" bottom="0" header="0.31496062992125984" footer="0.31496062992125984"/>
  <pageSetup paperSize="9" scale="74" orientation="portrait" horizontalDpi="300" verticalDpi="3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2D265B-FCF7-4604-BFEA-522A570070F9}">
  <sheetPr codeName="Sheet45">
    <tabColor rgb="FFFF0000"/>
    <pageSetUpPr fitToPage="1"/>
  </sheetPr>
  <dimension ref="B1:V48"/>
  <sheetViews>
    <sheetView topLeftCell="D10" workbookViewId="0">
      <selection activeCell="N34" sqref="N34"/>
    </sheetView>
  </sheetViews>
  <sheetFormatPr defaultColWidth="12.54296875" defaultRowHeight="18.5" x14ac:dyDescent="0.45"/>
  <cols>
    <col min="1" max="1" width="12.54296875" style="24"/>
    <col min="2" max="3" width="12.54296875" style="24" customWidth="1"/>
    <col min="4" max="4" width="13.81640625" style="24" customWidth="1"/>
    <col min="5" max="5" width="1.54296875" style="24" customWidth="1"/>
    <col min="6" max="6" width="18.81640625" style="24" customWidth="1"/>
    <col min="7" max="7" width="8.54296875" style="24" customWidth="1"/>
    <col min="8" max="8" width="16.81640625" style="24" customWidth="1"/>
    <col min="9" max="9" width="1.81640625" style="24" customWidth="1"/>
    <col min="10" max="10" width="13.1796875" style="24" customWidth="1"/>
    <col min="11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153</v>
      </c>
      <c r="J10" s="29" t="s">
        <v>29</v>
      </c>
      <c r="K10" s="452">
        <v>202108338</v>
      </c>
      <c r="L10" s="453"/>
    </row>
    <row r="11" spans="2:12" ht="20.149999999999999" customHeight="1" x14ac:dyDescent="0.45">
      <c r="B11" s="454" t="s">
        <v>1403</v>
      </c>
      <c r="C11" s="455"/>
      <c r="D11" s="456"/>
      <c r="E11" s="30"/>
      <c r="F11" s="457" t="str">
        <f>VLOOKUP(H10,'Delivery Location'!A$4:N$416,2,0)</f>
        <v>Drink &amp; Dessert Stall/                          United Square Stall #07.                                          101 Thomson Road United Square #b1-02/57/59  Singapore 307591</v>
      </c>
      <c r="G11" s="458"/>
      <c r="H11" s="459"/>
      <c r="J11" s="31" t="s">
        <v>11</v>
      </c>
      <c r="K11" s="551">
        <v>44432</v>
      </c>
      <c r="L11" s="472"/>
    </row>
    <row r="12" spans="2:12" ht="20.149999999999999" customHeight="1" x14ac:dyDescent="0.45">
      <c r="B12" s="468" t="s">
        <v>869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1945</v>
      </c>
      <c r="L12" s="472"/>
    </row>
    <row r="13" spans="2:12" ht="20.149999999999999" customHeight="1" x14ac:dyDescent="0.45">
      <c r="B13" s="468" t="s">
        <v>870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1166</v>
      </c>
      <c r="L13" s="472"/>
    </row>
    <row r="14" spans="2:12" ht="20.149999999999999" customHeight="1" x14ac:dyDescent="0.45">
      <c r="B14" s="468" t="s">
        <v>871</v>
      </c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473" t="s">
        <v>872</v>
      </c>
      <c r="C15" s="474"/>
      <c r="D15" s="475"/>
      <c r="E15" s="26"/>
      <c r="F15" s="463"/>
      <c r="G15" s="464"/>
      <c r="H15" s="465"/>
      <c r="J15" s="32" t="s">
        <v>13</v>
      </c>
      <c r="K15" s="182" t="s">
        <v>997</v>
      </c>
      <c r="L15" s="181"/>
    </row>
    <row r="16" spans="2:12" ht="19" thickBot="1" x14ac:dyDescent="0.5">
      <c r="J16" s="22"/>
    </row>
    <row r="17" spans="2:22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22" ht="20.149999999999999" customHeight="1" x14ac:dyDescent="0.45">
      <c r="B18" s="70" t="s">
        <v>69</v>
      </c>
      <c r="C18" s="22" t="str">
        <f>VLOOKUP(B18,'Sales Master'!A$3:B$581,2,0)</f>
        <v>P3002</v>
      </c>
      <c r="D18" s="24" t="str">
        <f>VLOOKUP(C18,'Sales Master'!B$3:D$499,2,)</f>
        <v>Chin Chow  仙草</v>
      </c>
      <c r="G18" s="90">
        <v>1</v>
      </c>
      <c r="H18" s="68" t="str">
        <f>VLOOKUP(C18,'Sales Master'!$B$3:$F$3179,5,0)</f>
        <v>5KGS/PKT</v>
      </c>
      <c r="I18" s="481" t="str">
        <f>VLOOKUP(C18,'Sales Master'!$B$3:$E$3179,4,0)</f>
        <v>TSM</v>
      </c>
      <c r="J18" s="481"/>
      <c r="K18" s="35">
        <f>VLOOKUP(C18,'Sales Master'!B$3:I$581,8,0)</f>
        <v>4.5</v>
      </c>
      <c r="L18" s="123">
        <f t="shared" ref="L18:L24" si="0">K18*G18</f>
        <v>4.5</v>
      </c>
      <c r="M18" s="78"/>
      <c r="N18" s="225">
        <f>VLOOKUP(C18,'Sales Master'!$B$3:$DA$3038,104,0)</f>
        <v>4</v>
      </c>
      <c r="O18" s="225">
        <f>K18-N18</f>
        <v>0.5</v>
      </c>
      <c r="P18" s="225">
        <f>O18*G18</f>
        <v>0.5</v>
      </c>
      <c r="R18" s="24">
        <v>1</v>
      </c>
      <c r="S18" s="24" t="s">
        <v>61</v>
      </c>
      <c r="T18" s="24" t="s">
        <v>529</v>
      </c>
      <c r="V18" s="24">
        <v>6.5</v>
      </c>
    </row>
    <row r="19" spans="2:22" ht="20.149999999999999" customHeight="1" x14ac:dyDescent="0.45">
      <c r="B19" s="70" t="s">
        <v>82</v>
      </c>
      <c r="C19" s="22" t="str">
        <f>VLOOKUP(B19,'Sales Master'!A$3:B$581,2,0)</f>
        <v>P3019A</v>
      </c>
      <c r="D19" s="24" t="str">
        <f>VLOOKUP(C19,'Sales Master'!B$3:D$499,2,)</f>
        <v>Dried Longan 龙眼干</v>
      </c>
      <c r="G19" s="90">
        <v>1</v>
      </c>
      <c r="H19" s="68" t="str">
        <f>VLOOKUP(C19,'Sales Master'!$B$3:$F$3179,5,0)</f>
        <v>1 kg</v>
      </c>
      <c r="I19" s="481" t="str">
        <f>VLOOKUP(C19,'Sales Master'!$B$3:$E$3179,4,0)</f>
        <v>TL</v>
      </c>
      <c r="J19" s="481"/>
      <c r="K19" s="35">
        <f>VLOOKUP(C19,'Sales Master'!B$3:I$581,8,0)</f>
        <v>12</v>
      </c>
      <c r="L19" s="77">
        <f t="shared" si="0"/>
        <v>12</v>
      </c>
      <c r="M19" s="78"/>
      <c r="N19" s="225">
        <f>VLOOKUP(C19,'Sales Master'!$B$3:$DA$3038,104,0)</f>
        <v>8.5</v>
      </c>
      <c r="O19" s="225">
        <f t="shared" ref="O19:O24" si="1">K19-N19</f>
        <v>3.5</v>
      </c>
      <c r="P19" s="225">
        <f t="shared" ref="P19:P24" si="2">O19*G19</f>
        <v>3.5</v>
      </c>
      <c r="R19" s="24">
        <v>2</v>
      </c>
      <c r="S19" s="24" t="s">
        <v>256</v>
      </c>
      <c r="T19" s="24" t="s">
        <v>34</v>
      </c>
      <c r="V19" s="24">
        <v>12</v>
      </c>
    </row>
    <row r="20" spans="2:22" ht="20.149999999999999" customHeight="1" x14ac:dyDescent="0.45">
      <c r="B20" s="70" t="s">
        <v>83</v>
      </c>
      <c r="C20" s="22" t="str">
        <f>VLOOKUP(B20,'Sales Master'!A$3:B$581,2,0)</f>
        <v>P3009A</v>
      </c>
      <c r="D20" s="24" t="str">
        <f>VLOOKUP(C20,'Sales Master'!B$3:D$499,2,)</f>
        <v>Green Bean 绿豆</v>
      </c>
      <c r="G20" s="90">
        <v>1</v>
      </c>
      <c r="H20" s="68" t="str">
        <f>VLOOKUP(C20,'Sales Master'!$B$3:$F$3179,5,0)</f>
        <v>5 kgs</v>
      </c>
      <c r="I20" s="481" t="str">
        <f>VLOOKUP(C20,'Sales Master'!$B$3:$E$3179,4,0)</f>
        <v>-</v>
      </c>
      <c r="J20" s="481"/>
      <c r="K20" s="35">
        <f>VLOOKUP(C20,'Sales Master'!B$3:I$581,8,0)</f>
        <v>14</v>
      </c>
      <c r="L20" s="77">
        <f t="shared" si="0"/>
        <v>14</v>
      </c>
      <c r="M20" s="78"/>
      <c r="N20" s="225">
        <f>VLOOKUP(C20,'Sales Master'!$B$3:$DA$3038,104,0)</f>
        <v>9.3999999999999986</v>
      </c>
      <c r="O20" s="225">
        <f t="shared" si="1"/>
        <v>4.6000000000000014</v>
      </c>
      <c r="P20" s="225">
        <f t="shared" si="2"/>
        <v>4.6000000000000014</v>
      </c>
      <c r="R20" s="24">
        <v>3</v>
      </c>
      <c r="S20" s="24" t="s">
        <v>36</v>
      </c>
      <c r="T20" s="24" t="s">
        <v>34</v>
      </c>
      <c r="V20" s="24">
        <v>1.5</v>
      </c>
    </row>
    <row r="21" spans="2:22" ht="20.149999999999999" customHeight="1" x14ac:dyDescent="0.45">
      <c r="B21" s="70" t="s">
        <v>70</v>
      </c>
      <c r="C21" s="22" t="str">
        <f>VLOOKUP(B21,'Sales Master'!A$3:B$581,2,0)</f>
        <v>M1014</v>
      </c>
      <c r="D21" s="24" t="str">
        <f>VLOOKUP(C21,'Sales Master'!B$3:D$499,2,)</f>
        <v>Chendol浆咯</v>
      </c>
      <c r="G21" s="90">
        <v>1</v>
      </c>
      <c r="H21" s="68" t="str">
        <f>VLOOKUP(C21,'Sales Master'!$B$3:$F$3179,5,0)</f>
        <v>NW(2.2:0.8) 3 KG/BAG</v>
      </c>
      <c r="I21" s="481" t="str">
        <f>VLOOKUP(C21,'Sales Master'!$B$3:$E$3179,4,0)</f>
        <v>DO!</v>
      </c>
      <c r="J21" s="481"/>
      <c r="K21" s="35">
        <f>VLOOKUP(C21,'Sales Master'!B$3:I$581,8,0)</f>
        <v>6.5</v>
      </c>
      <c r="L21" s="77">
        <f t="shared" si="0"/>
        <v>6.5</v>
      </c>
      <c r="M21" s="78"/>
      <c r="N21" s="225">
        <f>VLOOKUP(C21,'Sales Master'!$B$3:$DA$3038,104,0)</f>
        <v>1.85</v>
      </c>
      <c r="O21" s="225">
        <f t="shared" si="1"/>
        <v>4.6500000000000004</v>
      </c>
      <c r="P21" s="225">
        <f t="shared" si="2"/>
        <v>4.6500000000000004</v>
      </c>
    </row>
    <row r="22" spans="2:22" ht="20.149999999999999" customHeight="1" x14ac:dyDescent="0.45">
      <c r="B22" s="70" t="s">
        <v>74</v>
      </c>
      <c r="C22" s="22" t="str">
        <f>VLOOKUP(B22,'Sales Master'!A$3:B$581,2,0)</f>
        <v>P6007</v>
      </c>
      <c r="D22" s="24" t="str">
        <f>VLOOKUP(C22,'Sales Master'!B$3:D$499,2,)</f>
        <v>Pandan Leaf 班兰叶</v>
      </c>
      <c r="G22" s="90">
        <v>1</v>
      </c>
      <c r="H22" s="68" t="str">
        <f>VLOOKUP(C22,'Sales Master'!$B$3:$F$3179,5,0)</f>
        <v>1 kg</v>
      </c>
      <c r="I22" s="481" t="str">
        <f>VLOOKUP(C22,'Sales Master'!$B$3:$E$3179,4,0)</f>
        <v>-</v>
      </c>
      <c r="J22" s="481"/>
      <c r="K22" s="35">
        <f>VLOOKUP(C22,'Sales Master'!B$3:I$581,8,0)</f>
        <v>1.8</v>
      </c>
      <c r="L22" s="77">
        <f t="shared" si="0"/>
        <v>1.8</v>
      </c>
      <c r="M22" s="78"/>
      <c r="N22" s="225">
        <f>VLOOKUP(C22,'Sales Master'!$B$3:$DA$3038,104,0)</f>
        <v>1</v>
      </c>
      <c r="O22" s="225">
        <f t="shared" si="1"/>
        <v>0.8</v>
      </c>
      <c r="P22" s="225">
        <f t="shared" si="2"/>
        <v>0.8</v>
      </c>
      <c r="R22" s="24">
        <v>1</v>
      </c>
      <c r="S22" s="24" t="s">
        <v>48</v>
      </c>
      <c r="T22" s="24" t="s">
        <v>707</v>
      </c>
      <c r="V22" s="24">
        <v>18</v>
      </c>
    </row>
    <row r="23" spans="2:22" ht="20.149999999999999" customHeight="1" x14ac:dyDescent="0.45">
      <c r="B23" s="70" t="s">
        <v>76</v>
      </c>
      <c r="C23" s="22" t="str">
        <f>VLOOKUP(B23,'Sales Master'!A$3:B$581,2,0)</f>
        <v>P6002</v>
      </c>
      <c r="D23" s="24" t="str">
        <f>VLOOKUP(C23,'Sales Master'!B$3:D$499,2,)</f>
        <v>Sweet Potato 番薯</v>
      </c>
      <c r="G23" s="90">
        <v>10</v>
      </c>
      <c r="H23" s="68" t="str">
        <f>VLOOKUP(C23,'Sales Master'!$B$3:$F$3179,5,0)</f>
        <v>1 KG</v>
      </c>
      <c r="I23" s="481" t="str">
        <f>VLOOKUP(C23,'Sales Master'!$B$3:$E$3179,4,0)</f>
        <v>Malaysia</v>
      </c>
      <c r="J23" s="481"/>
      <c r="K23" s="35">
        <f>VLOOKUP(C23,'Sales Master'!B$3:I$581,8,0)</f>
        <v>2.2000000000000002</v>
      </c>
      <c r="L23" s="77">
        <f t="shared" si="0"/>
        <v>22</v>
      </c>
      <c r="M23" s="78"/>
      <c r="N23" s="225">
        <f>VLOOKUP(C23,'Sales Master'!$B$3:$DA$3038,104,0)</f>
        <v>1.8666666666666665</v>
      </c>
      <c r="O23" s="225">
        <f t="shared" si="1"/>
        <v>0.3333333333333337</v>
      </c>
      <c r="P23" s="225">
        <f t="shared" si="2"/>
        <v>3.333333333333337</v>
      </c>
    </row>
    <row r="24" spans="2:22" ht="20.149999999999999" customHeight="1" x14ac:dyDescent="0.45">
      <c r="B24" s="70" t="s">
        <v>77</v>
      </c>
      <c r="C24" s="22" t="str">
        <f>VLOOKUP(B24,'Sales Master'!A$3:B$581,2,0)</f>
        <v>P6005</v>
      </c>
      <c r="D24" s="24" t="str">
        <f>VLOOKUP(C24,'Sales Master'!B$3:D$499,2,)</f>
        <v>Yam 芋头</v>
      </c>
      <c r="G24" s="90">
        <v>3</v>
      </c>
      <c r="H24" s="68" t="str">
        <f>VLOOKUP(C24,'Sales Master'!$B$3:$F$3179,5,0)</f>
        <v>1 KG</v>
      </c>
      <c r="I24" s="481" t="str">
        <f>VLOOKUP(C24,'Sales Master'!$B$3:$E$3179,4,0)</f>
        <v>Malaysia</v>
      </c>
      <c r="J24" s="481"/>
      <c r="K24" s="35">
        <f>VLOOKUP(C24,'Sales Master'!B$3:I$581,8,0)</f>
        <v>4</v>
      </c>
      <c r="L24" s="77">
        <f t="shared" si="0"/>
        <v>12</v>
      </c>
      <c r="M24" s="78"/>
      <c r="N24" s="225">
        <f>VLOOKUP(C24,'Sales Master'!$B$3:$DA$3038,104,0)</f>
        <v>1.8</v>
      </c>
      <c r="O24" s="225">
        <f t="shared" si="1"/>
        <v>2.2000000000000002</v>
      </c>
      <c r="P24" s="225">
        <f t="shared" si="2"/>
        <v>6.6000000000000005</v>
      </c>
    </row>
    <row r="25" spans="2:22" ht="20.149999999999999" customHeight="1" x14ac:dyDescent="0.45">
      <c r="B25" s="70"/>
      <c r="C25" s="22"/>
      <c r="G25" s="90"/>
      <c r="H25" s="68"/>
      <c r="I25" s="481"/>
      <c r="J25" s="481"/>
      <c r="K25" s="35"/>
      <c r="L25" s="77"/>
      <c r="M25" s="78"/>
      <c r="N25" s="225"/>
      <c r="O25" s="225"/>
      <c r="P25" s="225"/>
    </row>
    <row r="26" spans="2:22" ht="20.149999999999999" customHeight="1" x14ac:dyDescent="0.45">
      <c r="B26" s="70"/>
      <c r="C26" s="22"/>
      <c r="G26" s="90"/>
      <c r="H26" s="68"/>
      <c r="I26" s="481"/>
      <c r="J26" s="481"/>
      <c r="K26" s="35"/>
      <c r="L26" s="77"/>
      <c r="M26" s="78"/>
      <c r="N26" s="225"/>
      <c r="O26" s="225"/>
      <c r="P26" s="225"/>
    </row>
    <row r="27" spans="2:22" ht="20.149999999999999" customHeight="1" x14ac:dyDescent="0.45">
      <c r="B27" s="70"/>
      <c r="C27" s="22"/>
      <c r="G27" s="90"/>
      <c r="H27" s="68"/>
      <c r="I27" s="481"/>
      <c r="J27" s="481"/>
      <c r="K27" s="35"/>
      <c r="L27" s="77"/>
      <c r="M27" s="78"/>
      <c r="N27" s="225"/>
      <c r="O27" s="225"/>
      <c r="P27" s="225"/>
    </row>
    <row r="28" spans="2:22" ht="20.149999999999999" customHeight="1" x14ac:dyDescent="0.45">
      <c r="B28" s="70"/>
      <c r="C28" s="22"/>
      <c r="G28" s="90"/>
      <c r="H28" s="68"/>
      <c r="I28" s="481"/>
      <c r="J28" s="481"/>
      <c r="K28" s="35"/>
      <c r="L28" s="77"/>
      <c r="M28" s="78"/>
      <c r="N28" s="225"/>
      <c r="O28" s="225"/>
      <c r="P28" s="225"/>
    </row>
    <row r="29" spans="2:22" ht="20.149999999999999" customHeight="1" x14ac:dyDescent="0.45">
      <c r="B29" s="70"/>
      <c r="C29" s="22"/>
      <c r="G29" s="90"/>
      <c r="H29" s="68"/>
      <c r="I29" s="481"/>
      <c r="J29" s="481"/>
      <c r="K29" s="35"/>
      <c r="L29" s="77"/>
      <c r="M29" s="78"/>
      <c r="N29" s="225"/>
      <c r="O29" s="225"/>
      <c r="P29" s="225"/>
    </row>
    <row r="30" spans="2:22" ht="20.149999999999999" customHeight="1" x14ac:dyDescent="0.45">
      <c r="B30" s="70"/>
      <c r="C30" s="22"/>
      <c r="G30" s="90"/>
      <c r="H30" s="68"/>
      <c r="I30" s="481"/>
      <c r="J30" s="481"/>
      <c r="K30" s="35"/>
      <c r="L30" s="77"/>
      <c r="M30" s="78"/>
      <c r="N30" s="225"/>
      <c r="O30" s="225"/>
      <c r="P30" s="225"/>
    </row>
    <row r="31" spans="2:22" ht="20.149999999999999" customHeight="1" x14ac:dyDescent="0.45">
      <c r="B31" s="70"/>
      <c r="C31" s="22"/>
      <c r="G31" s="90"/>
      <c r="H31" s="68"/>
      <c r="I31" s="481"/>
      <c r="J31" s="481"/>
      <c r="K31" s="35"/>
      <c r="L31" s="77"/>
      <c r="M31" s="78"/>
    </row>
    <row r="32" spans="2:22" ht="20.149999999999999" customHeight="1" x14ac:dyDescent="0.45">
      <c r="B32" s="70"/>
      <c r="C32" s="22"/>
      <c r="G32" s="90"/>
      <c r="H32" s="68"/>
      <c r="I32" s="481"/>
      <c r="J32" s="481"/>
      <c r="K32" s="35"/>
      <c r="L32" s="77"/>
      <c r="M32" s="78"/>
    </row>
    <row r="33" spans="2:14" ht="20.149999999999999" customHeight="1" thickBot="1" x14ac:dyDescent="0.5">
      <c r="B33" s="37"/>
      <c r="C33" s="38"/>
      <c r="D33" s="509"/>
      <c r="E33" s="509"/>
      <c r="F33" s="509"/>
      <c r="G33" s="38"/>
      <c r="H33" s="69"/>
      <c r="I33" s="451"/>
      <c r="J33" s="451"/>
      <c r="K33" s="39"/>
      <c r="L33" s="40"/>
    </row>
    <row r="34" spans="2:14" ht="20.149999999999999" customHeight="1" x14ac:dyDescent="0.45">
      <c r="B34" s="70"/>
      <c r="C34" s="22"/>
      <c r="G34" s="22"/>
      <c r="H34" s="68"/>
      <c r="I34" s="481"/>
      <c r="J34" s="481"/>
      <c r="K34" s="35"/>
      <c r="L34" s="77"/>
    </row>
    <row r="35" spans="2:14" ht="20.149999999999999" customHeight="1" thickBot="1" x14ac:dyDescent="0.5">
      <c r="B35" s="41"/>
      <c r="L35" s="42"/>
    </row>
    <row r="36" spans="2:14" ht="20.149999999999999" customHeight="1" x14ac:dyDescent="0.45">
      <c r="B36" s="11" t="s">
        <v>18</v>
      </c>
      <c r="C36" s="7"/>
      <c r="D36" s="7"/>
      <c r="E36" s="7"/>
      <c r="F36" s="7"/>
      <c r="G36" s="7"/>
      <c r="H36" s="7"/>
      <c r="I36" s="7"/>
      <c r="J36" s="510" t="s">
        <v>15</v>
      </c>
      <c r="K36" s="511"/>
      <c r="L36" s="43">
        <f>SUM(L17:L33)</f>
        <v>72.8</v>
      </c>
      <c r="M36" s="76">
        <f>SUM(P18:P24)</f>
        <v>23.983333333333341</v>
      </c>
      <c r="N36" s="201">
        <f>M36/L36</f>
        <v>0.32944139194139205</v>
      </c>
    </row>
    <row r="37" spans="2:14" ht="20.149999999999999" customHeight="1" x14ac:dyDescent="0.45">
      <c r="B37" s="11" t="s">
        <v>19</v>
      </c>
      <c r="C37" s="7"/>
      <c r="D37" s="7"/>
      <c r="E37" s="7"/>
      <c r="F37" s="7"/>
      <c r="G37" s="7"/>
      <c r="H37" s="7"/>
      <c r="I37" s="7"/>
      <c r="J37" s="44" t="s">
        <v>22</v>
      </c>
      <c r="K37" s="45"/>
      <c r="L37" s="46">
        <f>L36*K37</f>
        <v>0</v>
      </c>
    </row>
    <row r="38" spans="2:14" ht="20.149999999999999" customHeight="1" x14ac:dyDescent="0.45">
      <c r="B38" s="11" t="s">
        <v>20</v>
      </c>
      <c r="C38" s="7"/>
      <c r="D38" s="7"/>
      <c r="E38" s="7"/>
      <c r="F38" s="7"/>
      <c r="G38" s="7"/>
      <c r="H38" s="7"/>
      <c r="I38" s="7"/>
      <c r="J38" s="486" t="s">
        <v>21</v>
      </c>
      <c r="K38" s="487"/>
      <c r="L38" s="46">
        <f>L36-L37</f>
        <v>72.8</v>
      </c>
    </row>
    <row r="39" spans="2:14" ht="20.149999999999999" customHeight="1" x14ac:dyDescent="0.45">
      <c r="B39" s="11" t="s">
        <v>24</v>
      </c>
      <c r="C39" s="7"/>
      <c r="D39" s="7"/>
      <c r="E39" s="7"/>
      <c r="F39" s="7"/>
      <c r="G39" s="7"/>
      <c r="H39" s="7"/>
      <c r="I39" s="7"/>
      <c r="J39" s="150" t="s">
        <v>17</v>
      </c>
      <c r="K39" s="151">
        <v>7.0000000000000007E-2</v>
      </c>
      <c r="L39" s="47">
        <f>L38*K39</f>
        <v>5.0960000000000001</v>
      </c>
    </row>
    <row r="40" spans="2:14" ht="20.149999999999999" customHeight="1" thickBot="1" x14ac:dyDescent="0.5">
      <c r="B40" s="11" t="s">
        <v>25</v>
      </c>
      <c r="C40" s="7"/>
      <c r="D40" s="7"/>
      <c r="E40" s="7"/>
      <c r="F40" s="7"/>
      <c r="G40" s="7"/>
      <c r="H40" s="7"/>
      <c r="I40" s="7"/>
      <c r="J40" s="488" t="s">
        <v>23</v>
      </c>
      <c r="K40" s="489"/>
      <c r="L40" s="48">
        <f>L38+L39</f>
        <v>77.896000000000001</v>
      </c>
    </row>
    <row r="41" spans="2:14" ht="20.149999999999999" customHeight="1" x14ac:dyDescent="0.45">
      <c r="B41" s="11" t="s">
        <v>26</v>
      </c>
      <c r="C41" s="7"/>
      <c r="D41" s="7"/>
      <c r="E41" s="7"/>
      <c r="F41" s="7"/>
      <c r="G41" s="7"/>
      <c r="H41" s="7"/>
      <c r="I41" s="7"/>
      <c r="L41" s="42"/>
    </row>
    <row r="42" spans="2:14" ht="20.149999999999999" customHeight="1" x14ac:dyDescent="0.45">
      <c r="B42" s="41"/>
      <c r="L42" s="42"/>
    </row>
    <row r="43" spans="2:14" ht="20.149999999999999" customHeight="1" x14ac:dyDescent="0.45">
      <c r="B43" s="41"/>
      <c r="L43" s="42"/>
    </row>
    <row r="44" spans="2:14" ht="20.149999999999999" customHeight="1" x14ac:dyDescent="0.45">
      <c r="B44" s="41"/>
      <c r="L44" s="42"/>
    </row>
    <row r="45" spans="2:14" ht="20.149999999999999" customHeight="1" x14ac:dyDescent="0.45">
      <c r="B45" s="41"/>
      <c r="L45" s="42"/>
    </row>
    <row r="46" spans="2:14" ht="20.149999999999999" customHeight="1" x14ac:dyDescent="0.45">
      <c r="B46" s="49"/>
      <c r="C46" s="50"/>
      <c r="D46" s="50"/>
      <c r="J46" s="50"/>
      <c r="K46" s="50"/>
      <c r="L46" s="51"/>
    </row>
    <row r="47" spans="2:14" ht="20.149999999999999" customHeight="1" x14ac:dyDescent="0.45">
      <c r="B47" s="41" t="s">
        <v>27</v>
      </c>
      <c r="J47" s="24" t="s">
        <v>28</v>
      </c>
      <c r="L47" s="42"/>
    </row>
    <row r="48" spans="2:14" ht="19" thickBot="1" x14ac:dyDescent="0.5">
      <c r="B48" s="52"/>
      <c r="C48" s="53"/>
      <c r="D48" s="53"/>
      <c r="E48" s="53"/>
      <c r="F48" s="53"/>
      <c r="G48" s="53"/>
      <c r="H48" s="53"/>
      <c r="I48" s="53"/>
      <c r="J48" s="53"/>
      <c r="K48" s="53"/>
      <c r="L48" s="54"/>
    </row>
  </sheetData>
  <mergeCells count="35">
    <mergeCell ref="D33:F33"/>
    <mergeCell ref="I33:J33"/>
    <mergeCell ref="I21:J21"/>
    <mergeCell ref="I22:J22"/>
    <mergeCell ref="I19:J19"/>
    <mergeCell ref="I32:J32"/>
    <mergeCell ref="I20:J20"/>
    <mergeCell ref="I31:J31"/>
    <mergeCell ref="I30:J30"/>
    <mergeCell ref="I23:J23"/>
    <mergeCell ref="B1:L8"/>
    <mergeCell ref="B15:D15"/>
    <mergeCell ref="I17:J17"/>
    <mergeCell ref="I18:J18"/>
    <mergeCell ref="K10:L10"/>
    <mergeCell ref="B11:D11"/>
    <mergeCell ref="F11:H15"/>
    <mergeCell ref="K11:L11"/>
    <mergeCell ref="B12:D12"/>
    <mergeCell ref="K12:L12"/>
    <mergeCell ref="B13:D13"/>
    <mergeCell ref="D17:F17"/>
    <mergeCell ref="K13:L13"/>
    <mergeCell ref="B14:D14"/>
    <mergeCell ref="K14:L14"/>
    <mergeCell ref="J40:K40"/>
    <mergeCell ref="J36:K36"/>
    <mergeCell ref="J38:K38"/>
    <mergeCell ref="I34:J34"/>
    <mergeCell ref="I24:J24"/>
    <mergeCell ref="I25:J25"/>
    <mergeCell ref="I26:J26"/>
    <mergeCell ref="I27:J27"/>
    <mergeCell ref="I28:J28"/>
    <mergeCell ref="I29:J29"/>
  </mergeCells>
  <hyperlinks>
    <hyperlink ref="B15" r:id="rId1" xr:uid="{8A453085-E2B1-470A-A929-9105A202FDF0}"/>
  </hyperlinks>
  <pageMargins left="0.70866141732283472" right="0.31496062992125984" top="0.59055118110236227" bottom="0" header="0.31496062992125984" footer="0.31496062992125984"/>
  <pageSetup paperSize="9" scale="73" orientation="portrait" verticalDpi="300" r:id="rId2"/>
  <drawing r:id="rId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3809A-738C-4E4E-998F-3891A951AEF2}">
  <sheetPr codeName="Sheet46">
    <tabColor rgb="FF7030A0"/>
    <pageSetUpPr fitToPage="1"/>
  </sheetPr>
  <dimension ref="B1:P48"/>
  <sheetViews>
    <sheetView topLeftCell="B1" zoomScaleNormal="100" workbookViewId="0">
      <selection activeCell="B1" sqref="B1:L48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7.453125" style="24" customWidth="1"/>
    <col min="7" max="7" width="8.54296875" style="24" customWidth="1"/>
    <col min="8" max="8" width="18.81640625" style="24" customWidth="1"/>
    <col min="9" max="9" width="2.54296875" style="24" customWidth="1"/>
    <col min="10" max="10" width="15.54296875" style="24" customWidth="1"/>
    <col min="11" max="11" width="10.54296875" style="24" customWidth="1"/>
    <col min="12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1879</v>
      </c>
      <c r="J10" s="29" t="s">
        <v>29</v>
      </c>
      <c r="K10" s="452">
        <v>202209400</v>
      </c>
      <c r="L10" s="453"/>
    </row>
    <row r="11" spans="2:12" ht="20.149999999999999" customHeight="1" x14ac:dyDescent="0.45">
      <c r="B11" s="454"/>
      <c r="C11" s="455"/>
      <c r="D11" s="456"/>
      <c r="E11" s="30"/>
      <c r="F11" s="457" t="str">
        <f>VLOOKUP(H10,'Delivery Location'!A$4:N$416,2,0)</f>
        <v>Rong Hua Desserts                                             Blk 10, Ubi Crescent #01-04.                          Ubi Tech Park Singapore 408564</v>
      </c>
      <c r="G11" s="458"/>
      <c r="H11" s="459"/>
      <c r="J11" s="31" t="s">
        <v>11</v>
      </c>
      <c r="K11" s="466">
        <v>44830</v>
      </c>
      <c r="L11" s="467"/>
    </row>
    <row r="12" spans="2:12" ht="20.149999999999999" customHeight="1" x14ac:dyDescent="0.45">
      <c r="B12" s="468"/>
      <c r="C12" s="469"/>
      <c r="D12" s="470"/>
      <c r="E12" s="30"/>
      <c r="F12" s="460"/>
      <c r="G12" s="461"/>
      <c r="H12" s="462"/>
      <c r="J12" s="31" t="s">
        <v>171</v>
      </c>
      <c r="K12" s="471" t="s">
        <v>36</v>
      </c>
      <c r="L12" s="472"/>
    </row>
    <row r="13" spans="2:12" ht="20.149999999999999" customHeight="1" x14ac:dyDescent="0.45">
      <c r="B13" s="468"/>
      <c r="C13" s="469"/>
      <c r="D13" s="470"/>
      <c r="E13" s="30"/>
      <c r="F13" s="460"/>
      <c r="G13" s="461"/>
      <c r="H13" s="462"/>
      <c r="J13" s="31" t="s">
        <v>12</v>
      </c>
      <c r="K13" s="471" t="s">
        <v>1414</v>
      </c>
      <c r="L13" s="472"/>
    </row>
    <row r="14" spans="2:12" ht="20.149999999999999" customHeight="1" x14ac:dyDescent="0.45">
      <c r="B14" s="468"/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552"/>
      <c r="C15" s="474"/>
      <c r="D15" s="475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16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16" ht="20.149999999999999" customHeight="1" x14ac:dyDescent="0.45">
      <c r="B18" s="70"/>
      <c r="C18" s="22" t="s">
        <v>1458</v>
      </c>
      <c r="D18" s="508" t="str">
        <f>VLOOKUP(C18,'Sales Master'!B$3:D$499,2,)</f>
        <v>Chendol浆咯</v>
      </c>
      <c r="E18" s="508"/>
      <c r="F18" s="508"/>
      <c r="G18" s="90">
        <v>1</v>
      </c>
      <c r="H18" s="429" t="str">
        <f>VLOOKUP(C18,'Sales Master'!$B$3:$F$3179,5,0)</f>
        <v>NW(2.2:0.8) 3 KG/BAG</v>
      </c>
      <c r="I18" s="482" t="str">
        <f>VLOOKUP(C18,'Sales Master'!$B$3:$E$3179,4,0)</f>
        <v>DO!</v>
      </c>
      <c r="J18" s="482"/>
      <c r="K18" s="98">
        <f>VLOOKUP(C18,'Sales Master'!$B$3:$BZ$3077,77,0)</f>
        <v>7</v>
      </c>
      <c r="L18" s="99">
        <f>K18*G18</f>
        <v>7</v>
      </c>
      <c r="M18" s="78"/>
      <c r="N18" s="225">
        <f>VLOOKUP(C18,'Sales Master'!$B$3:$DA$3038,104,0)</f>
        <v>1.85</v>
      </c>
      <c r="O18" s="225">
        <f>K18-N18</f>
        <v>5.15</v>
      </c>
      <c r="P18" s="225">
        <f>O18*G18</f>
        <v>5.15</v>
      </c>
    </row>
    <row r="19" spans="2:16" ht="20.149999999999999" customHeight="1" x14ac:dyDescent="0.45">
      <c r="B19" s="70"/>
      <c r="C19" s="22" t="s">
        <v>1447</v>
      </c>
      <c r="D19" s="508" t="str">
        <f>VLOOKUP(C19,'Sales Master'!B$3:D$499,2,)</f>
        <v>Durian Puree 榴莲</v>
      </c>
      <c r="E19" s="508"/>
      <c r="F19" s="508"/>
      <c r="G19" s="90">
        <v>1</v>
      </c>
      <c r="H19" s="389" t="str">
        <f>VLOOKUP(C19,'Sales Master'!$B$3:$F$3179,5,0)</f>
        <v>BOX/盒</v>
      </c>
      <c r="I19" s="482" t="str">
        <f>VLOOKUP(C19,'Sales Master'!$B$3:$E$3179,4,0)</f>
        <v>DO!</v>
      </c>
      <c r="J19" s="482"/>
      <c r="K19" s="98">
        <f>VLOOKUP(C19,'Sales Master'!$B$3:$BZ$3077,77,0)</f>
        <v>7</v>
      </c>
      <c r="L19" s="99">
        <f t="shared" ref="L19:L29" si="0">K19*G19</f>
        <v>7</v>
      </c>
      <c r="M19" s="78"/>
      <c r="N19" s="225">
        <f>VLOOKUP(C19,'Sales Master'!$B$3:$DA$3038,104,0)</f>
        <v>4.95</v>
      </c>
      <c r="O19" s="225">
        <f t="shared" ref="O19:O29" si="1">K19-N19</f>
        <v>2.0499999999999998</v>
      </c>
      <c r="P19" s="225">
        <f t="shared" ref="P19:P29" si="2">O19*G19</f>
        <v>2.0499999999999998</v>
      </c>
    </row>
    <row r="20" spans="2:16" ht="20.149999999999999" customHeight="1" x14ac:dyDescent="0.45">
      <c r="B20" s="70"/>
      <c r="C20" s="22" t="s">
        <v>1448</v>
      </c>
      <c r="D20" s="508" t="str">
        <f>VLOOKUP(C20,'Sales Master'!B$3:D$499,2,)</f>
        <v>Mango Puree芒果</v>
      </c>
      <c r="E20" s="508"/>
      <c r="F20" s="508"/>
      <c r="G20" s="90">
        <v>1</v>
      </c>
      <c r="H20" s="389" t="str">
        <f>VLOOKUP(C20,'Sales Master'!$B$3:$F$3179,5,0)</f>
        <v>BOX/盒</v>
      </c>
      <c r="I20" s="482" t="str">
        <f>VLOOKUP(C20,'Sales Master'!$B$3:$E$3179,4,0)</f>
        <v>DO!</v>
      </c>
      <c r="J20" s="482"/>
      <c r="K20" s="98">
        <f>VLOOKUP(C20,'Sales Master'!$B$3:$BZ$3077,77,0)</f>
        <v>7</v>
      </c>
      <c r="L20" s="99">
        <f t="shared" si="0"/>
        <v>7</v>
      </c>
      <c r="M20" s="78"/>
      <c r="N20" s="225">
        <f>VLOOKUP(C20,'Sales Master'!$B$3:$DA$3038,104,0)</f>
        <v>2</v>
      </c>
      <c r="O20" s="225">
        <f t="shared" si="1"/>
        <v>5</v>
      </c>
      <c r="P20" s="225">
        <f t="shared" si="2"/>
        <v>5</v>
      </c>
    </row>
    <row r="21" spans="2:16" ht="20.149999999999999" customHeight="1" x14ac:dyDescent="0.45">
      <c r="B21" s="70"/>
      <c r="C21" s="22" t="s">
        <v>1457</v>
      </c>
      <c r="D21" s="555" t="str">
        <f>VLOOKUP(C21,'Sales Master'!B$3:D$499,2,)</f>
        <v>Bobo ChaCha Cubes 摩摩喳喳</v>
      </c>
      <c r="E21" s="555"/>
      <c r="F21" s="555"/>
      <c r="G21" s="90">
        <v>1</v>
      </c>
      <c r="H21" s="389" t="str">
        <f>VLOOKUP(C21,'Sales Master'!$B$3:$F$3179,5,0)</f>
        <v>800 GM/BAG</v>
      </c>
      <c r="I21" s="482" t="str">
        <f>VLOOKUP(C21,'Sales Master'!$B$3:$E$3179,4,0)</f>
        <v>DO!</v>
      </c>
      <c r="J21" s="482"/>
      <c r="K21" s="98">
        <f>VLOOKUP(C21,'Sales Master'!$B$3:$BZ$3077,77,0)</f>
        <v>7</v>
      </c>
      <c r="L21" s="99">
        <f t="shared" si="0"/>
        <v>7</v>
      </c>
      <c r="M21" s="78"/>
      <c r="N21" s="225">
        <f>VLOOKUP(C21,'Sales Master'!$B$3:$DA$3038,104,0)</f>
        <v>0.71</v>
      </c>
      <c r="O21" s="225">
        <f t="shared" si="1"/>
        <v>6.29</v>
      </c>
      <c r="P21" s="225">
        <f t="shared" si="2"/>
        <v>6.29</v>
      </c>
    </row>
    <row r="22" spans="2:16" ht="20.149999999999999" customHeight="1" x14ac:dyDescent="0.45">
      <c r="B22" s="70"/>
      <c r="C22" s="22" t="s">
        <v>1460</v>
      </c>
      <c r="D22" s="508" t="str">
        <f>VLOOKUP(C22,'Sales Master'!B$3:D$499,2,)</f>
        <v>Coconut Sugar Syrup 椰糖浆</v>
      </c>
      <c r="E22" s="508"/>
      <c r="F22" s="508"/>
      <c r="G22" s="90">
        <v>1</v>
      </c>
      <c r="H22" s="389" t="str">
        <f>VLOOKUP(C22,'Sales Master'!$B$3:$F$3179,5,0)</f>
        <v>4L/BTL</v>
      </c>
      <c r="I22" s="482" t="str">
        <f>VLOOKUP(C22,'Sales Master'!$B$3:$E$3179,4,0)</f>
        <v>DO!</v>
      </c>
      <c r="J22" s="482"/>
      <c r="K22" s="98">
        <f>VLOOKUP(C22,'Sales Master'!$B$3:$BZ$3077,77,0)</f>
        <v>14</v>
      </c>
      <c r="L22" s="99">
        <f t="shared" si="0"/>
        <v>14</v>
      </c>
      <c r="M22" s="78"/>
      <c r="N22" s="225">
        <f>VLOOKUP(C22,'Sales Master'!$B$3:$DA$3038,104,0)</f>
        <v>9.27</v>
      </c>
      <c r="O22" s="225">
        <f t="shared" si="1"/>
        <v>4.7300000000000004</v>
      </c>
      <c r="P22" s="225">
        <f t="shared" si="2"/>
        <v>4.7300000000000004</v>
      </c>
    </row>
    <row r="23" spans="2:16" ht="20.149999999999999" customHeight="1" x14ac:dyDescent="0.45">
      <c r="B23" s="70"/>
      <c r="C23" s="22" t="s">
        <v>1572</v>
      </c>
      <c r="D23" s="508" t="str">
        <f>VLOOKUP(C23,'Sales Master'!B$3:D$499,2,)</f>
        <v>Red Bean红豆 (5.5 mm)</v>
      </c>
      <c r="E23" s="508"/>
      <c r="F23" s="508"/>
      <c r="G23" s="90">
        <v>1</v>
      </c>
      <c r="H23" s="389" t="str">
        <f>VLOOKUP(C23,'Sales Master'!$B$3:$F$3179,5,0)</f>
        <v>5 kgs</v>
      </c>
      <c r="I23" s="482" t="str">
        <f>VLOOKUP(C23,'Sales Master'!$B$3:$E$3179,4,0)</f>
        <v>-</v>
      </c>
      <c r="J23" s="482"/>
      <c r="K23" s="98">
        <f>VLOOKUP(C23,'Sales Master'!$B$3:$BZ$3077,77,0)</f>
        <v>20.5</v>
      </c>
      <c r="L23" s="99">
        <f t="shared" si="0"/>
        <v>20.5</v>
      </c>
      <c r="M23" s="78"/>
      <c r="N23" s="225">
        <f>VLOOKUP(C23,'Sales Master'!$B$3:$DA$3038,104,0)</f>
        <v>17</v>
      </c>
      <c r="O23" s="225">
        <f t="shared" si="1"/>
        <v>3.5</v>
      </c>
      <c r="P23" s="225">
        <f t="shared" si="2"/>
        <v>3.5</v>
      </c>
    </row>
    <row r="24" spans="2:16" ht="20.149999999999999" customHeight="1" x14ac:dyDescent="0.45">
      <c r="B24" s="70"/>
      <c r="C24" s="22" t="s">
        <v>1621</v>
      </c>
      <c r="D24" s="508" t="str">
        <f>VLOOKUP(C24,'Sales Master'!B$3:D$499,2,)</f>
        <v>Dried Longan 龙眼干</v>
      </c>
      <c r="E24" s="508"/>
      <c r="F24" s="508"/>
      <c r="G24" s="90">
        <v>1</v>
      </c>
      <c r="H24" s="389" t="str">
        <f>VLOOKUP(C24,'Sales Master'!$B$3:$F$3179,5,0)</f>
        <v>1 kg</v>
      </c>
      <c r="I24" s="482" t="str">
        <f>VLOOKUP(C24,'Sales Master'!$B$3:$E$3179,4,0)</f>
        <v>中</v>
      </c>
      <c r="J24" s="482"/>
      <c r="K24" s="98">
        <f>VLOOKUP(C24,'Sales Master'!$B$3:$BZ$3077,77,0)</f>
        <v>13.5</v>
      </c>
      <c r="L24" s="99">
        <f t="shared" si="0"/>
        <v>13.5</v>
      </c>
      <c r="M24" s="78"/>
      <c r="N24" s="225">
        <f>VLOOKUP(C24,'Sales Master'!$B$3:$DA$3038,104,0)</f>
        <v>9.1999999999999993</v>
      </c>
      <c r="O24" s="225">
        <f t="shared" si="1"/>
        <v>4.3000000000000007</v>
      </c>
      <c r="P24" s="225">
        <f t="shared" si="2"/>
        <v>4.3000000000000007</v>
      </c>
    </row>
    <row r="25" spans="2:16" ht="20.149999999999999" customHeight="1" x14ac:dyDescent="0.45">
      <c r="B25" s="70"/>
      <c r="C25" s="22" t="s">
        <v>1647</v>
      </c>
      <c r="D25" s="508" t="str">
        <f>VLOOKUP(C25,'Sales Master'!B$3:D$499,2,)</f>
        <v>Coco Syrup 可可</v>
      </c>
      <c r="E25" s="508"/>
      <c r="F25" s="508"/>
      <c r="G25" s="90">
        <v>1</v>
      </c>
      <c r="H25" s="389" t="str">
        <f>VLOOKUP(C25,'Sales Master'!$B$3:$F$3179,5,0)</f>
        <v>1 Btl</v>
      </c>
      <c r="I25" s="482" t="str">
        <f>VLOOKUP(C25,'Sales Master'!$B$3:$E$3179,4,0)</f>
        <v>Hershey's</v>
      </c>
      <c r="J25" s="482"/>
      <c r="K25" s="98">
        <f>VLOOKUP(C25,'Sales Master'!$B$3:$BZ$3077,77,0)</f>
        <v>4.5</v>
      </c>
      <c r="L25" s="99">
        <f t="shared" ref="L25" si="3">K25*G25</f>
        <v>4.5</v>
      </c>
      <c r="M25" s="78"/>
      <c r="N25" s="225">
        <f>VLOOKUP(C25,'Sales Master'!$B$3:$DA$3038,104,0)</f>
        <v>3</v>
      </c>
      <c r="O25" s="225">
        <f t="shared" ref="O25" si="4">K25-N25</f>
        <v>1.5</v>
      </c>
      <c r="P25" s="225">
        <f t="shared" ref="P25" si="5">O25*G25</f>
        <v>1.5</v>
      </c>
    </row>
    <row r="26" spans="2:16" ht="20.149999999999999" customHeight="1" x14ac:dyDescent="0.45">
      <c r="B26" s="70"/>
      <c r="C26" s="22" t="s">
        <v>1736</v>
      </c>
      <c r="D26" s="508" t="str">
        <f>VLOOKUP(C26,'Sales Master'!B$3:D$499,2,)</f>
        <v>Coconut Milk 椰浆</v>
      </c>
      <c r="E26" s="508"/>
      <c r="F26" s="508"/>
      <c r="G26" s="90">
        <v>1</v>
      </c>
      <c r="H26" s="389" t="str">
        <f>VLOOKUP(C26,'Sales Master'!$B$3:$F$3179,5,0)</f>
        <v>(1L x 12bag)/箱</v>
      </c>
      <c r="I26" s="482" t="str">
        <f>VLOOKUP(C26,'Sales Master'!$B$3:$E$3179,4,0)</f>
        <v>Kara UHT</v>
      </c>
      <c r="J26" s="482"/>
      <c r="K26" s="98">
        <f>VLOOKUP(C26,'Sales Master'!$B$3:$BZ$3077,77,0)</f>
        <v>42</v>
      </c>
      <c r="L26" s="99">
        <f t="shared" si="0"/>
        <v>42</v>
      </c>
      <c r="M26" s="78"/>
      <c r="N26" s="225">
        <f>VLOOKUP(C26,'Sales Master'!$B$3:$DA$3038,104,0)</f>
        <v>35.5</v>
      </c>
      <c r="O26" s="225">
        <f t="shared" si="1"/>
        <v>6.5</v>
      </c>
      <c r="P26" s="225">
        <f t="shared" si="2"/>
        <v>6.5</v>
      </c>
    </row>
    <row r="27" spans="2:16" ht="20.149999999999999" customHeight="1" x14ac:dyDescent="0.45">
      <c r="B27" s="70"/>
      <c r="C27" s="22" t="s">
        <v>1789</v>
      </c>
      <c r="D27" s="508" t="str">
        <f>VLOOKUP(C27,'Sales Master'!B$3:D$499,2,)</f>
        <v>Sweet Potato 番薯</v>
      </c>
      <c r="E27" s="508"/>
      <c r="F27" s="508"/>
      <c r="G27" s="90">
        <v>2</v>
      </c>
      <c r="H27" s="389" t="str">
        <f>VLOOKUP(C27,'Sales Master'!$B$3:$F$3179,5,0)</f>
        <v>1 KG</v>
      </c>
      <c r="I27" s="482" t="str">
        <f>VLOOKUP(C27,'Sales Master'!$B$3:$E$3179,4,0)</f>
        <v>Malaysia</v>
      </c>
      <c r="J27" s="482"/>
      <c r="K27" s="98">
        <f>VLOOKUP(C27,'Sales Master'!$B$3:$BZ$3077,77,0)</f>
        <v>2.5</v>
      </c>
      <c r="L27" s="99">
        <f t="shared" si="0"/>
        <v>5</v>
      </c>
      <c r="M27" s="78"/>
      <c r="N27" s="225">
        <f>VLOOKUP(C27,'Sales Master'!$B$3:$DA$3038,104,0)</f>
        <v>1.8666666666666665</v>
      </c>
      <c r="O27" s="225">
        <f t="shared" si="1"/>
        <v>0.63333333333333353</v>
      </c>
      <c r="P27" s="225">
        <f t="shared" si="2"/>
        <v>1.2666666666666671</v>
      </c>
    </row>
    <row r="28" spans="2:16" ht="20.149999999999999" customHeight="1" x14ac:dyDescent="0.45">
      <c r="B28" s="70"/>
      <c r="C28" s="22" t="s">
        <v>1791</v>
      </c>
      <c r="D28" s="508" t="str">
        <f>VLOOKUP(C28,'Sales Master'!B$3:D$499,2,)</f>
        <v>Yam 芋头</v>
      </c>
      <c r="E28" s="508"/>
      <c r="F28" s="508"/>
      <c r="G28" s="90">
        <v>1</v>
      </c>
      <c r="H28" s="389" t="str">
        <f>VLOOKUP(C28,'Sales Master'!$B$3:$F$3179,5,0)</f>
        <v>1 KG</v>
      </c>
      <c r="I28" s="482" t="str">
        <f>VLOOKUP(C28,'Sales Master'!$B$3:$E$3179,4,0)</f>
        <v>Thailand</v>
      </c>
      <c r="J28" s="482"/>
      <c r="K28" s="98">
        <f>VLOOKUP(C28,'Sales Master'!$B$3:$BZ$3077,77,0)</f>
        <v>4.8</v>
      </c>
      <c r="L28" s="99">
        <f t="shared" si="0"/>
        <v>4.8</v>
      </c>
      <c r="M28" s="78"/>
      <c r="N28" s="225">
        <f>VLOOKUP(C28,'Sales Master'!$B$3:$DA$3038,104,0)</f>
        <v>3.5185185185185186</v>
      </c>
      <c r="O28" s="225">
        <f t="shared" si="1"/>
        <v>1.2814814814814812</v>
      </c>
      <c r="P28" s="225">
        <f t="shared" si="2"/>
        <v>1.2814814814814812</v>
      </c>
    </row>
    <row r="29" spans="2:16" ht="20.149999999999999" customHeight="1" x14ac:dyDescent="0.45">
      <c r="B29" s="70"/>
      <c r="C29" s="22" t="s">
        <v>1794</v>
      </c>
      <c r="D29" s="508" t="str">
        <f>VLOOKUP(C29,'Sales Master'!B$3:D$499,2,)</f>
        <v>Pandan Leaf 班兰叶</v>
      </c>
      <c r="E29" s="508"/>
      <c r="F29" s="508"/>
      <c r="G29" s="90">
        <v>2</v>
      </c>
      <c r="H29" s="389" t="str">
        <f>VLOOKUP(C29,'Sales Master'!$B$3:$F$3179,5,0)</f>
        <v>1 kg</v>
      </c>
      <c r="I29" s="482" t="str">
        <f>VLOOKUP(C29,'Sales Master'!$B$3:$E$3179,4,0)</f>
        <v>-</v>
      </c>
      <c r="J29" s="482"/>
      <c r="K29" s="98">
        <f>VLOOKUP(C29,'Sales Master'!$B$3:$BZ$3077,77,0)</f>
        <v>2</v>
      </c>
      <c r="L29" s="99">
        <f t="shared" si="0"/>
        <v>4</v>
      </c>
      <c r="M29" s="78"/>
      <c r="N29" s="225">
        <f>VLOOKUP(C29,'Sales Master'!$B$3:$DA$3038,104,0)</f>
        <v>1</v>
      </c>
      <c r="O29" s="225">
        <f t="shared" si="1"/>
        <v>1</v>
      </c>
      <c r="P29" s="225">
        <f t="shared" si="2"/>
        <v>2</v>
      </c>
    </row>
    <row r="30" spans="2:16" ht="20.149999999999999" customHeight="1" x14ac:dyDescent="0.45">
      <c r="B30" s="70"/>
      <c r="C30" s="22"/>
      <c r="G30" s="401"/>
      <c r="H30" s="389"/>
      <c r="I30" s="389"/>
      <c r="J30" s="389"/>
      <c r="K30" s="98"/>
      <c r="L30" s="99"/>
      <c r="M30" s="78"/>
      <c r="N30" s="225"/>
      <c r="O30" s="225"/>
      <c r="P30" s="225"/>
    </row>
    <row r="31" spans="2:16" ht="20.149999999999999" customHeight="1" x14ac:dyDescent="0.45">
      <c r="B31" s="70"/>
      <c r="C31" s="22"/>
      <c r="D31" s="508"/>
      <c r="E31" s="508"/>
      <c r="F31" s="508"/>
      <c r="G31" s="401"/>
      <c r="H31" s="389"/>
      <c r="I31" s="512"/>
      <c r="J31" s="512"/>
      <c r="K31" s="98"/>
      <c r="L31" s="99"/>
      <c r="M31" s="78"/>
      <c r="N31" s="225"/>
      <c r="O31" s="225"/>
      <c r="P31" s="225"/>
    </row>
    <row r="32" spans="2:16" ht="20.149999999999999" customHeight="1" x14ac:dyDescent="0.45">
      <c r="B32" s="70"/>
      <c r="C32" s="411" t="s">
        <v>2300</v>
      </c>
      <c r="D32" s="230"/>
      <c r="E32" s="230"/>
      <c r="F32" s="230"/>
      <c r="G32" s="90"/>
      <c r="H32" s="389"/>
      <c r="I32" s="389"/>
      <c r="J32" s="389"/>
      <c r="K32" s="394"/>
      <c r="L32" s="99"/>
      <c r="M32" s="78"/>
      <c r="N32" s="225"/>
      <c r="O32" s="225"/>
      <c r="P32" s="225"/>
    </row>
    <row r="33" spans="2:16" ht="20.149999999999999" customHeight="1" x14ac:dyDescent="0.45">
      <c r="B33" s="70"/>
      <c r="C33" s="22" t="s">
        <v>1563</v>
      </c>
      <c r="D33" s="480" t="str">
        <f>VLOOKUP(C33,'[1]Sales Master'!B$3:D$603,2,0)</f>
        <v>Atap Seeds in Syrup亚嗒子</v>
      </c>
      <c r="E33" s="480"/>
      <c r="F33" s="480"/>
      <c r="G33" s="90">
        <v>1</v>
      </c>
      <c r="H33" s="389" t="str">
        <f>VLOOKUP(C33,'[1]Sales Master'!B$3:F$896,5,0)</f>
        <v>NW (2.1:0.9) 3 kgs</v>
      </c>
      <c r="I33" s="482" t="str">
        <f>VLOOKUP(C33,'[1]Sales Master'!B$3:E$896,4,0)</f>
        <v>2P</v>
      </c>
      <c r="J33" s="482"/>
      <c r="K33" s="394">
        <v>11.5</v>
      </c>
      <c r="L33" s="434"/>
      <c r="M33" s="78"/>
      <c r="N33" s="225"/>
      <c r="O33" s="225"/>
      <c r="P33" s="225"/>
    </row>
    <row r="34" spans="2:16" ht="20.149999999999999" customHeight="1" x14ac:dyDescent="0.45">
      <c r="B34" s="70"/>
      <c r="C34" s="22" t="s">
        <v>1772</v>
      </c>
      <c r="D34" s="480" t="str">
        <f>VLOOKUP(C34,'[1]Sales Master'!B$3:D$603,2,0)</f>
        <v>Fine Sugar 白糖</v>
      </c>
      <c r="E34" s="480"/>
      <c r="F34" s="480"/>
      <c r="G34" s="90">
        <v>1</v>
      </c>
      <c r="H34" s="389" t="str">
        <f>VLOOKUP(C34,'[1]Sales Master'!B$3:F$896,5,0)</f>
        <v>25 KGS/BAG</v>
      </c>
      <c r="I34" s="482" t="str">
        <f>VLOOKUP(C34,'[1]Sales Master'!B$3:E$896,4,0)</f>
        <v>SUN</v>
      </c>
      <c r="J34" s="482"/>
      <c r="K34" s="394">
        <v>29</v>
      </c>
      <c r="L34" s="99"/>
      <c r="M34" s="78"/>
      <c r="N34" s="225"/>
      <c r="O34" s="225"/>
      <c r="P34" s="225"/>
    </row>
    <row r="35" spans="2:16" ht="20.149999999999999" customHeight="1" thickBot="1" x14ac:dyDescent="0.5">
      <c r="B35" s="52"/>
      <c r="C35" s="53"/>
      <c r="D35" s="53"/>
      <c r="E35" s="53"/>
      <c r="F35" s="53"/>
      <c r="G35" s="53"/>
      <c r="H35" s="53"/>
      <c r="I35" s="53"/>
      <c r="J35" s="53"/>
      <c r="K35" s="53"/>
      <c r="L35" s="54"/>
    </row>
    <row r="36" spans="2:16" ht="20.149999999999999" customHeight="1" x14ac:dyDescent="0.45">
      <c r="B36" s="11" t="s">
        <v>18</v>
      </c>
      <c r="C36" s="7"/>
      <c r="D36" s="7"/>
      <c r="E36" s="7"/>
      <c r="F36" s="7"/>
      <c r="G36" s="7"/>
      <c r="H36" s="7"/>
      <c r="I36" s="7"/>
      <c r="J36" s="510" t="s">
        <v>15</v>
      </c>
      <c r="K36" s="511"/>
      <c r="L36" s="43">
        <f>SUM(L17:L35)</f>
        <v>136.30000000000001</v>
      </c>
      <c r="M36" s="76">
        <f>SUM(P18:P34)</f>
        <v>43.56814814814814</v>
      </c>
      <c r="N36" s="201">
        <f>M36/L36</f>
        <v>0.31964892258362537</v>
      </c>
    </row>
    <row r="37" spans="2:16" ht="20.149999999999999" customHeight="1" x14ac:dyDescent="0.45">
      <c r="B37" s="11" t="s">
        <v>19</v>
      </c>
      <c r="C37" s="7"/>
      <c r="D37" s="7"/>
      <c r="E37" s="7"/>
      <c r="F37" s="7"/>
      <c r="G37" s="7"/>
      <c r="H37" s="7"/>
      <c r="I37" s="7"/>
      <c r="J37" s="44" t="s">
        <v>22</v>
      </c>
      <c r="K37" s="45"/>
      <c r="L37" s="46">
        <f>L36*K37</f>
        <v>0</v>
      </c>
    </row>
    <row r="38" spans="2:16" ht="20.149999999999999" customHeight="1" x14ac:dyDescent="0.45">
      <c r="B38" s="11" t="s">
        <v>20</v>
      </c>
      <c r="C38" s="7"/>
      <c r="D38" s="7"/>
      <c r="E38" s="7"/>
      <c r="F38" s="7"/>
      <c r="G38" s="7"/>
      <c r="H38" s="7"/>
      <c r="I38" s="7"/>
      <c r="J38" s="486" t="s">
        <v>21</v>
      </c>
      <c r="K38" s="487"/>
      <c r="L38" s="46">
        <f>L36-L37</f>
        <v>136.30000000000001</v>
      </c>
    </row>
    <row r="39" spans="2:16" ht="20.149999999999999" customHeight="1" x14ac:dyDescent="0.45">
      <c r="B39" s="11" t="s">
        <v>24</v>
      </c>
      <c r="C39" s="7"/>
      <c r="D39" s="7"/>
      <c r="E39" s="7"/>
      <c r="F39" s="7"/>
      <c r="G39" s="7"/>
      <c r="H39" s="7"/>
      <c r="I39" s="7"/>
      <c r="J39" s="150" t="s">
        <v>17</v>
      </c>
      <c r="K39" s="151">
        <v>7.0000000000000007E-2</v>
      </c>
      <c r="L39" s="47">
        <f>L38*K39</f>
        <v>9.5410000000000021</v>
      </c>
    </row>
    <row r="40" spans="2:16" ht="20.149999999999999" customHeight="1" thickBot="1" x14ac:dyDescent="0.5">
      <c r="B40" s="11" t="s">
        <v>25</v>
      </c>
      <c r="C40" s="7"/>
      <c r="D40" s="7"/>
      <c r="E40" s="7"/>
      <c r="F40" s="7"/>
      <c r="G40" s="7"/>
      <c r="H40" s="7"/>
      <c r="I40" s="7"/>
      <c r="J40" s="488" t="s">
        <v>23</v>
      </c>
      <c r="K40" s="489"/>
      <c r="L40" s="48">
        <f>L38+L39</f>
        <v>145.84100000000001</v>
      </c>
    </row>
    <row r="41" spans="2:16" ht="20.149999999999999" customHeight="1" x14ac:dyDescent="0.45">
      <c r="B41" s="11" t="s">
        <v>26</v>
      </c>
      <c r="C41" s="7"/>
      <c r="D41" s="7"/>
      <c r="E41" s="7"/>
      <c r="F41" s="7"/>
      <c r="G41" s="7"/>
      <c r="H41" s="7"/>
      <c r="I41" s="7"/>
      <c r="L41" s="42"/>
    </row>
    <row r="42" spans="2:16" ht="20.149999999999999" customHeight="1" x14ac:dyDescent="0.45">
      <c r="B42" s="224" t="s">
        <v>1379</v>
      </c>
      <c r="L42" s="42"/>
    </row>
    <row r="43" spans="2:16" ht="20.149999999999999" customHeight="1" x14ac:dyDescent="0.45">
      <c r="B43" s="41"/>
      <c r="L43" s="42"/>
    </row>
    <row r="44" spans="2:16" ht="20.149999999999999" customHeight="1" x14ac:dyDescent="0.45">
      <c r="B44" s="41"/>
      <c r="L44" s="42"/>
    </row>
    <row r="45" spans="2:16" ht="20.149999999999999" customHeight="1" x14ac:dyDescent="0.45">
      <c r="B45" s="41"/>
      <c r="L45" s="42"/>
    </row>
    <row r="46" spans="2:16" ht="20.149999999999999" customHeight="1" x14ac:dyDescent="0.45">
      <c r="B46" s="49"/>
      <c r="C46" s="50"/>
      <c r="D46" s="50"/>
      <c r="J46" s="50"/>
      <c r="K46" s="50"/>
      <c r="L46" s="51"/>
    </row>
    <row r="47" spans="2:16" ht="20.149999999999999" customHeight="1" x14ac:dyDescent="0.45">
      <c r="B47" s="41" t="s">
        <v>27</v>
      </c>
      <c r="J47" s="24" t="s">
        <v>28</v>
      </c>
      <c r="L47" s="42"/>
    </row>
    <row r="48" spans="2:16" ht="19" thickBot="1" x14ac:dyDescent="0.5">
      <c r="B48" s="52"/>
      <c r="C48" s="53"/>
      <c r="D48" s="53"/>
      <c r="E48" s="53"/>
      <c r="F48" s="53"/>
      <c r="G48" s="53"/>
      <c r="H48" s="53"/>
      <c r="I48" s="53"/>
      <c r="J48" s="53"/>
      <c r="K48" s="53"/>
      <c r="L48" s="54"/>
    </row>
  </sheetData>
  <mergeCells count="48">
    <mergeCell ref="J40:K40"/>
    <mergeCell ref="J36:K36"/>
    <mergeCell ref="J38:K38"/>
    <mergeCell ref="D21:F21"/>
    <mergeCell ref="D19:F19"/>
    <mergeCell ref="I19:J19"/>
    <mergeCell ref="D27:F27"/>
    <mergeCell ref="I21:J21"/>
    <mergeCell ref="I27:J27"/>
    <mergeCell ref="D24:F24"/>
    <mergeCell ref="D20:F20"/>
    <mergeCell ref="I20:J20"/>
    <mergeCell ref="D34:F34"/>
    <mergeCell ref="I34:J34"/>
    <mergeCell ref="D25:F25"/>
    <mergeCell ref="I25:J25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22:F22"/>
    <mergeCell ref="D23:F23"/>
    <mergeCell ref="I22:J22"/>
    <mergeCell ref="I23:J23"/>
    <mergeCell ref="I17:J17"/>
    <mergeCell ref="D17:F17"/>
    <mergeCell ref="D18:F18"/>
    <mergeCell ref="I18:J18"/>
    <mergeCell ref="I24:J24"/>
    <mergeCell ref="D26:F26"/>
    <mergeCell ref="I26:J26"/>
    <mergeCell ref="D33:F33"/>
    <mergeCell ref="I33:J33"/>
    <mergeCell ref="D31:F31"/>
    <mergeCell ref="I31:J31"/>
    <mergeCell ref="D28:F28"/>
    <mergeCell ref="I28:J28"/>
    <mergeCell ref="I29:J29"/>
    <mergeCell ref="D29:F29"/>
  </mergeCells>
  <conditionalFormatting sqref="C32:C34">
    <cfRule type="duplicateValues" dxfId="37" priority="1"/>
  </conditionalFormatting>
  <conditionalFormatting sqref="C30:C31">
    <cfRule type="duplicateValues" dxfId="36" priority="1161"/>
  </conditionalFormatting>
  <pageMargins left="0.70866141732283472" right="0.31496062992125984" top="0.51181102362204722" bottom="0.23622047244094491" header="0.31496062992125984" footer="0.31496062992125984"/>
  <pageSetup paperSize="9" scale="75" orientation="portrait" horizontalDpi="300" verticalDpi="300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642893-C62A-4733-8B6A-687BEBF236A8}">
  <sheetPr codeName="Sheet198">
    <tabColor rgb="FF7030A0"/>
    <pageSetUpPr fitToPage="1"/>
  </sheetPr>
  <dimension ref="B1:P56"/>
  <sheetViews>
    <sheetView topLeftCell="B1" zoomScaleNormal="100" workbookViewId="0">
      <selection activeCell="L46" sqref="L46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7.453125" style="24" customWidth="1"/>
    <col min="7" max="7" width="8.54296875" style="24" customWidth="1"/>
    <col min="8" max="8" width="18.81640625" style="24" customWidth="1"/>
    <col min="9" max="9" width="2.54296875" style="24" customWidth="1"/>
    <col min="10" max="10" width="15.54296875" style="24" customWidth="1"/>
    <col min="11" max="11" width="10.54296875" style="24" customWidth="1"/>
    <col min="12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1879</v>
      </c>
      <c r="J10" s="29" t="s">
        <v>29</v>
      </c>
      <c r="K10" s="452">
        <v>202208006</v>
      </c>
      <c r="L10" s="453"/>
    </row>
    <row r="11" spans="2:12" ht="20.149999999999999" customHeight="1" x14ac:dyDescent="0.45">
      <c r="B11" s="454"/>
      <c r="C11" s="455"/>
      <c r="D11" s="456"/>
      <c r="E11" s="30"/>
      <c r="F11" s="457" t="str">
        <f>VLOOKUP(H10,'Delivery Location'!A$4:N$416,2,0)</f>
        <v>Rong Hua Desserts                                             Blk 10, Ubi Crescent #01-04.                          Ubi Tech Park Singapore 408564</v>
      </c>
      <c r="G11" s="458"/>
      <c r="H11" s="459"/>
      <c r="J11" s="31" t="s">
        <v>11</v>
      </c>
      <c r="K11" s="466">
        <v>44774</v>
      </c>
      <c r="L11" s="467"/>
    </row>
    <row r="12" spans="2:12" ht="20.149999999999999" customHeight="1" x14ac:dyDescent="0.45">
      <c r="B12" s="468"/>
      <c r="C12" s="469"/>
      <c r="D12" s="470"/>
      <c r="E12" s="30"/>
      <c r="F12" s="460"/>
      <c r="G12" s="461"/>
      <c r="H12" s="462"/>
      <c r="J12" s="31" t="s">
        <v>171</v>
      </c>
      <c r="K12" s="471" t="s">
        <v>36</v>
      </c>
      <c r="L12" s="472"/>
    </row>
    <row r="13" spans="2:12" ht="20.149999999999999" customHeight="1" x14ac:dyDescent="0.45">
      <c r="B13" s="468"/>
      <c r="C13" s="469"/>
      <c r="D13" s="470"/>
      <c r="E13" s="30"/>
      <c r="F13" s="460"/>
      <c r="G13" s="461"/>
      <c r="H13" s="462"/>
      <c r="J13" s="31" t="s">
        <v>12</v>
      </c>
      <c r="K13" s="471" t="s">
        <v>1414</v>
      </c>
      <c r="L13" s="472"/>
    </row>
    <row r="14" spans="2:12" ht="20.149999999999999" customHeight="1" x14ac:dyDescent="0.45">
      <c r="B14" s="468"/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552"/>
      <c r="C15" s="474"/>
      <c r="D15" s="475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16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16" ht="20.149999999999999" customHeight="1" x14ac:dyDescent="0.45">
      <c r="B18" s="70"/>
      <c r="C18" s="22" t="s">
        <v>1628</v>
      </c>
      <c r="D18" s="508" t="str">
        <f>VLOOKUP(C18,'Sales Master'!B$3:D$499,2,)</f>
        <v>Red Date 红枣</v>
      </c>
      <c r="E18" s="508"/>
      <c r="F18" s="508"/>
      <c r="G18" s="90">
        <v>1</v>
      </c>
      <c r="H18" s="68" t="str">
        <f>VLOOKUP(C18,'Sales Master'!$B$3:$F$3179,5,0)</f>
        <v>2.5 kgs</v>
      </c>
      <c r="I18" s="481" t="str">
        <f>VLOOKUP(C18,'Sales Master'!$B$3:$E$3179,4,0)</f>
        <v>-</v>
      </c>
      <c r="J18" s="481"/>
      <c r="K18" s="98">
        <f>VLOOKUP(C18,'Sales Master'!$B$3:$BZ$3077,77,0)</f>
        <v>12</v>
      </c>
      <c r="L18" s="99">
        <f>K18*G18</f>
        <v>12</v>
      </c>
      <c r="M18" s="78"/>
      <c r="N18" s="225">
        <f>VLOOKUP(C18,'Sales Master'!$B$3:$DA$3038,104,0)</f>
        <v>9.5</v>
      </c>
      <c r="O18" s="225">
        <f>K18-N18</f>
        <v>2.5</v>
      </c>
      <c r="P18" s="225">
        <f>O18*G18</f>
        <v>2.5</v>
      </c>
    </row>
    <row r="19" spans="2:16" ht="20.149999999999999" customHeight="1" x14ac:dyDescent="0.45">
      <c r="B19" s="70"/>
      <c r="C19" s="22" t="s">
        <v>1633</v>
      </c>
      <c r="D19" s="508" t="str">
        <f>VLOOKUP(C19,'Sales Master'!B$3:D$499,2,)</f>
        <v>Pong Thai Hai (Dry) 碰大海</v>
      </c>
      <c r="E19" s="508"/>
      <c r="F19" s="508"/>
      <c r="G19" s="90">
        <v>1</v>
      </c>
      <c r="H19" s="68" t="str">
        <f>VLOOKUP(C19,'Sales Master'!$B$3:$F$3179,5,0)</f>
        <v>1 kg</v>
      </c>
      <c r="I19" s="481" t="str">
        <f>VLOOKUP(C19,'Sales Master'!$B$3:$E$3179,4,0)</f>
        <v>-</v>
      </c>
      <c r="J19" s="481"/>
      <c r="K19" s="98">
        <f>VLOOKUP(C19,'Sales Master'!$B$3:$BZ$3077,77,0)</f>
        <v>25</v>
      </c>
      <c r="L19" s="99">
        <f t="shared" ref="L19:L37" si="0">K19*G19</f>
        <v>25</v>
      </c>
      <c r="M19" s="78"/>
      <c r="N19" s="225">
        <f>VLOOKUP(C19,'Sales Master'!$B$3:$DA$3038,104,0)</f>
        <v>18</v>
      </c>
      <c r="O19" s="225">
        <f t="shared" ref="O19:O37" si="1">K19-N19</f>
        <v>7</v>
      </c>
      <c r="P19" s="225">
        <f t="shared" ref="P19:P37" si="2">O19*G19</f>
        <v>7</v>
      </c>
    </row>
    <row r="20" spans="2:16" ht="20.149999999999999" customHeight="1" x14ac:dyDescent="0.45">
      <c r="B20" s="70"/>
      <c r="C20" s="22" t="s">
        <v>1647</v>
      </c>
      <c r="D20" s="508" t="str">
        <f>VLOOKUP(C20,'Sales Master'!B$3:D$499,2,)</f>
        <v>Coco Syrup 可可</v>
      </c>
      <c r="E20" s="508"/>
      <c r="F20" s="508"/>
      <c r="G20" s="90">
        <v>1</v>
      </c>
      <c r="H20" s="68" t="str">
        <f>VLOOKUP(C20,'Sales Master'!$B$3:$F$3179,5,0)</f>
        <v>1 Btl</v>
      </c>
      <c r="I20" s="481" t="str">
        <f>VLOOKUP(C20,'Sales Master'!$B$3:$E$3179,4,0)</f>
        <v>Hershey's</v>
      </c>
      <c r="J20" s="481"/>
      <c r="K20" s="98">
        <f>VLOOKUP(C20,'Sales Master'!$B$3:$BZ$3077,77,0)</f>
        <v>4.5</v>
      </c>
      <c r="L20" s="99">
        <f t="shared" si="0"/>
        <v>4.5</v>
      </c>
      <c r="M20" s="78"/>
      <c r="N20" s="225">
        <f>VLOOKUP(C20,'Sales Master'!$B$3:$DA$3038,104,0)</f>
        <v>3</v>
      </c>
      <c r="O20" s="225">
        <f t="shared" si="1"/>
        <v>1.5</v>
      </c>
      <c r="P20" s="225">
        <f t="shared" si="2"/>
        <v>1.5</v>
      </c>
    </row>
    <row r="21" spans="2:16" ht="20.149999999999999" customHeight="1" x14ac:dyDescent="0.45">
      <c r="B21" s="70"/>
      <c r="C21" s="22" t="s">
        <v>1655</v>
      </c>
      <c r="D21" s="508" t="str">
        <f>VLOOKUP(C21,'Sales Master'!B$3:D$499,2,)</f>
        <v>Sour Plum 酸梅</v>
      </c>
      <c r="E21" s="508"/>
      <c r="F21" s="508"/>
      <c r="G21" s="90">
        <v>1</v>
      </c>
      <c r="H21" s="68" t="str">
        <f>VLOOKUP(C21,'Sales Master'!$B$3:$F$3179,5,0)</f>
        <v>500 GMS</v>
      </c>
      <c r="I21" s="481" t="str">
        <f>VLOOKUP(C21,'Sales Master'!$B$3:$E$3179,4,0)</f>
        <v>-</v>
      </c>
      <c r="J21" s="481"/>
      <c r="K21" s="98">
        <f>VLOOKUP(C21,'Sales Master'!$B$3:$BZ$3077,77,0)</f>
        <v>8</v>
      </c>
      <c r="L21" s="99">
        <f t="shared" si="0"/>
        <v>8</v>
      </c>
      <c r="M21" s="78"/>
      <c r="N21" s="225">
        <f>VLOOKUP(C21,'Sales Master'!$B$3:$DA$3038,104,0)</f>
        <v>6.25</v>
      </c>
      <c r="O21" s="225">
        <f t="shared" si="1"/>
        <v>1.75</v>
      </c>
      <c r="P21" s="225">
        <f t="shared" si="2"/>
        <v>1.75</v>
      </c>
    </row>
    <row r="22" spans="2:16" ht="20.149999999999999" customHeight="1" x14ac:dyDescent="0.45">
      <c r="B22" s="70"/>
      <c r="C22" s="22" t="s">
        <v>1689</v>
      </c>
      <c r="D22" s="508" t="str">
        <f>VLOOKUP(C22,'Sales Master'!B$3:D$499,2,)</f>
        <v>Sea Coconut海底椰</v>
      </c>
      <c r="E22" s="508"/>
      <c r="F22" s="508"/>
      <c r="G22" s="90">
        <v>1</v>
      </c>
      <c r="H22" s="68" t="str">
        <f>VLOOKUP(C22,'Sales Master'!$B$3:$F$3179,5,0)</f>
        <v>1 Can X A10</v>
      </c>
      <c r="I22" s="481" t="str">
        <f>VLOOKUP(C22,'Sales Master'!$B$3:$E$3179,4,0)</f>
        <v>Chefs</v>
      </c>
      <c r="J22" s="481"/>
      <c r="K22" s="98">
        <f>VLOOKUP(C22,'Sales Master'!$B$3:$BZ$3077,77,0)</f>
        <v>19</v>
      </c>
      <c r="L22" s="99">
        <f t="shared" si="0"/>
        <v>19</v>
      </c>
      <c r="M22" s="78"/>
      <c r="N22" s="225">
        <f>VLOOKUP(C22,'Sales Master'!$B$3:$DA$3038,104,0)</f>
        <v>14.333333333333334</v>
      </c>
      <c r="O22" s="225">
        <f t="shared" si="1"/>
        <v>4.6666666666666661</v>
      </c>
      <c r="P22" s="225">
        <f t="shared" si="2"/>
        <v>4.6666666666666661</v>
      </c>
    </row>
    <row r="23" spans="2:16" ht="20.149999999999999" customHeight="1" x14ac:dyDescent="0.45">
      <c r="B23" s="70"/>
      <c r="C23" s="22" t="s">
        <v>1691</v>
      </c>
      <c r="D23" s="508" t="str">
        <f>VLOOKUP(C23,'Sales Master'!B$3:D$499,2,)</f>
        <v>Nata De Coco椰果芊 15mm</v>
      </c>
      <c r="E23" s="508"/>
      <c r="F23" s="508"/>
      <c r="G23" s="90">
        <v>1</v>
      </c>
      <c r="H23" s="68" t="str">
        <f>VLOOKUP(C23,'Sales Master'!$B$3:$F$3179,5,0)</f>
        <v>1 Can X A10</v>
      </c>
      <c r="I23" s="481" t="str">
        <f>VLOOKUP(C23,'Sales Master'!$B$3:$E$3179,4,0)</f>
        <v>Chefs</v>
      </c>
      <c r="J23" s="481"/>
      <c r="K23" s="98">
        <f>VLOOKUP(C23,'Sales Master'!$B$3:$BZ$3077,77,0)</f>
        <v>9.5</v>
      </c>
      <c r="L23" s="99">
        <f t="shared" si="0"/>
        <v>9.5</v>
      </c>
      <c r="M23" s="78"/>
      <c r="N23" s="225">
        <f>VLOOKUP(C23,'Sales Master'!$B$3:$DA$3038,104,0)</f>
        <v>6.916666666666667</v>
      </c>
      <c r="O23" s="225">
        <f t="shared" si="1"/>
        <v>2.583333333333333</v>
      </c>
      <c r="P23" s="225">
        <f t="shared" si="2"/>
        <v>2.583333333333333</v>
      </c>
    </row>
    <row r="24" spans="2:16" ht="20.149999999999999" customHeight="1" x14ac:dyDescent="0.45">
      <c r="B24" s="70"/>
      <c r="C24" s="22" t="s">
        <v>1695</v>
      </c>
      <c r="D24" s="508" t="str">
        <f>VLOOKUP(C24,'Sales Master'!B$3:D$499,2,)</f>
        <v>Aloe Vera芦荟 10mm</v>
      </c>
      <c r="E24" s="508"/>
      <c r="F24" s="508"/>
      <c r="G24" s="90">
        <v>1</v>
      </c>
      <c r="H24" s="68" t="str">
        <f>VLOOKUP(C24,'Sales Master'!$B$3:$F$3179,5,0)</f>
        <v>1 Can X A10</v>
      </c>
      <c r="I24" s="481" t="str">
        <f>VLOOKUP(C24,'Sales Master'!$B$3:$E$3179,4,0)</f>
        <v>Chefs</v>
      </c>
      <c r="J24" s="481"/>
      <c r="K24" s="98">
        <f>VLOOKUP(C24,'Sales Master'!$B$3:$BZ$3077,77,0)</f>
        <v>10</v>
      </c>
      <c r="L24" s="99">
        <f t="shared" si="0"/>
        <v>10</v>
      </c>
      <c r="M24" s="78"/>
      <c r="N24" s="225">
        <f>VLOOKUP(C24,'Sales Master'!$B$3:$DA$3038,104,0)</f>
        <v>7</v>
      </c>
      <c r="O24" s="225">
        <f t="shared" si="1"/>
        <v>3</v>
      </c>
      <c r="P24" s="225">
        <f t="shared" si="2"/>
        <v>3</v>
      </c>
    </row>
    <row r="25" spans="2:16" ht="20.149999999999999" customHeight="1" x14ac:dyDescent="0.45">
      <c r="B25" s="70"/>
      <c r="C25" s="22" t="s">
        <v>1696</v>
      </c>
      <c r="D25" s="508" t="str">
        <f>VLOOKUP(C25,'Sales Master'!B$3:D$499,2,)</f>
        <v>Longan in Syrup龙眼</v>
      </c>
      <c r="E25" s="508"/>
      <c r="F25" s="508"/>
      <c r="G25" s="90">
        <v>1</v>
      </c>
      <c r="H25" s="68" t="str">
        <f>VLOOKUP(C25,'Sales Master'!$B$3:$F$3179,5,0)</f>
        <v>(565gm x 12)/箱</v>
      </c>
      <c r="I25" s="481" t="str">
        <f>VLOOKUP(C25,'Sales Master'!$B$3:$E$3179,4,0)</f>
        <v>YiFong</v>
      </c>
      <c r="J25" s="481"/>
      <c r="K25" s="98">
        <f>VLOOKUP(C25,'Sales Master'!$B$3:$BZ$3077,77,0)</f>
        <v>23</v>
      </c>
      <c r="L25" s="99">
        <f t="shared" si="0"/>
        <v>23</v>
      </c>
      <c r="M25" s="78"/>
      <c r="N25" s="225">
        <f>VLOOKUP(C25,'Sales Master'!$B$3:$DA$3038,104,0)</f>
        <v>18.055555555555557</v>
      </c>
      <c r="O25" s="225">
        <f t="shared" si="1"/>
        <v>4.9444444444444429</v>
      </c>
      <c r="P25" s="225">
        <f t="shared" si="2"/>
        <v>4.9444444444444429</v>
      </c>
    </row>
    <row r="26" spans="2:16" ht="20.149999999999999" customHeight="1" x14ac:dyDescent="0.45">
      <c r="B26" s="70"/>
      <c r="C26" s="22" t="s">
        <v>1702</v>
      </c>
      <c r="D26" s="508" t="str">
        <f>VLOOKUP(C26,'Sales Master'!B$3:D$499,2,)</f>
        <v>Lychee in Syrup荔枝</v>
      </c>
      <c r="E26" s="508"/>
      <c r="F26" s="508"/>
      <c r="G26" s="90">
        <v>1</v>
      </c>
      <c r="H26" s="68" t="str">
        <f>VLOOKUP(C26,'Sales Master'!$B$3:$F$3179,5,0)</f>
        <v>12can/箱</v>
      </c>
      <c r="I26" s="481" t="str">
        <f>VLOOKUP(C26,'Sales Master'!$B$3:$E$3179,4,0)</f>
        <v>MiLi</v>
      </c>
      <c r="J26" s="481"/>
      <c r="K26" s="98">
        <f>VLOOKUP(C26,'Sales Master'!$B$3:$BZ$3077,77,0)</f>
        <v>24</v>
      </c>
      <c r="L26" s="99">
        <f t="shared" si="0"/>
        <v>24</v>
      </c>
      <c r="M26" s="78"/>
      <c r="N26" s="225">
        <f>VLOOKUP(C26,'Sales Master'!$B$3:$DA$3038,104,0)</f>
        <v>20</v>
      </c>
      <c r="O26" s="225">
        <f t="shared" si="1"/>
        <v>4</v>
      </c>
      <c r="P26" s="225">
        <f t="shared" si="2"/>
        <v>4</v>
      </c>
    </row>
    <row r="27" spans="2:16" ht="20.149999999999999" customHeight="1" x14ac:dyDescent="0.45">
      <c r="B27" s="70"/>
      <c r="C27" s="22" t="s">
        <v>1705</v>
      </c>
      <c r="D27" s="508" t="str">
        <f>VLOOKUP(C27,'Sales Master'!B$3:D$499,2,)</f>
        <v>Fruit Cocktail杂果</v>
      </c>
      <c r="E27" s="508"/>
      <c r="F27" s="508"/>
      <c r="G27" s="90">
        <v>1</v>
      </c>
      <c r="H27" s="68" t="str">
        <f>VLOOKUP(C27,'Sales Master'!$B$3:$F$3179,5,0)</f>
        <v>(820gm x 12)/箱</v>
      </c>
      <c r="I27" s="481" t="str">
        <f>VLOOKUP(C27,'Sales Master'!$B$3:$E$3179,4,0)</f>
        <v>Statue</v>
      </c>
      <c r="J27" s="481"/>
      <c r="K27" s="98">
        <f>VLOOKUP(C27,'Sales Master'!$B$3:$BZ$3077,77,0)</f>
        <v>36</v>
      </c>
      <c r="L27" s="99">
        <f t="shared" si="0"/>
        <v>36</v>
      </c>
      <c r="M27" s="78"/>
      <c r="N27" s="225">
        <f>VLOOKUP(C27,'Sales Master'!$B$3:$DA$3038,104,0)</f>
        <v>27</v>
      </c>
      <c r="O27" s="225">
        <f t="shared" si="1"/>
        <v>9</v>
      </c>
      <c r="P27" s="225">
        <f t="shared" si="2"/>
        <v>9</v>
      </c>
    </row>
    <row r="28" spans="2:16" ht="20.149999999999999" customHeight="1" x14ac:dyDescent="0.45">
      <c r="B28" s="70"/>
      <c r="C28" s="22" t="s">
        <v>1706</v>
      </c>
      <c r="D28" s="508" t="str">
        <f>VLOOKUP(C28,'Sales Master'!B$3:D$499,2,)</f>
        <v>Cream Corn玉米浆</v>
      </c>
      <c r="E28" s="508"/>
      <c r="F28" s="508"/>
      <c r="G28" s="90">
        <v>1</v>
      </c>
      <c r="H28" s="68" t="str">
        <f>VLOOKUP(C28,'Sales Master'!$B$3:$F$3179,5,0)</f>
        <v>(425gm x 24)/箱</v>
      </c>
      <c r="I28" s="481" t="str">
        <f>VLOOKUP(C28,'Sales Master'!$B$3:$E$3179,4,0)</f>
        <v>Statue</v>
      </c>
      <c r="J28" s="481"/>
      <c r="K28" s="98">
        <f>VLOOKUP(C28,'Sales Master'!$B$3:$BZ$3077,77,0)</f>
        <v>21</v>
      </c>
      <c r="L28" s="99">
        <f t="shared" si="0"/>
        <v>21</v>
      </c>
      <c r="M28" s="78"/>
      <c r="N28" s="225">
        <f>VLOOKUP(C28,'Sales Master'!$B$3:$DA$3038,104,0)</f>
        <v>16</v>
      </c>
      <c r="O28" s="225">
        <f t="shared" si="1"/>
        <v>5</v>
      </c>
      <c r="P28" s="225">
        <f t="shared" si="2"/>
        <v>5</v>
      </c>
    </row>
    <row r="29" spans="2:16" ht="20.149999999999999" customHeight="1" x14ac:dyDescent="0.45">
      <c r="B29" s="70"/>
      <c r="C29" s="22" t="s">
        <v>1709</v>
      </c>
      <c r="D29" s="508" t="str">
        <f>VLOOKUP(C29,'Sales Master'!B$3:D$499,2,)</f>
        <v>Whole Corn玉米粒</v>
      </c>
      <c r="E29" s="508"/>
      <c r="F29" s="508"/>
      <c r="G29" s="90">
        <v>1</v>
      </c>
      <c r="H29" s="68" t="str">
        <f>VLOOKUP(C29,'Sales Master'!$B$3:$F$3179,5,0)</f>
        <v>(410gm x 24)/箱</v>
      </c>
      <c r="I29" s="481" t="str">
        <f>VLOOKUP(C29,'Sales Master'!$B$3:$E$3179,4,0)</f>
        <v>Statue</v>
      </c>
      <c r="J29" s="481"/>
      <c r="K29" s="98">
        <f>VLOOKUP(C29,'Sales Master'!$B$3:$BZ$3077,77,0)</f>
        <v>21</v>
      </c>
      <c r="L29" s="99">
        <f t="shared" si="0"/>
        <v>21</v>
      </c>
      <c r="M29" s="78"/>
      <c r="N29" s="225">
        <f>VLOOKUP(C29,'Sales Master'!$B$3:$DA$3038,104,0)</f>
        <v>16</v>
      </c>
      <c r="O29" s="225">
        <f t="shared" si="1"/>
        <v>5</v>
      </c>
      <c r="P29" s="225">
        <f t="shared" si="2"/>
        <v>5</v>
      </c>
    </row>
    <row r="30" spans="2:16" ht="20.149999999999999" customHeight="1" x14ac:dyDescent="0.45">
      <c r="B30" s="70"/>
      <c r="C30" s="22" t="s">
        <v>1715</v>
      </c>
      <c r="D30" s="508" t="str">
        <f>VLOOKUP(C30,'Sales Master'!B$3:D$499,2,)</f>
        <v>Carnation Milk三花淡奶水</v>
      </c>
      <c r="E30" s="508"/>
      <c r="F30" s="508"/>
      <c r="G30" s="90">
        <v>1</v>
      </c>
      <c r="H30" s="68" t="str">
        <f>VLOOKUP(C30,'Sales Master'!$B$3:$F$3179,5,0)</f>
        <v>405 gm x48 can/Ctn</v>
      </c>
      <c r="I30" s="481" t="str">
        <f>VLOOKUP(C30,'Sales Master'!$B$3:$E$3179,4,0)</f>
        <v>Threeflower</v>
      </c>
      <c r="J30" s="481"/>
      <c r="K30" s="98">
        <f>VLOOKUP(C30,'Sales Master'!$B$3:$BZ$3077,77,0)</f>
        <v>58</v>
      </c>
      <c r="L30" s="99">
        <f t="shared" si="0"/>
        <v>58</v>
      </c>
      <c r="M30" s="78"/>
      <c r="N30" s="225">
        <f>VLOOKUP(C30,'Sales Master'!$B$3:$DA$3038,104,0)</f>
        <v>50</v>
      </c>
      <c r="O30" s="225">
        <f t="shared" si="1"/>
        <v>8</v>
      </c>
      <c r="P30" s="225">
        <f t="shared" si="2"/>
        <v>8</v>
      </c>
    </row>
    <row r="31" spans="2:16" ht="20.149999999999999" customHeight="1" x14ac:dyDescent="0.45">
      <c r="B31" s="70"/>
      <c r="C31" s="22" t="s">
        <v>1720</v>
      </c>
      <c r="D31" s="508" t="str">
        <f>VLOOKUP(C31,'Sales Master'!B$3:D$499,2,)</f>
        <v>Sweetened Creamer 练奶</v>
      </c>
      <c r="E31" s="508"/>
      <c r="F31" s="508"/>
      <c r="G31" s="90">
        <v>1</v>
      </c>
      <c r="H31" s="68" t="str">
        <f>VLOOKUP(C31,'Sales Master'!$B$3:$F$3179,5,0)</f>
        <v>380 gm x 48 can/Ctn</v>
      </c>
      <c r="I31" s="481" t="str">
        <f>VLOOKUP(C31,'Sales Master'!$B$3:$E$3179,4,0)</f>
        <v>Dawn牛</v>
      </c>
      <c r="J31" s="481"/>
      <c r="K31" s="98">
        <f>VLOOKUP(C31,'Sales Master'!$B$3:$BZ$3077,77,0)</f>
        <v>44</v>
      </c>
      <c r="L31" s="99">
        <f t="shared" si="0"/>
        <v>44</v>
      </c>
      <c r="M31" s="78"/>
      <c r="N31" s="225">
        <f>VLOOKUP(C31,'Sales Master'!$B$3:$DA$3038,104,0)</f>
        <v>38</v>
      </c>
      <c r="O31" s="225">
        <f t="shared" si="1"/>
        <v>6</v>
      </c>
      <c r="P31" s="225">
        <f t="shared" si="2"/>
        <v>6</v>
      </c>
    </row>
    <row r="32" spans="2:16" ht="20.149999999999999" customHeight="1" x14ac:dyDescent="0.45">
      <c r="B32" s="70"/>
      <c r="C32" s="22" t="s">
        <v>1736</v>
      </c>
      <c r="D32" s="508" t="str">
        <f>VLOOKUP(C32,'Sales Master'!B$3:D$499,2,)</f>
        <v>Coconut Milk 椰浆</v>
      </c>
      <c r="E32" s="508"/>
      <c r="F32" s="508"/>
      <c r="G32" s="90">
        <v>1</v>
      </c>
      <c r="H32" s="68" t="str">
        <f>VLOOKUP(C32,'Sales Master'!$B$3:$F$3179,5,0)</f>
        <v>(1L x 12bag)/箱</v>
      </c>
      <c r="I32" s="481" t="str">
        <f>VLOOKUP(C32,'Sales Master'!$B$3:$E$3179,4,0)</f>
        <v>Kara UHT</v>
      </c>
      <c r="J32" s="481"/>
      <c r="K32" s="98">
        <f>VLOOKUP(C32,'Sales Master'!$B$3:$BZ$3077,77,0)</f>
        <v>42</v>
      </c>
      <c r="L32" s="99">
        <f t="shared" si="0"/>
        <v>42</v>
      </c>
      <c r="M32" s="78"/>
      <c r="N32" s="225">
        <f>VLOOKUP(C32,'Sales Master'!$B$3:$DA$3038,104,0)</f>
        <v>35.5</v>
      </c>
      <c r="O32" s="225">
        <f t="shared" si="1"/>
        <v>6.5</v>
      </c>
      <c r="P32" s="225">
        <f t="shared" si="2"/>
        <v>6.5</v>
      </c>
    </row>
    <row r="33" spans="2:16" ht="20.149999999999999" customHeight="1" x14ac:dyDescent="0.45">
      <c r="B33" s="70"/>
      <c r="C33" s="22" t="s">
        <v>1772</v>
      </c>
      <c r="D33" s="508" t="str">
        <f>VLOOKUP(C33,'Sales Master'!B$3:D$499,2,)</f>
        <v>Fine Sugar 白糖</v>
      </c>
      <c r="E33" s="508"/>
      <c r="F33" s="508"/>
      <c r="G33" s="90">
        <v>1</v>
      </c>
      <c r="H33" s="68" t="str">
        <f>VLOOKUP(C33,'Sales Master'!$B$3:$F$3179,5,0)</f>
        <v>25 KGS</v>
      </c>
      <c r="I33" s="481" t="str">
        <f>VLOOKUP(C33,'Sales Master'!$B$3:$E$3179,4,0)</f>
        <v>SUN</v>
      </c>
      <c r="J33" s="481"/>
      <c r="K33" s="98">
        <f>VLOOKUP(C33,'Sales Master'!$B$3:$BZ$3077,77,0)</f>
        <v>28</v>
      </c>
      <c r="L33" s="99">
        <f t="shared" si="0"/>
        <v>28</v>
      </c>
      <c r="M33" s="78"/>
      <c r="N33" s="225">
        <f>VLOOKUP(C33,'Sales Master'!$B$3:$DA$3038,104,0)</f>
        <v>22.8</v>
      </c>
      <c r="O33" s="225">
        <f t="shared" si="1"/>
        <v>5.1999999999999993</v>
      </c>
      <c r="P33" s="225">
        <f t="shared" si="2"/>
        <v>5.1999999999999993</v>
      </c>
    </row>
    <row r="34" spans="2:16" ht="20.149999999999999" customHeight="1" x14ac:dyDescent="0.45">
      <c r="B34" s="70"/>
      <c r="C34" s="22" t="s">
        <v>1789</v>
      </c>
      <c r="D34" s="508" t="str">
        <f>VLOOKUP(C34,'Sales Master'!B$3:D$499,2,)</f>
        <v>Sweet Potato 番薯</v>
      </c>
      <c r="E34" s="508"/>
      <c r="F34" s="508"/>
      <c r="G34" s="90">
        <v>3</v>
      </c>
      <c r="H34" s="68" t="str">
        <f>VLOOKUP(C34,'Sales Master'!$B$3:$F$3179,5,0)</f>
        <v>1 KG</v>
      </c>
      <c r="I34" s="481" t="str">
        <f>VLOOKUP(C34,'Sales Master'!$B$3:$E$3179,4,0)</f>
        <v>Malaysia</v>
      </c>
      <c r="J34" s="481"/>
      <c r="K34" s="98">
        <f>VLOOKUP(C34,'Sales Master'!$B$3:$BZ$3077,77,0)</f>
        <v>2.5</v>
      </c>
      <c r="L34" s="99">
        <f t="shared" si="0"/>
        <v>7.5</v>
      </c>
      <c r="M34" s="78"/>
      <c r="N34" s="225">
        <f>VLOOKUP(C34,'Sales Master'!$B$3:$DA$3038,104,0)</f>
        <v>1.8666666666666665</v>
      </c>
      <c r="O34" s="225">
        <f t="shared" si="1"/>
        <v>0.63333333333333353</v>
      </c>
      <c r="P34" s="225">
        <f t="shared" si="2"/>
        <v>1.9000000000000006</v>
      </c>
    </row>
    <row r="35" spans="2:16" ht="20.149999999999999" customHeight="1" x14ac:dyDescent="0.45">
      <c r="B35" s="70"/>
      <c r="C35" s="22" t="s">
        <v>1791</v>
      </c>
      <c r="D35" s="508" t="str">
        <f>VLOOKUP(C35,'Sales Master'!B$3:D$499,2,)</f>
        <v>Yam 芋头</v>
      </c>
      <c r="E35" s="508"/>
      <c r="F35" s="508"/>
      <c r="G35" s="90">
        <v>1</v>
      </c>
      <c r="H35" s="68" t="str">
        <f>VLOOKUP(C35,'Sales Master'!$B$3:$F$3179,5,0)</f>
        <v>1 KG</v>
      </c>
      <c r="I35" s="481" t="str">
        <f>VLOOKUP(C35,'Sales Master'!$B$3:$E$3179,4,0)</f>
        <v>Thailand</v>
      </c>
      <c r="J35" s="481"/>
      <c r="K35" s="98">
        <f>VLOOKUP(C35,'Sales Master'!$B$3:$BZ$3077,77,0)</f>
        <v>4.8</v>
      </c>
      <c r="L35" s="99">
        <f t="shared" si="0"/>
        <v>4.8</v>
      </c>
      <c r="M35" s="78"/>
      <c r="N35" s="225">
        <f>VLOOKUP(C35,'Sales Master'!$B$3:$DA$3038,104,0)</f>
        <v>3.5185185185185186</v>
      </c>
      <c r="O35" s="225">
        <f t="shared" si="1"/>
        <v>1.2814814814814812</v>
      </c>
      <c r="P35" s="225">
        <f t="shared" si="2"/>
        <v>1.2814814814814812</v>
      </c>
    </row>
    <row r="36" spans="2:16" ht="20.149999999999999" customHeight="1" x14ac:dyDescent="0.45">
      <c r="B36" s="70"/>
      <c r="C36" s="22" t="s">
        <v>1794</v>
      </c>
      <c r="D36" s="508" t="str">
        <f>VLOOKUP(C36,'Sales Master'!B$3:D$499,2,)</f>
        <v>Pandan Leaf 班兰叶</v>
      </c>
      <c r="E36" s="508"/>
      <c r="F36" s="508"/>
      <c r="G36" s="90">
        <v>2</v>
      </c>
      <c r="H36" s="68" t="str">
        <f>VLOOKUP(C36,'Sales Master'!$B$3:$F$3179,5,0)</f>
        <v>1 kg</v>
      </c>
      <c r="I36" s="481" t="str">
        <f>VLOOKUP(C36,'Sales Master'!$B$3:$E$3179,4,0)</f>
        <v>-</v>
      </c>
      <c r="J36" s="481"/>
      <c r="K36" s="98">
        <f>VLOOKUP(C36,'Sales Master'!$B$3:$BZ$3077,77,0)</f>
        <v>2</v>
      </c>
      <c r="L36" s="99">
        <f t="shared" si="0"/>
        <v>4</v>
      </c>
      <c r="M36" s="78"/>
      <c r="N36" s="225">
        <f>VLOOKUP(C36,'Sales Master'!$B$3:$DA$3038,104,0)</f>
        <v>1</v>
      </c>
      <c r="O36" s="225">
        <f t="shared" si="1"/>
        <v>1</v>
      </c>
      <c r="P36" s="225">
        <f t="shared" si="2"/>
        <v>2</v>
      </c>
    </row>
    <row r="37" spans="2:16" ht="20.149999999999999" customHeight="1" x14ac:dyDescent="0.45">
      <c r="B37" s="70"/>
      <c r="C37" s="22" t="s">
        <v>1795</v>
      </c>
      <c r="D37" s="508" t="str">
        <f>VLOOKUP(C37,'Sales Master'!B$3:D$499,2,)</f>
        <v>Lime 酸甘</v>
      </c>
      <c r="E37" s="508"/>
      <c r="F37" s="508"/>
      <c r="G37" s="90">
        <v>1</v>
      </c>
      <c r="H37" s="68" t="str">
        <f>VLOOKUP(C37,'Sales Master'!$B$3:$F$3179,5,0)</f>
        <v>1 kg</v>
      </c>
      <c r="I37" s="481" t="str">
        <f>VLOOKUP(C37,'Sales Master'!$B$3:$E$3179,4,0)</f>
        <v>-</v>
      </c>
      <c r="J37" s="481"/>
      <c r="K37" s="98">
        <f>VLOOKUP(C37,'Sales Master'!$B$3:$BZ$3077,77,0)</f>
        <v>3</v>
      </c>
      <c r="L37" s="99">
        <f t="shared" si="0"/>
        <v>3</v>
      </c>
      <c r="M37" s="78"/>
      <c r="N37" s="225">
        <f>VLOOKUP(C37,'Sales Master'!$B$3:$DA$3038,104,0)</f>
        <v>1.9</v>
      </c>
      <c r="O37" s="225">
        <f t="shared" si="1"/>
        <v>1.1000000000000001</v>
      </c>
      <c r="P37" s="225">
        <f t="shared" si="2"/>
        <v>1.1000000000000001</v>
      </c>
    </row>
    <row r="38" spans="2:16" ht="20.149999999999999" customHeight="1" x14ac:dyDescent="0.45">
      <c r="B38" s="70"/>
      <c r="G38" s="90"/>
      <c r="H38" s="68"/>
      <c r="I38" s="68"/>
      <c r="J38" s="68"/>
      <c r="K38" s="98"/>
      <c r="L38" s="99"/>
      <c r="M38" s="78"/>
      <c r="N38" s="225"/>
      <c r="O38" s="225"/>
      <c r="P38" s="225"/>
    </row>
    <row r="39" spans="2:16" ht="20.149999999999999" customHeight="1" x14ac:dyDescent="0.45">
      <c r="B39" s="70"/>
      <c r="G39" s="90"/>
      <c r="H39" s="68"/>
      <c r="I39" s="68"/>
      <c r="J39" s="68"/>
      <c r="K39" s="98"/>
      <c r="L39" s="99"/>
      <c r="M39" s="78"/>
      <c r="N39" s="225"/>
      <c r="O39" s="225"/>
      <c r="P39" s="225"/>
    </row>
    <row r="40" spans="2:16" ht="20.149999999999999" customHeight="1" x14ac:dyDescent="0.45">
      <c r="B40" s="70"/>
      <c r="G40" s="90"/>
      <c r="H40" s="68"/>
      <c r="I40" s="68"/>
      <c r="J40" s="68"/>
      <c r="K40" s="98"/>
      <c r="L40" s="99"/>
      <c r="M40" s="78"/>
      <c r="N40" s="225"/>
      <c r="O40" s="225"/>
      <c r="P40" s="225"/>
    </row>
    <row r="41" spans="2:16" ht="20.149999999999999" customHeight="1" x14ac:dyDescent="0.45">
      <c r="B41" s="70"/>
      <c r="G41" s="90"/>
      <c r="H41" s="68"/>
      <c r="I41" s="68"/>
      <c r="J41" s="68"/>
      <c r="K41" s="98"/>
      <c r="L41" s="99"/>
      <c r="M41" s="78"/>
      <c r="N41" s="225"/>
      <c r="O41" s="225"/>
      <c r="P41" s="225"/>
    </row>
    <row r="42" spans="2:16" ht="20.149999999999999" customHeight="1" x14ac:dyDescent="0.45">
      <c r="B42" s="70"/>
      <c r="G42" s="90"/>
      <c r="H42" s="68"/>
      <c r="I42" s="68"/>
      <c r="J42" s="68"/>
      <c r="K42" s="98"/>
      <c r="L42" s="99"/>
      <c r="M42" s="78"/>
      <c r="N42" s="225"/>
      <c r="O42" s="225"/>
      <c r="P42" s="225"/>
    </row>
    <row r="43" spans="2:16" ht="20.149999999999999" customHeight="1" thickBot="1" x14ac:dyDescent="0.5">
      <c r="B43" s="52"/>
      <c r="C43" s="53"/>
      <c r="D43" s="53"/>
      <c r="E43" s="53"/>
      <c r="F43" s="53"/>
      <c r="G43" s="53"/>
      <c r="H43" s="53"/>
      <c r="I43" s="53"/>
      <c r="J43" s="53"/>
      <c r="K43" s="53"/>
      <c r="L43" s="54"/>
    </row>
    <row r="44" spans="2:16" ht="20.149999999999999" customHeight="1" x14ac:dyDescent="0.45">
      <c r="B44" s="11" t="s">
        <v>18</v>
      </c>
      <c r="C44" s="7"/>
      <c r="D44" s="7"/>
      <c r="E44" s="7"/>
      <c r="F44" s="7"/>
      <c r="G44" s="7"/>
      <c r="H44" s="7"/>
      <c r="I44" s="7"/>
      <c r="J44" s="510" t="s">
        <v>15</v>
      </c>
      <c r="K44" s="511"/>
      <c r="L44" s="43">
        <f>SUM(L17:L43)</f>
        <v>404.3</v>
      </c>
      <c r="M44" s="76">
        <f>SUM(P18:P42)</f>
        <v>82.925925925925924</v>
      </c>
      <c r="N44" s="201">
        <f>M44/L44</f>
        <v>0.20510988356647519</v>
      </c>
    </row>
    <row r="45" spans="2:16" ht="20.149999999999999" customHeight="1" x14ac:dyDescent="0.45">
      <c r="B45" s="11" t="s">
        <v>19</v>
      </c>
      <c r="C45" s="7"/>
      <c r="D45" s="7"/>
      <c r="E45" s="7"/>
      <c r="F45" s="7"/>
      <c r="G45" s="7"/>
      <c r="H45" s="7"/>
      <c r="I45" s="7"/>
      <c r="J45" s="44" t="s">
        <v>22</v>
      </c>
      <c r="K45" s="45"/>
      <c r="L45" s="46">
        <f>L44*K45</f>
        <v>0</v>
      </c>
    </row>
    <row r="46" spans="2:16" ht="20.149999999999999" customHeight="1" x14ac:dyDescent="0.45">
      <c r="B46" s="11" t="s">
        <v>20</v>
      </c>
      <c r="C46" s="7"/>
      <c r="D46" s="7"/>
      <c r="E46" s="7"/>
      <c r="F46" s="7"/>
      <c r="G46" s="7"/>
      <c r="H46" s="7"/>
      <c r="I46" s="7"/>
      <c r="J46" s="486" t="s">
        <v>21</v>
      </c>
      <c r="K46" s="487"/>
      <c r="L46" s="46">
        <f>L44-L45</f>
        <v>404.3</v>
      </c>
    </row>
    <row r="47" spans="2:16" ht="20.149999999999999" customHeight="1" x14ac:dyDescent="0.45">
      <c r="B47" s="11" t="s">
        <v>24</v>
      </c>
      <c r="C47" s="7"/>
      <c r="D47" s="7"/>
      <c r="E47" s="7"/>
      <c r="F47" s="7"/>
      <c r="G47" s="7"/>
      <c r="H47" s="7"/>
      <c r="I47" s="7"/>
      <c r="J47" s="150" t="s">
        <v>17</v>
      </c>
      <c r="K47" s="151">
        <v>7.0000000000000007E-2</v>
      </c>
      <c r="L47" s="47">
        <f>L46*K47</f>
        <v>28.301000000000002</v>
      </c>
    </row>
    <row r="48" spans="2:16" ht="20.149999999999999" customHeight="1" thickBot="1" x14ac:dyDescent="0.5">
      <c r="B48" s="11" t="s">
        <v>25</v>
      </c>
      <c r="C48" s="7"/>
      <c r="D48" s="7"/>
      <c r="E48" s="7"/>
      <c r="F48" s="7"/>
      <c r="G48" s="7"/>
      <c r="H48" s="7"/>
      <c r="I48" s="7"/>
      <c r="J48" s="488" t="s">
        <v>23</v>
      </c>
      <c r="K48" s="489"/>
      <c r="L48" s="48">
        <f>L46+L47</f>
        <v>432.601</v>
      </c>
    </row>
    <row r="49" spans="2:12" ht="20.149999999999999" customHeight="1" x14ac:dyDescent="0.45">
      <c r="B49" s="11" t="s">
        <v>26</v>
      </c>
      <c r="C49" s="7"/>
      <c r="D49" s="7"/>
      <c r="E49" s="7"/>
      <c r="F49" s="7"/>
      <c r="G49" s="7"/>
      <c r="H49" s="7"/>
      <c r="I49" s="7"/>
      <c r="L49" s="42"/>
    </row>
    <row r="50" spans="2:12" ht="20.149999999999999" customHeight="1" x14ac:dyDescent="0.45">
      <c r="B50" s="224" t="s">
        <v>1379</v>
      </c>
      <c r="L50" s="42"/>
    </row>
    <row r="51" spans="2:12" ht="20.149999999999999" customHeight="1" x14ac:dyDescent="0.45">
      <c r="B51" s="41"/>
      <c r="L51" s="42"/>
    </row>
    <row r="52" spans="2:12" ht="20.149999999999999" customHeight="1" x14ac:dyDescent="0.45">
      <c r="B52" s="41"/>
      <c r="L52" s="42"/>
    </row>
    <row r="53" spans="2:12" ht="20.149999999999999" customHeight="1" x14ac:dyDescent="0.45">
      <c r="B53" s="41"/>
      <c r="L53" s="42"/>
    </row>
    <row r="54" spans="2:12" ht="20.149999999999999" customHeight="1" x14ac:dyDescent="0.45">
      <c r="B54" s="49"/>
      <c r="C54" s="50"/>
      <c r="D54" s="50"/>
      <c r="J54" s="50"/>
      <c r="K54" s="50"/>
      <c r="L54" s="51"/>
    </row>
    <row r="55" spans="2:12" ht="20.149999999999999" customHeight="1" x14ac:dyDescent="0.45">
      <c r="B55" s="41" t="s">
        <v>27</v>
      </c>
      <c r="J55" s="24" t="s">
        <v>28</v>
      </c>
      <c r="L55" s="42"/>
    </row>
    <row r="56" spans="2:12" ht="19" thickBot="1" x14ac:dyDescent="0.5">
      <c r="B56" s="52"/>
      <c r="C56" s="53"/>
      <c r="D56" s="53"/>
      <c r="E56" s="53"/>
      <c r="F56" s="53"/>
      <c r="G56" s="53"/>
      <c r="H56" s="53"/>
      <c r="I56" s="53"/>
      <c r="J56" s="53"/>
      <c r="K56" s="53"/>
      <c r="L56" s="54"/>
    </row>
  </sheetData>
  <mergeCells count="58">
    <mergeCell ref="D36:F36"/>
    <mergeCell ref="I36:J36"/>
    <mergeCell ref="J44:K44"/>
    <mergeCell ref="J46:K46"/>
    <mergeCell ref="J48:K48"/>
    <mergeCell ref="D37:F37"/>
    <mergeCell ref="I37:J37"/>
    <mergeCell ref="D33:F33"/>
    <mergeCell ref="I33:J33"/>
    <mergeCell ref="D34:F34"/>
    <mergeCell ref="I34:J34"/>
    <mergeCell ref="D35:F35"/>
    <mergeCell ref="I35:J35"/>
    <mergeCell ref="D30:F30"/>
    <mergeCell ref="I30:J30"/>
    <mergeCell ref="D31:F31"/>
    <mergeCell ref="I31:J31"/>
    <mergeCell ref="D32:F32"/>
    <mergeCell ref="I32:J32"/>
    <mergeCell ref="D27:F27"/>
    <mergeCell ref="I27:J27"/>
    <mergeCell ref="D28:F28"/>
    <mergeCell ref="I28:J28"/>
    <mergeCell ref="D29:F29"/>
    <mergeCell ref="I29:J29"/>
    <mergeCell ref="D24:F24"/>
    <mergeCell ref="I24:J24"/>
    <mergeCell ref="D25:F25"/>
    <mergeCell ref="I25:J25"/>
    <mergeCell ref="D26:F26"/>
    <mergeCell ref="I26:J26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1181102362204722" bottom="0.23622047244094491" header="0.31496062992125984" footer="0.31496062992125984"/>
  <pageSetup paperSize="9" scale="70" orientation="portrait" horizontalDpi="300" verticalDpi="300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42EC55-E24A-442B-B8FE-8DBD8E6C540C}">
  <sheetPr codeName="Sheet47">
    <tabColor rgb="FF92D050"/>
    <pageSetUpPr fitToPage="1"/>
  </sheetPr>
  <dimension ref="B1:R47"/>
  <sheetViews>
    <sheetView topLeftCell="A12" zoomScaleNormal="100" workbookViewId="0">
      <selection activeCell="H25" sqref="H25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7.453125" style="24" customWidth="1"/>
    <col min="7" max="7" width="8.54296875" style="24" customWidth="1"/>
    <col min="8" max="8" width="18.26953125" style="24" customWidth="1"/>
    <col min="9" max="9" width="2.54296875" style="24" customWidth="1"/>
    <col min="10" max="10" width="15.54296875" style="24" customWidth="1"/>
    <col min="11" max="11" width="10.54296875" style="24" customWidth="1"/>
    <col min="12" max="12" width="12.54296875" style="24" customWidth="1"/>
    <col min="13" max="16384" width="12.54296875" style="24"/>
  </cols>
  <sheetData>
    <row r="1" spans="2:14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4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4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4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4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4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4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4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4" ht="19" thickBot="1" x14ac:dyDescent="0.5">
      <c r="B9" s="23"/>
    </row>
    <row r="10" spans="2:14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1376</v>
      </c>
      <c r="J10" s="29" t="s">
        <v>29</v>
      </c>
      <c r="K10" s="452">
        <v>202209406</v>
      </c>
      <c r="L10" s="453"/>
    </row>
    <row r="11" spans="2:14" ht="20.149999999999999" customHeight="1" x14ac:dyDescent="0.45">
      <c r="B11" s="454"/>
      <c r="C11" s="455"/>
      <c r="D11" s="456"/>
      <c r="E11" s="30"/>
      <c r="F11" s="457" t="str">
        <f>VLOOKUP(H10,'Delivery Location'!A$4:N$416,2,0)</f>
        <v>Café 107 Pte Ltd                                                                             107 Serangoon North Ave 1, #01-671 Singapore 550107.</v>
      </c>
      <c r="G11" s="458"/>
      <c r="H11" s="459"/>
      <c r="J11" s="31" t="s">
        <v>11</v>
      </c>
      <c r="K11" s="466">
        <v>44830</v>
      </c>
      <c r="L11" s="467"/>
    </row>
    <row r="12" spans="2:14" ht="20.149999999999999" customHeight="1" x14ac:dyDescent="0.45">
      <c r="B12" s="468"/>
      <c r="C12" s="469"/>
      <c r="D12" s="470"/>
      <c r="E12" s="30"/>
      <c r="F12" s="460"/>
      <c r="G12" s="461"/>
      <c r="H12" s="462"/>
      <c r="J12" s="31" t="s">
        <v>171</v>
      </c>
      <c r="K12" s="471" t="s">
        <v>533</v>
      </c>
      <c r="L12" s="472"/>
    </row>
    <row r="13" spans="2:14" ht="20.149999999999999" customHeight="1" x14ac:dyDescent="0.45">
      <c r="B13" s="468"/>
      <c r="C13" s="469"/>
      <c r="D13" s="470"/>
      <c r="E13" s="30"/>
      <c r="F13" s="460"/>
      <c r="G13" s="461"/>
      <c r="H13" s="462"/>
      <c r="J13" s="31" t="s">
        <v>12</v>
      </c>
      <c r="K13" s="471" t="s">
        <v>688</v>
      </c>
      <c r="L13" s="472"/>
    </row>
    <row r="14" spans="2:14" ht="20.149999999999999" customHeight="1" x14ac:dyDescent="0.45">
      <c r="B14" s="468"/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  <c r="N14" s="285" t="s">
        <v>1878</v>
      </c>
    </row>
    <row r="15" spans="2:14" ht="18" customHeight="1" thickBot="1" x14ac:dyDescent="0.5">
      <c r="B15" s="552"/>
      <c r="C15" s="474"/>
      <c r="D15" s="475"/>
      <c r="E15" s="26"/>
      <c r="F15" s="463"/>
      <c r="G15" s="464"/>
      <c r="H15" s="465"/>
      <c r="J15" s="32" t="s">
        <v>13</v>
      </c>
      <c r="K15" s="476"/>
      <c r="L15" s="477"/>
    </row>
    <row r="16" spans="2:14" ht="19" thickBot="1" x14ac:dyDescent="0.5">
      <c r="J16" s="22"/>
    </row>
    <row r="17" spans="2:18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18" ht="20.149999999999999" customHeight="1" x14ac:dyDescent="0.45">
      <c r="B18" s="70"/>
      <c r="C18" s="22" t="s">
        <v>1460</v>
      </c>
      <c r="D18" s="508" t="str">
        <f>VLOOKUP(C18,'Sales Master'!B$3:D$499,2,)</f>
        <v>Coconut Sugar Syrup 椰糖浆</v>
      </c>
      <c r="E18" s="508"/>
      <c r="F18" s="508"/>
      <c r="G18" s="90">
        <v>1</v>
      </c>
      <c r="H18" s="389" t="str">
        <f>VLOOKUP(C18,'Sales Master'!$B$3:$F$3179,5,0)</f>
        <v>4L/BTL</v>
      </c>
      <c r="I18" s="482" t="str">
        <f>VLOOKUP(C18,'Sales Master'!$B$3:$E$3179,4,0)</f>
        <v>DO!</v>
      </c>
      <c r="J18" s="482"/>
      <c r="K18" s="98">
        <f>VLOOKUP(C18,'Sales Master'!$B$4:$BU$3199,72,0)</f>
        <v>13</v>
      </c>
      <c r="L18" s="99">
        <f t="shared" ref="L18" si="0">K18*G18</f>
        <v>13</v>
      </c>
      <c r="M18" s="78"/>
      <c r="N18" s="225">
        <f>VLOOKUP(C18,'Sales Master'!$B$3:$DA$3038,104,0)</f>
        <v>9.27</v>
      </c>
      <c r="O18" s="225">
        <f t="shared" ref="O18" si="1">K18-N18</f>
        <v>3.7300000000000004</v>
      </c>
      <c r="P18" s="225">
        <f t="shared" ref="P18" si="2">O18*G18</f>
        <v>3.7300000000000004</v>
      </c>
      <c r="R18" s="287">
        <v>1</v>
      </c>
    </row>
    <row r="19" spans="2:18" ht="20.149999999999999" customHeight="1" x14ac:dyDescent="0.45">
      <c r="B19" s="70"/>
      <c r="C19" s="22" t="s">
        <v>1656</v>
      </c>
      <c r="D19" s="508" t="str">
        <f>VLOOKUP(C19,'Sales Master'!B$3:D$499,2,)</f>
        <v>Sour Plum 酸梅（无子）</v>
      </c>
      <c r="E19" s="508"/>
      <c r="F19" s="508"/>
      <c r="G19" s="90">
        <v>1</v>
      </c>
      <c r="H19" s="389" t="str">
        <f>VLOOKUP(C19,'Sales Master'!$B$3:$F$3179,5,0)</f>
        <v>1 kg</v>
      </c>
      <c r="I19" s="482" t="str">
        <f>VLOOKUP(C19,'Sales Master'!$B$3:$E$3179,4,0)</f>
        <v>-</v>
      </c>
      <c r="J19" s="482"/>
      <c r="K19" s="98">
        <f>VLOOKUP(C19,'Sales Master'!$B$4:$BU$3199,72,0)</f>
        <v>22</v>
      </c>
      <c r="L19" s="99">
        <f t="shared" ref="L19:L20" si="3">K19*G19</f>
        <v>22</v>
      </c>
      <c r="M19" s="78"/>
      <c r="N19" s="225">
        <f>VLOOKUP(C19,'Sales Master'!$B$3:$DA$3038,104,0)</f>
        <v>14.533333333333333</v>
      </c>
      <c r="O19" s="225">
        <f t="shared" ref="O19:O20" si="4">K19-N19</f>
        <v>7.4666666666666668</v>
      </c>
      <c r="P19" s="225">
        <f t="shared" ref="P19:P20" si="5">O19*G19</f>
        <v>7.4666666666666668</v>
      </c>
    </row>
    <row r="20" spans="2:18" ht="20.149999999999999" customHeight="1" x14ac:dyDescent="0.45">
      <c r="B20" s="70"/>
      <c r="C20" s="22" t="s">
        <v>1648</v>
      </c>
      <c r="D20" s="508" t="str">
        <f>VLOOKUP(C20,'Sales Master'!B$3:D$499,2,)</f>
        <v>Honey Pearl - Black 蜜糖珍珠</v>
      </c>
      <c r="E20" s="508"/>
      <c r="F20" s="508"/>
      <c r="G20" s="90">
        <v>1</v>
      </c>
      <c r="H20" s="389" t="str">
        <f>VLOOKUP(C20,'Sales Master'!$B$3:$F$3179,5,0)</f>
        <v>3 kgs</v>
      </c>
      <c r="I20" s="482" t="str">
        <f>VLOOKUP(C20,'Sales Master'!$B$3:$E$3179,4,0)</f>
        <v>9 MM</v>
      </c>
      <c r="J20" s="482"/>
      <c r="K20" s="98">
        <f>VLOOKUP(C20,'Sales Master'!$B$4:$BU$3199,72,0)</f>
        <v>9.5</v>
      </c>
      <c r="L20" s="99">
        <f t="shared" si="3"/>
        <v>9.5</v>
      </c>
      <c r="M20" s="78"/>
      <c r="N20" s="225">
        <f>VLOOKUP(C20,'Sales Master'!$B$3:$DA$3038,104,0)</f>
        <v>7.2</v>
      </c>
      <c r="O20" s="225">
        <f t="shared" si="4"/>
        <v>2.2999999999999998</v>
      </c>
      <c r="P20" s="225">
        <f t="shared" si="5"/>
        <v>2.2999999999999998</v>
      </c>
    </row>
    <row r="21" spans="2:18" ht="20.149999999999999" customHeight="1" x14ac:dyDescent="0.45">
      <c r="B21" s="70"/>
      <c r="C21" s="22" t="s">
        <v>1771</v>
      </c>
      <c r="D21" s="508" t="str">
        <f>VLOOKUP(C21,'Sales Master'!B$3:D$499,2,)</f>
        <v>Fine Sugar 白糖</v>
      </c>
      <c r="E21" s="508"/>
      <c r="F21" s="508"/>
      <c r="G21" s="90">
        <v>2</v>
      </c>
      <c r="H21" s="389" t="str">
        <f>VLOOKUP(C21,'Sales Master'!$B$3:$F$3179,5,0)</f>
        <v>25 KGS</v>
      </c>
      <c r="I21" s="482" t="str">
        <f>VLOOKUP(C21,'Sales Master'!$B$3:$E$3179,4,0)</f>
        <v>MITRPHOL</v>
      </c>
      <c r="J21" s="482"/>
      <c r="K21" s="98">
        <f>VLOOKUP(C21,'Sales Master'!$B$4:$BU$3199,72,0)</f>
        <v>30</v>
      </c>
      <c r="L21" s="99">
        <f t="shared" ref="L21" si="6">K21*G21</f>
        <v>60</v>
      </c>
      <c r="M21" s="78"/>
      <c r="N21" s="225">
        <f>VLOOKUP(C21,'Sales Master'!$B$3:$DA$3038,104,0)</f>
        <v>24</v>
      </c>
      <c r="O21" s="225">
        <f t="shared" ref="O21" si="7">K21-N21</f>
        <v>6</v>
      </c>
      <c r="P21" s="225">
        <f t="shared" ref="P21" si="8">O21*G21</f>
        <v>12</v>
      </c>
    </row>
    <row r="22" spans="2:18" ht="20.149999999999999" customHeight="1" x14ac:dyDescent="0.45">
      <c r="B22" s="70"/>
      <c r="C22" s="22"/>
      <c r="D22" s="508"/>
      <c r="E22" s="508"/>
      <c r="F22" s="508"/>
      <c r="G22" s="90"/>
      <c r="H22" s="68"/>
      <c r="I22" s="481"/>
      <c r="J22" s="481"/>
      <c r="K22" s="98"/>
      <c r="L22" s="99"/>
      <c r="M22" s="78"/>
      <c r="N22" s="225"/>
      <c r="O22" s="225"/>
      <c r="P22" s="225"/>
    </row>
    <row r="23" spans="2:18" ht="20.149999999999999" customHeight="1" x14ac:dyDescent="0.45">
      <c r="B23" s="70"/>
      <c r="C23" s="22"/>
      <c r="D23" s="508"/>
      <c r="E23" s="508"/>
      <c r="F23" s="508"/>
      <c r="G23" s="90"/>
      <c r="H23" s="68"/>
      <c r="I23" s="481"/>
      <c r="J23" s="481"/>
      <c r="K23" s="98"/>
      <c r="L23" s="99"/>
      <c r="M23" s="78"/>
      <c r="N23" s="225"/>
      <c r="O23" s="225"/>
      <c r="P23" s="225"/>
    </row>
    <row r="24" spans="2:18" ht="20.149999999999999" customHeight="1" x14ac:dyDescent="0.45">
      <c r="B24" s="70"/>
      <c r="G24" s="90"/>
      <c r="H24" s="68"/>
      <c r="I24" s="68"/>
      <c r="J24" s="68"/>
      <c r="K24" s="98"/>
      <c r="L24" s="99"/>
      <c r="M24" s="78"/>
      <c r="N24" s="225"/>
      <c r="O24" s="225"/>
      <c r="P24" s="225"/>
    </row>
    <row r="25" spans="2:18" ht="20.149999999999999" customHeight="1" x14ac:dyDescent="0.45">
      <c r="B25" s="70"/>
      <c r="C25" s="22"/>
      <c r="D25" s="508"/>
      <c r="E25" s="508"/>
      <c r="F25" s="508"/>
      <c r="G25" s="90"/>
      <c r="H25" s="68"/>
      <c r="I25" s="481"/>
      <c r="J25" s="481"/>
      <c r="K25" s="98"/>
      <c r="L25" s="99"/>
      <c r="M25" s="78"/>
      <c r="N25" s="225"/>
      <c r="O25" s="225"/>
      <c r="P25" s="225"/>
    </row>
    <row r="26" spans="2:18" ht="20.149999999999999" customHeight="1" x14ac:dyDescent="0.45">
      <c r="B26" s="70"/>
      <c r="C26" s="23" t="s">
        <v>2128</v>
      </c>
      <c r="G26" s="90"/>
      <c r="H26" s="68"/>
      <c r="I26" s="68"/>
      <c r="J26" s="68"/>
      <c r="K26" s="98"/>
      <c r="L26" s="99"/>
      <c r="M26" s="78"/>
      <c r="N26" s="225"/>
      <c r="O26" s="225"/>
      <c r="P26" s="225"/>
    </row>
    <row r="27" spans="2:18" ht="20.149999999999999" customHeight="1" x14ac:dyDescent="0.45">
      <c r="B27" s="70"/>
      <c r="C27" s="230" t="s">
        <v>2233</v>
      </c>
      <c r="G27" s="90"/>
      <c r="H27" s="68"/>
      <c r="I27" s="68"/>
      <c r="J27" s="68"/>
      <c r="K27" s="98"/>
      <c r="L27" s="99"/>
      <c r="M27" s="78"/>
      <c r="N27" s="225"/>
      <c r="O27" s="225"/>
      <c r="P27" s="225"/>
    </row>
    <row r="28" spans="2:18" ht="20.149999999999999" customHeight="1" x14ac:dyDescent="0.45">
      <c r="B28" s="70"/>
      <c r="C28" s="230" t="s">
        <v>2232</v>
      </c>
      <c r="G28" s="90"/>
      <c r="H28" s="68"/>
      <c r="I28" s="68"/>
      <c r="J28" s="68"/>
      <c r="K28" s="98"/>
      <c r="L28" s="99"/>
      <c r="M28" s="78"/>
      <c r="N28" s="225"/>
      <c r="O28" s="225"/>
      <c r="P28" s="225"/>
    </row>
    <row r="29" spans="2:18" ht="20.149999999999999" customHeight="1" x14ac:dyDescent="0.45">
      <c r="B29" s="70"/>
      <c r="C29" s="22"/>
      <c r="D29" s="508"/>
      <c r="E29" s="508"/>
      <c r="F29" s="508"/>
      <c r="G29" s="90"/>
      <c r="H29" s="68"/>
      <c r="I29" s="481"/>
      <c r="J29" s="481"/>
      <c r="K29" s="98"/>
      <c r="L29" s="99"/>
      <c r="M29" s="78"/>
      <c r="N29" s="225"/>
      <c r="O29" s="225"/>
      <c r="P29" s="225"/>
    </row>
    <row r="30" spans="2:18" ht="20.149999999999999" customHeight="1" x14ac:dyDescent="0.45">
      <c r="B30" s="70"/>
      <c r="C30" s="22"/>
      <c r="D30" s="230"/>
      <c r="E30" s="230"/>
      <c r="F30" s="230"/>
      <c r="G30" s="401"/>
      <c r="H30" s="68"/>
      <c r="I30" s="68"/>
      <c r="J30" s="68"/>
      <c r="K30" s="394"/>
      <c r="L30" s="99"/>
      <c r="M30" s="78"/>
      <c r="N30" s="225"/>
      <c r="O30" s="225"/>
      <c r="P30" s="225"/>
    </row>
    <row r="31" spans="2:18" ht="20.149999999999999" customHeight="1" x14ac:dyDescent="0.45">
      <c r="B31" s="70"/>
      <c r="C31" s="285" t="s">
        <v>2266</v>
      </c>
      <c r="G31" s="401"/>
      <c r="H31" s="68"/>
      <c r="I31" s="68"/>
      <c r="J31" s="68"/>
      <c r="K31" s="394"/>
      <c r="L31" s="99"/>
      <c r="M31" s="78"/>
      <c r="N31" s="225"/>
      <c r="O31" s="225"/>
      <c r="P31" s="225"/>
    </row>
    <row r="32" spans="2:18" ht="20.149999999999999" customHeight="1" x14ac:dyDescent="0.45">
      <c r="B32" s="70"/>
      <c r="C32" s="22" t="s">
        <v>1771</v>
      </c>
      <c r="D32" s="505" t="str">
        <f>VLOOKUP(C32,'Sales Master'!B$3:D$699,2,)</f>
        <v>Fine Sugar 白糖</v>
      </c>
      <c r="E32" s="505"/>
      <c r="F32" s="505"/>
      <c r="G32" s="401">
        <v>1</v>
      </c>
      <c r="H32" s="386" t="str">
        <f>VLOOKUP(C32,'Sales Master'!$B$3:$F$3179,5,0)</f>
        <v>25 KGS</v>
      </c>
      <c r="I32" s="513" t="str">
        <f>VLOOKUP(C32,'Sales Master'!$B$3:$E$3179,4,0)</f>
        <v>MITRPHOL</v>
      </c>
      <c r="J32" s="513"/>
      <c r="K32" s="394">
        <v>30</v>
      </c>
      <c r="L32" s="99"/>
      <c r="M32" s="78"/>
      <c r="N32" s="225"/>
      <c r="O32" s="225"/>
      <c r="P32" s="225"/>
    </row>
    <row r="33" spans="2:14" ht="20.149999999999999" customHeight="1" thickBot="1" x14ac:dyDescent="0.5">
      <c r="B33" s="52"/>
      <c r="C33" s="53"/>
      <c r="D33" s="53"/>
      <c r="E33" s="53"/>
      <c r="F33" s="53"/>
      <c r="G33" s="53"/>
      <c r="H33" s="53"/>
      <c r="I33" s="53"/>
      <c r="J33" s="53"/>
      <c r="K33" s="53"/>
      <c r="L33" s="54"/>
    </row>
    <row r="34" spans="2:14" ht="20.149999999999999" customHeight="1" x14ac:dyDescent="0.45">
      <c r="B34" s="11" t="s">
        <v>18</v>
      </c>
      <c r="C34" s="7"/>
      <c r="D34" s="7"/>
      <c r="E34" s="7"/>
      <c r="F34" s="7"/>
      <c r="G34" s="7"/>
      <c r="H34" s="7"/>
      <c r="I34" s="7"/>
      <c r="J34" s="510" t="s">
        <v>15</v>
      </c>
      <c r="K34" s="511"/>
      <c r="L34" s="43">
        <f>SUM(L17:L33)</f>
        <v>104.5</v>
      </c>
      <c r="M34" s="76">
        <f>SUM(P18:P32)</f>
        <v>25.496666666666666</v>
      </c>
      <c r="N34" s="201">
        <f>M34/L34</f>
        <v>0.24398724082934609</v>
      </c>
    </row>
    <row r="35" spans="2:14" ht="20.149999999999999" customHeight="1" x14ac:dyDescent="0.45">
      <c r="B35" s="11" t="s">
        <v>19</v>
      </c>
      <c r="C35" s="7"/>
      <c r="D35" s="7"/>
      <c r="E35" s="7"/>
      <c r="F35" s="7"/>
      <c r="G35" s="7"/>
      <c r="H35" s="7"/>
      <c r="I35" s="7"/>
      <c r="J35" s="44" t="s">
        <v>22</v>
      </c>
      <c r="K35" s="45"/>
      <c r="L35" s="46">
        <f>L34*K35</f>
        <v>0</v>
      </c>
    </row>
    <row r="36" spans="2:14" ht="20.149999999999999" customHeight="1" x14ac:dyDescent="0.45">
      <c r="B36" s="11" t="s">
        <v>20</v>
      </c>
      <c r="C36" s="7"/>
      <c r="D36" s="7"/>
      <c r="E36" s="7"/>
      <c r="F36" s="7"/>
      <c r="G36" s="7"/>
      <c r="H36" s="7"/>
      <c r="I36" s="7"/>
      <c r="J36" s="486" t="s">
        <v>21</v>
      </c>
      <c r="K36" s="487"/>
      <c r="L36" s="46">
        <f>L34-L35</f>
        <v>104.5</v>
      </c>
    </row>
    <row r="37" spans="2:14" ht="20.149999999999999" customHeight="1" x14ac:dyDescent="0.45">
      <c r="B37" s="11" t="s">
        <v>24</v>
      </c>
      <c r="C37" s="7"/>
      <c r="D37" s="7"/>
      <c r="E37" s="7"/>
      <c r="F37" s="7"/>
      <c r="G37" s="7"/>
      <c r="H37" s="7"/>
      <c r="I37" s="7"/>
      <c r="J37" s="150" t="s">
        <v>17</v>
      </c>
      <c r="K37" s="151">
        <v>7.0000000000000007E-2</v>
      </c>
      <c r="L37" s="47">
        <f>L36*K37</f>
        <v>7.3150000000000004</v>
      </c>
    </row>
    <row r="38" spans="2:14" ht="20.149999999999999" customHeight="1" thickBot="1" x14ac:dyDescent="0.5">
      <c r="B38" s="11" t="s">
        <v>25</v>
      </c>
      <c r="C38" s="7"/>
      <c r="D38" s="7"/>
      <c r="E38" s="7"/>
      <c r="F38" s="7"/>
      <c r="G38" s="7"/>
      <c r="H38" s="7"/>
      <c r="I38" s="7"/>
      <c r="J38" s="488" t="s">
        <v>23</v>
      </c>
      <c r="K38" s="489"/>
      <c r="L38" s="48">
        <f>L36+L37</f>
        <v>111.815</v>
      </c>
    </row>
    <row r="39" spans="2:14" ht="20.149999999999999" customHeight="1" x14ac:dyDescent="0.45">
      <c r="B39" s="11" t="s">
        <v>26</v>
      </c>
      <c r="C39" s="7"/>
      <c r="D39" s="7"/>
      <c r="E39" s="7"/>
      <c r="F39" s="7"/>
      <c r="G39" s="7"/>
      <c r="H39" s="7"/>
      <c r="I39" s="7"/>
      <c r="L39" s="42"/>
    </row>
    <row r="40" spans="2:14" ht="20.149999999999999" customHeight="1" x14ac:dyDescent="0.45">
      <c r="B40" s="224" t="s">
        <v>1379</v>
      </c>
      <c r="L40" s="42"/>
    </row>
    <row r="41" spans="2:14" ht="20.149999999999999" customHeight="1" x14ac:dyDescent="0.45">
      <c r="B41" s="41"/>
      <c r="L41" s="42"/>
    </row>
    <row r="42" spans="2:14" ht="20.149999999999999" customHeight="1" x14ac:dyDescent="0.45">
      <c r="B42" s="41"/>
      <c r="L42" s="42"/>
    </row>
    <row r="43" spans="2:14" ht="20.149999999999999" customHeight="1" x14ac:dyDescent="0.45">
      <c r="B43" s="41"/>
      <c r="L43" s="42"/>
    </row>
    <row r="44" spans="2:14" ht="20.149999999999999" customHeight="1" x14ac:dyDescent="0.45">
      <c r="B44" s="49"/>
      <c r="C44" s="50"/>
      <c r="D44" s="50"/>
      <c r="J44" s="50"/>
      <c r="K44" s="50"/>
      <c r="L44" s="51"/>
    </row>
    <row r="45" spans="2:14" ht="20.149999999999999" customHeight="1" x14ac:dyDescent="0.45">
      <c r="B45" s="41" t="s">
        <v>27</v>
      </c>
      <c r="J45" s="24" t="s">
        <v>28</v>
      </c>
      <c r="L45" s="42"/>
    </row>
    <row r="46" spans="2:14" ht="19" thickBot="1" x14ac:dyDescent="0.5">
      <c r="B46" s="52"/>
      <c r="C46" s="53"/>
      <c r="D46" s="53"/>
      <c r="E46" s="53"/>
      <c r="F46" s="53"/>
      <c r="G46" s="53"/>
      <c r="H46" s="53"/>
      <c r="I46" s="53"/>
      <c r="J46" s="53"/>
      <c r="K46" s="53"/>
      <c r="L46" s="54"/>
    </row>
    <row r="47" spans="2:14" ht="20.5" x14ac:dyDescent="0.45">
      <c r="F47" s="428"/>
    </row>
  </sheetData>
  <mergeCells count="36">
    <mergeCell ref="J38:K38"/>
    <mergeCell ref="J34:K34"/>
    <mergeCell ref="D32:F32"/>
    <mergeCell ref="I32:J32"/>
    <mergeCell ref="J36:K36"/>
    <mergeCell ref="I17:J17"/>
    <mergeCell ref="D18:F18"/>
    <mergeCell ref="I18:J18"/>
    <mergeCell ref="D19:F19"/>
    <mergeCell ref="I19:J19"/>
    <mergeCell ref="D17:F17"/>
    <mergeCell ref="D20:F20"/>
    <mergeCell ref="I20:J20"/>
    <mergeCell ref="D29:F29"/>
    <mergeCell ref="I25:J25"/>
    <mergeCell ref="I29:J29"/>
    <mergeCell ref="D25:F25"/>
    <mergeCell ref="D21:F21"/>
    <mergeCell ref="I21:J21"/>
    <mergeCell ref="D22:F22"/>
    <mergeCell ref="I22:J22"/>
    <mergeCell ref="D23:F23"/>
    <mergeCell ref="I23:J23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30">
    <cfRule type="duplicateValues" dxfId="35" priority="1085"/>
  </conditionalFormatting>
  <conditionalFormatting sqref="C30:C31">
    <cfRule type="duplicateValues" dxfId="34" priority="1086"/>
  </conditionalFormatting>
  <pageMargins left="0.70866141732283472" right="0.31496062992125984" top="0.59055118110236227" bottom="0" header="0.31496062992125984" footer="0.31496062992125984"/>
  <pageSetup paperSize="9" scale="75"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5925D-05C9-4DD4-B909-201BB7AD03B9}">
  <sheetPr codeName="Sheet48">
    <tabColor rgb="FF996600"/>
    <pageSetUpPr fitToPage="1"/>
  </sheetPr>
  <dimension ref="B1:P42"/>
  <sheetViews>
    <sheetView workbookViewId="0">
      <selection activeCell="B1" sqref="B1:L42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4.54296875" style="24" customWidth="1"/>
    <col min="7" max="7" width="8.54296875" style="24" customWidth="1"/>
    <col min="8" max="8" width="16.1796875" style="24" customWidth="1"/>
    <col min="9" max="9" width="1" style="24" customWidth="1"/>
    <col min="10" max="10" width="14" style="24" customWidth="1"/>
    <col min="11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1851</v>
      </c>
      <c r="J10" s="29" t="s">
        <v>29</v>
      </c>
      <c r="K10" s="452">
        <v>202209162</v>
      </c>
      <c r="L10" s="453"/>
    </row>
    <row r="11" spans="2:12" ht="20.149999999999999" customHeight="1" x14ac:dyDescent="0.45">
      <c r="B11" s="454" t="s">
        <v>2037</v>
      </c>
      <c r="C11" s="455"/>
      <c r="D11" s="456"/>
      <c r="E11" s="30"/>
      <c r="F11" s="457" t="str">
        <f>VLOOKUP(H10,'Delivery Location'!A$4:N$416,2,0)</f>
        <v xml:space="preserve">KOUFU PTE LTD                                     BLK 671A, Edgefield Plains  #01-                  Singapore 821671              </v>
      </c>
      <c r="G11" s="458"/>
      <c r="H11" s="459"/>
      <c r="J11" s="31" t="s">
        <v>11</v>
      </c>
      <c r="K11" s="466">
        <v>44813</v>
      </c>
      <c r="L11" s="467"/>
    </row>
    <row r="12" spans="2:12" ht="20.149999999999999" customHeight="1" x14ac:dyDescent="0.45">
      <c r="B12" s="468" t="s">
        <v>2139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36</v>
      </c>
      <c r="L12" s="472"/>
    </row>
    <row r="13" spans="2:12" ht="20.149999999999999" customHeight="1" x14ac:dyDescent="0.45">
      <c r="B13" s="468" t="s">
        <v>2024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14</v>
      </c>
      <c r="L13" s="472"/>
    </row>
    <row r="14" spans="2:12" ht="20.149999999999999" customHeight="1" x14ac:dyDescent="0.45">
      <c r="B14" s="468" t="s">
        <v>2025</v>
      </c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463" t="s">
        <v>2026</v>
      </c>
      <c r="C15" s="464"/>
      <c r="D15" s="465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16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16" ht="20.149999999999999" customHeight="1" x14ac:dyDescent="0.45">
      <c r="B18" s="34"/>
      <c r="C18" s="22" t="s">
        <v>1532</v>
      </c>
      <c r="D18" s="508" t="str">
        <f>VLOOKUP(C18,'Sales Master'!B$3:D$499,2,)</f>
        <v>Sweet Potato Powder番薯粉</v>
      </c>
      <c r="E18" s="508"/>
      <c r="F18" s="508"/>
      <c r="G18" s="22">
        <v>1</v>
      </c>
      <c r="H18" s="68" t="str">
        <f>VLOOKUP(C18,'Sales Master'!$B$3:$F$3247,5,0)</f>
        <v>(500gm x 20Pkt)包</v>
      </c>
      <c r="I18" s="481" t="str">
        <f>VLOOKUP(C18,'Sales Master'!$B$3:$E$3247,4,0)</f>
        <v>RE-PACK</v>
      </c>
      <c r="J18" s="481"/>
      <c r="K18" s="35">
        <f>VLOOKUP(C18,'Sales Master'!$B$3:$J$583,9,0)</f>
        <v>32</v>
      </c>
      <c r="L18" s="36">
        <f>K18*G18</f>
        <v>32</v>
      </c>
      <c r="N18" s="225">
        <f>VLOOKUP(C18,'Sales Master'!$B$3:$DA$3038,104,0)</f>
        <v>24.8</v>
      </c>
      <c r="O18" s="225">
        <f>K18-N18</f>
        <v>7.1999999999999993</v>
      </c>
      <c r="P18" s="225">
        <f>O18*G18</f>
        <v>7.1999999999999993</v>
      </c>
    </row>
    <row r="19" spans="2:16" ht="20.149999999999999" customHeight="1" x14ac:dyDescent="0.45">
      <c r="B19" s="34"/>
      <c r="C19" s="22"/>
      <c r="D19" s="508"/>
      <c r="E19" s="508"/>
      <c r="F19" s="508"/>
      <c r="G19" s="22"/>
      <c r="H19" s="68"/>
      <c r="I19" s="481"/>
      <c r="J19" s="481"/>
      <c r="K19" s="35"/>
      <c r="L19" s="36"/>
    </row>
    <row r="20" spans="2:16" ht="20.149999999999999" customHeight="1" x14ac:dyDescent="0.45">
      <c r="B20" s="34"/>
      <c r="C20" s="22"/>
      <c r="D20" s="508"/>
      <c r="E20" s="508"/>
      <c r="F20" s="508"/>
      <c r="G20" s="22"/>
      <c r="H20" s="68"/>
      <c r="I20" s="481"/>
      <c r="J20" s="481"/>
      <c r="K20" s="35"/>
      <c r="L20" s="36"/>
    </row>
    <row r="21" spans="2:16" ht="20.149999999999999" customHeight="1" x14ac:dyDescent="0.45">
      <c r="B21" s="34"/>
      <c r="C21" s="22"/>
      <c r="D21" s="508"/>
      <c r="E21" s="508"/>
      <c r="F21" s="508"/>
      <c r="G21" s="22"/>
      <c r="H21" s="68"/>
      <c r="I21" s="481"/>
      <c r="J21" s="481"/>
      <c r="K21" s="35"/>
      <c r="L21" s="36"/>
    </row>
    <row r="22" spans="2:16" ht="20.149999999999999" customHeight="1" x14ac:dyDescent="0.45">
      <c r="B22" s="34"/>
      <c r="C22" s="22"/>
      <c r="D22" s="508"/>
      <c r="E22" s="508"/>
      <c r="F22" s="508"/>
      <c r="G22" s="22"/>
      <c r="H22" s="68"/>
      <c r="I22" s="450"/>
      <c r="J22" s="450"/>
      <c r="K22" s="35"/>
      <c r="L22" s="36"/>
    </row>
    <row r="23" spans="2:16" ht="20.149999999999999" customHeight="1" x14ac:dyDescent="0.45">
      <c r="B23" s="34"/>
      <c r="C23" s="22"/>
      <c r="D23" s="508"/>
      <c r="E23" s="508"/>
      <c r="F23" s="508"/>
      <c r="G23" s="22"/>
      <c r="H23" s="68"/>
      <c r="I23" s="450"/>
      <c r="J23" s="450"/>
      <c r="K23" s="35"/>
      <c r="L23" s="36"/>
    </row>
    <row r="24" spans="2:16" ht="20.149999999999999" customHeight="1" x14ac:dyDescent="0.45">
      <c r="B24" s="34"/>
      <c r="C24" s="22"/>
      <c r="G24" s="22"/>
      <c r="H24" s="68"/>
      <c r="I24" s="450"/>
      <c r="J24" s="450"/>
      <c r="K24" s="35"/>
      <c r="L24" s="36"/>
    </row>
    <row r="25" spans="2:16" ht="20.149999999999999" customHeight="1" x14ac:dyDescent="0.45">
      <c r="B25" s="34"/>
      <c r="C25" s="22"/>
      <c r="D25" s="508"/>
      <c r="E25" s="508"/>
      <c r="F25" s="508"/>
      <c r="G25" s="22"/>
      <c r="H25" s="68"/>
      <c r="I25" s="68"/>
      <c r="J25" s="22"/>
      <c r="K25" s="35"/>
      <c r="L25" s="36"/>
    </row>
    <row r="26" spans="2:16" ht="20.149999999999999" customHeight="1" x14ac:dyDescent="0.45">
      <c r="B26" s="34"/>
      <c r="C26" s="22"/>
      <c r="D26" s="508"/>
      <c r="E26" s="508"/>
      <c r="F26" s="508"/>
      <c r="G26" s="22"/>
      <c r="H26" s="68"/>
      <c r="I26" s="68"/>
      <c r="J26" s="22"/>
      <c r="K26" s="35"/>
      <c r="L26" s="36"/>
    </row>
    <row r="27" spans="2:16" ht="20.149999999999999" customHeight="1" x14ac:dyDescent="0.45">
      <c r="B27" s="34"/>
      <c r="C27" s="22"/>
      <c r="D27" s="508"/>
      <c r="E27" s="508"/>
      <c r="F27" s="508"/>
      <c r="G27" s="22"/>
      <c r="H27" s="22"/>
      <c r="I27" s="22"/>
      <c r="J27" s="22"/>
      <c r="K27" s="35"/>
      <c r="L27" s="36"/>
    </row>
    <row r="28" spans="2:16" ht="20.149999999999999" customHeight="1" thickBot="1" x14ac:dyDescent="0.5">
      <c r="B28" s="37"/>
      <c r="C28" s="38"/>
      <c r="D28" s="509"/>
      <c r="E28" s="509"/>
      <c r="F28" s="509"/>
      <c r="G28" s="38"/>
      <c r="H28" s="38"/>
      <c r="I28" s="38"/>
      <c r="J28" s="38"/>
      <c r="K28" s="39"/>
      <c r="L28" s="40"/>
    </row>
    <row r="29" spans="2:16" ht="20.149999999999999" customHeight="1" thickBot="1" x14ac:dyDescent="0.5">
      <c r="B29" s="41"/>
      <c r="L29" s="42"/>
    </row>
    <row r="30" spans="2:16" ht="20.149999999999999" customHeight="1" x14ac:dyDescent="0.45">
      <c r="B30" s="11" t="s">
        <v>18</v>
      </c>
      <c r="C30" s="7"/>
      <c r="D30" s="7"/>
      <c r="E30" s="7"/>
      <c r="F30" s="7"/>
      <c r="G30" s="7"/>
      <c r="H30" s="7"/>
      <c r="I30" s="7"/>
      <c r="J30" s="510" t="s">
        <v>15</v>
      </c>
      <c r="K30" s="511"/>
      <c r="L30" s="43">
        <f>SUM(L17:L28)</f>
        <v>32</v>
      </c>
      <c r="M30" s="76">
        <f>SUM(P18:P27)-L30*0.02</f>
        <v>6.56</v>
      </c>
      <c r="N30" s="201">
        <f>M30/L30</f>
        <v>0.20499999999999999</v>
      </c>
    </row>
    <row r="31" spans="2:16" ht="20.149999999999999" customHeight="1" x14ac:dyDescent="0.45">
      <c r="B31" s="11" t="s">
        <v>19</v>
      </c>
      <c r="C31" s="7"/>
      <c r="D31" s="7"/>
      <c r="E31" s="7"/>
      <c r="F31" s="7"/>
      <c r="G31" s="7"/>
      <c r="H31" s="7"/>
      <c r="I31" s="7"/>
      <c r="J31" s="44" t="s">
        <v>22</v>
      </c>
      <c r="K31" s="45"/>
      <c r="L31" s="46">
        <f>L30*K31</f>
        <v>0</v>
      </c>
    </row>
    <row r="32" spans="2:16" ht="20.149999999999999" customHeight="1" x14ac:dyDescent="0.45">
      <c r="B32" s="11" t="s">
        <v>20</v>
      </c>
      <c r="C32" s="7"/>
      <c r="D32" s="7"/>
      <c r="E32" s="7"/>
      <c r="F32" s="7"/>
      <c r="G32" s="7"/>
      <c r="H32" s="7"/>
      <c r="I32" s="7"/>
      <c r="J32" s="486" t="s">
        <v>21</v>
      </c>
      <c r="K32" s="487"/>
      <c r="L32" s="46">
        <f>L30-L31</f>
        <v>32</v>
      </c>
    </row>
    <row r="33" spans="2:12" ht="20.149999999999999" customHeight="1" x14ac:dyDescent="0.45">
      <c r="B33" s="11" t="s">
        <v>24</v>
      </c>
      <c r="C33" s="7"/>
      <c r="D33" s="7"/>
      <c r="E33" s="7"/>
      <c r="F33" s="7"/>
      <c r="G33" s="7"/>
      <c r="H33" s="7"/>
      <c r="I33" s="7"/>
      <c r="J33" s="150" t="s">
        <v>17</v>
      </c>
      <c r="K33" s="151">
        <v>7.0000000000000007E-2</v>
      </c>
      <c r="L33" s="47">
        <f>L32*K33</f>
        <v>2.2400000000000002</v>
      </c>
    </row>
    <row r="34" spans="2:12" ht="20.149999999999999" customHeight="1" thickBot="1" x14ac:dyDescent="0.5">
      <c r="B34" s="11" t="s">
        <v>25</v>
      </c>
      <c r="C34" s="7"/>
      <c r="D34" s="7"/>
      <c r="E34" s="7"/>
      <c r="F34" s="7"/>
      <c r="G34" s="7"/>
      <c r="H34" s="7"/>
      <c r="I34" s="7"/>
      <c r="J34" s="488" t="s">
        <v>23</v>
      </c>
      <c r="K34" s="489"/>
      <c r="L34" s="48">
        <f>L32+L33</f>
        <v>34.24</v>
      </c>
    </row>
    <row r="35" spans="2:12" ht="20.149999999999999" customHeight="1" x14ac:dyDescent="0.45">
      <c r="B35" s="11" t="s">
        <v>26</v>
      </c>
      <c r="C35" s="7"/>
      <c r="D35" s="7"/>
      <c r="E35" s="7"/>
      <c r="F35" s="7"/>
      <c r="G35" s="7"/>
      <c r="H35" s="7"/>
      <c r="I35" s="7"/>
      <c r="L35" s="42"/>
    </row>
    <row r="36" spans="2:12" ht="20.149999999999999" customHeight="1" x14ac:dyDescent="0.45">
      <c r="B36" s="41"/>
      <c r="L36" s="42"/>
    </row>
    <row r="37" spans="2:12" ht="20.149999999999999" customHeight="1" x14ac:dyDescent="0.45">
      <c r="B37" s="41"/>
      <c r="L37" s="42"/>
    </row>
    <row r="38" spans="2:12" ht="20.149999999999999" customHeight="1" x14ac:dyDescent="0.45">
      <c r="B38" s="41"/>
      <c r="L38" s="42"/>
    </row>
    <row r="39" spans="2:12" ht="20.149999999999999" customHeight="1" x14ac:dyDescent="0.45">
      <c r="B39" s="41"/>
      <c r="L39" s="42"/>
    </row>
    <row r="40" spans="2:12" ht="20.149999999999999" customHeight="1" x14ac:dyDescent="0.45">
      <c r="B40" s="49"/>
      <c r="C40" s="50"/>
      <c r="D40" s="50"/>
      <c r="J40" s="50"/>
      <c r="K40" s="50"/>
      <c r="L40" s="51"/>
    </row>
    <row r="41" spans="2:12" ht="20.149999999999999" customHeight="1" x14ac:dyDescent="0.45">
      <c r="B41" s="41" t="s">
        <v>27</v>
      </c>
      <c r="J41" s="24" t="s">
        <v>28</v>
      </c>
      <c r="L41" s="42"/>
    </row>
    <row r="42" spans="2:12" ht="19" thickBot="1" x14ac:dyDescent="0.5">
      <c r="B42" s="52"/>
      <c r="C42" s="53"/>
      <c r="D42" s="53"/>
      <c r="E42" s="53"/>
      <c r="F42" s="53"/>
      <c r="G42" s="53"/>
      <c r="H42" s="53"/>
      <c r="I42" s="53"/>
      <c r="J42" s="53"/>
      <c r="K42" s="53"/>
      <c r="L42" s="54"/>
    </row>
  </sheetData>
  <mergeCells count="35">
    <mergeCell ref="D28:F28"/>
    <mergeCell ref="J30:K30"/>
    <mergeCell ref="J32:K32"/>
    <mergeCell ref="J34:K34"/>
    <mergeCell ref="D25:F25"/>
    <mergeCell ref="D26:F26"/>
    <mergeCell ref="D27:F27"/>
    <mergeCell ref="D17:F17"/>
    <mergeCell ref="I17:J17"/>
    <mergeCell ref="D18:F18"/>
    <mergeCell ref="I18:J18"/>
    <mergeCell ref="D19:F19"/>
    <mergeCell ref="I19:J19"/>
    <mergeCell ref="D20:F20"/>
    <mergeCell ref="I20:J20"/>
    <mergeCell ref="D21:F21"/>
    <mergeCell ref="I21:J21"/>
    <mergeCell ref="D22:F22"/>
    <mergeCell ref="I22:J22"/>
    <mergeCell ref="D23:F23"/>
    <mergeCell ref="I23:J23"/>
    <mergeCell ref="I24:J24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</mergeCells>
  <pageMargins left="0.70866141732283472" right="0.31496062992125984" top="0.59055118110236227" bottom="0" header="0.31496062992125984" footer="0.31496062992125984"/>
  <pageSetup paperSize="9" scale="79" orientation="portrait" horizontalDpi="300" verticalDpi="300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A752A4-B627-46C2-9E04-8A809D5E6273}">
  <sheetPr codeName="Sheet49">
    <tabColor rgb="FF996600"/>
    <pageSetUpPr fitToPage="1"/>
  </sheetPr>
  <dimension ref="B1:P41"/>
  <sheetViews>
    <sheetView workbookViewId="0">
      <selection activeCell="B1" sqref="B1:L41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4.54296875" style="24" customWidth="1"/>
    <col min="7" max="7" width="8.54296875" style="24" customWidth="1"/>
    <col min="8" max="8" width="16.1796875" style="24" customWidth="1"/>
    <col min="9" max="9" width="1" style="24" customWidth="1"/>
    <col min="10" max="10" width="14" style="24" customWidth="1"/>
    <col min="11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1862</v>
      </c>
      <c r="J10" s="29" t="s">
        <v>29</v>
      </c>
      <c r="K10" s="452">
        <v>202207086</v>
      </c>
      <c r="L10" s="453"/>
    </row>
    <row r="11" spans="2:12" ht="20.149999999999999" customHeight="1" x14ac:dyDescent="0.45">
      <c r="B11" s="454" t="s">
        <v>2037</v>
      </c>
      <c r="C11" s="455"/>
      <c r="D11" s="456"/>
      <c r="E11" s="30"/>
      <c r="F11" s="457" t="str">
        <f>VLOOKUP(H10,'Delivery Location'!A$4:N$416,2,0)</f>
        <v xml:space="preserve">Koufu Pte Ltd                                           Drink Stall. Republic Polytechnic.           South Foodcourt.                                           31 Woodland Ave 9                                  Singapore 737909                                                                            </v>
      </c>
      <c r="G11" s="458"/>
      <c r="H11" s="459"/>
      <c r="J11" s="31" t="s">
        <v>11</v>
      </c>
      <c r="K11" s="466">
        <v>44747</v>
      </c>
      <c r="L11" s="467"/>
    </row>
    <row r="12" spans="2:12" ht="20.149999999999999" customHeight="1" x14ac:dyDescent="0.45">
      <c r="B12" s="468" t="s">
        <v>2139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36</v>
      </c>
      <c r="L12" s="472"/>
    </row>
    <row r="13" spans="2:12" ht="20.149999999999999" customHeight="1" x14ac:dyDescent="0.45">
      <c r="B13" s="468" t="s">
        <v>2024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14</v>
      </c>
      <c r="L13" s="472"/>
    </row>
    <row r="14" spans="2:12" ht="20.149999999999999" customHeight="1" x14ac:dyDescent="0.45">
      <c r="B14" s="468" t="s">
        <v>2025</v>
      </c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463" t="s">
        <v>2026</v>
      </c>
      <c r="C15" s="464"/>
      <c r="D15" s="465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16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16" ht="20.149999999999999" customHeight="1" x14ac:dyDescent="0.45">
      <c r="B18" s="34"/>
      <c r="C18" s="22" t="s">
        <v>1696</v>
      </c>
      <c r="D18" s="508" t="str">
        <f>VLOOKUP(C18,'Sales Master'!B$3:D$499,2,)</f>
        <v>Longan in Syrup龙眼</v>
      </c>
      <c r="E18" s="508"/>
      <c r="F18" s="508"/>
      <c r="G18" s="22">
        <v>2</v>
      </c>
      <c r="H18" s="68" t="str">
        <f>VLOOKUP(C18,'Sales Master'!$B$3:$F$3247,5,0)</f>
        <v>(565gm x 12)/箱</v>
      </c>
      <c r="I18" s="481" t="str">
        <f>VLOOKUP(C18,'Sales Master'!$B$3:$E$3247,4,0)</f>
        <v>YiFong</v>
      </c>
      <c r="J18" s="481"/>
      <c r="K18" s="35">
        <f>VLOOKUP(C18,'Sales Master'!$B$3:$J$583,9,0)</f>
        <v>24</v>
      </c>
      <c r="L18" s="36">
        <f>K18*G18</f>
        <v>48</v>
      </c>
      <c r="N18" s="225">
        <f>VLOOKUP(C18,'Sales Master'!$B$3:$DA$3038,104,0)</f>
        <v>18.055555555555557</v>
      </c>
      <c r="O18" s="225">
        <f>K18-N18</f>
        <v>5.9444444444444429</v>
      </c>
      <c r="P18" s="225">
        <f>O18*G18</f>
        <v>11.888888888888886</v>
      </c>
    </row>
    <row r="19" spans="2:16" ht="20.149999999999999" customHeight="1" x14ac:dyDescent="0.45">
      <c r="B19" s="34"/>
      <c r="C19" s="22"/>
      <c r="D19" s="508"/>
      <c r="E19" s="508"/>
      <c r="F19" s="508"/>
      <c r="G19" s="22"/>
      <c r="H19" s="68"/>
      <c r="I19" s="481"/>
      <c r="J19" s="481"/>
      <c r="K19" s="35"/>
      <c r="L19" s="36"/>
      <c r="N19" s="225"/>
      <c r="O19" s="225"/>
      <c r="P19" s="225"/>
    </row>
    <row r="20" spans="2:16" ht="20.149999999999999" customHeight="1" x14ac:dyDescent="0.45">
      <c r="B20" s="34"/>
      <c r="C20" s="22"/>
      <c r="D20" s="508"/>
      <c r="E20" s="508"/>
      <c r="F20" s="508"/>
      <c r="G20" s="22"/>
      <c r="H20" s="68"/>
      <c r="I20" s="481"/>
      <c r="J20" s="481"/>
      <c r="K20" s="35"/>
      <c r="L20" s="36"/>
    </row>
    <row r="21" spans="2:16" ht="20.149999999999999" customHeight="1" x14ac:dyDescent="0.45">
      <c r="B21" s="34"/>
      <c r="C21" s="22"/>
      <c r="D21" s="508"/>
      <c r="E21" s="508"/>
      <c r="F21" s="508"/>
      <c r="G21" s="22"/>
      <c r="H21" s="68"/>
      <c r="I21" s="450"/>
      <c r="J21" s="450"/>
      <c r="K21" s="35"/>
      <c r="L21" s="36"/>
    </row>
    <row r="22" spans="2:16" ht="20.149999999999999" customHeight="1" x14ac:dyDescent="0.45">
      <c r="B22" s="34"/>
      <c r="C22" s="22"/>
      <c r="D22" s="508"/>
      <c r="E22" s="508"/>
      <c r="F22" s="508"/>
      <c r="G22" s="22"/>
      <c r="H22" s="68"/>
      <c r="I22" s="450"/>
      <c r="J22" s="450"/>
      <c r="K22" s="35"/>
      <c r="L22" s="36"/>
    </row>
    <row r="23" spans="2:16" ht="20.149999999999999" customHeight="1" x14ac:dyDescent="0.45">
      <c r="B23" s="34"/>
      <c r="C23" s="22"/>
      <c r="G23" s="22"/>
      <c r="H23" s="68"/>
      <c r="I23" s="450"/>
      <c r="J23" s="450"/>
      <c r="K23" s="35"/>
      <c r="L23" s="36"/>
    </row>
    <row r="24" spans="2:16" ht="20.149999999999999" customHeight="1" x14ac:dyDescent="0.45">
      <c r="B24" s="34"/>
      <c r="C24" s="22"/>
      <c r="G24" s="22"/>
      <c r="H24" s="68"/>
      <c r="I24" s="450"/>
      <c r="J24" s="450"/>
      <c r="K24" s="35"/>
      <c r="L24" s="36"/>
    </row>
    <row r="25" spans="2:16" ht="20.149999999999999" customHeight="1" x14ac:dyDescent="0.45">
      <c r="B25" s="34"/>
      <c r="C25" s="22"/>
      <c r="G25" s="22"/>
      <c r="H25" s="68"/>
      <c r="I25" s="450"/>
      <c r="J25" s="450"/>
      <c r="K25" s="35"/>
      <c r="L25" s="36"/>
    </row>
    <row r="26" spans="2:16" ht="20.149999999999999" customHeight="1" x14ac:dyDescent="0.45">
      <c r="B26" s="34"/>
      <c r="C26" s="22"/>
      <c r="G26" s="22"/>
      <c r="H26" s="68"/>
      <c r="I26" s="450"/>
      <c r="J26" s="450"/>
      <c r="K26" s="35"/>
      <c r="L26" s="36"/>
    </row>
    <row r="27" spans="2:16" ht="20.149999999999999" customHeight="1" thickBot="1" x14ac:dyDescent="0.5">
      <c r="B27" s="37"/>
      <c r="C27" s="38"/>
      <c r="D27" s="509"/>
      <c r="E27" s="509"/>
      <c r="F27" s="509"/>
      <c r="G27" s="38"/>
      <c r="H27" s="38"/>
      <c r="I27" s="38"/>
      <c r="J27" s="38"/>
      <c r="K27" s="39"/>
      <c r="L27" s="40"/>
    </row>
    <row r="28" spans="2:16" ht="20.149999999999999" customHeight="1" thickBot="1" x14ac:dyDescent="0.5">
      <c r="B28" s="41"/>
      <c r="L28" s="42"/>
    </row>
    <row r="29" spans="2:16" ht="20.149999999999999" customHeight="1" x14ac:dyDescent="0.45">
      <c r="B29" s="11" t="s">
        <v>18</v>
      </c>
      <c r="C29" s="7"/>
      <c r="D29" s="7"/>
      <c r="E29" s="7"/>
      <c r="F29" s="7"/>
      <c r="G29" s="7"/>
      <c r="H29" s="7"/>
      <c r="I29" s="7"/>
      <c r="J29" s="510" t="s">
        <v>15</v>
      </c>
      <c r="K29" s="511"/>
      <c r="L29" s="43">
        <f>SUM(L17:L27)</f>
        <v>48</v>
      </c>
      <c r="M29" s="76">
        <f>SUM(P18:P26)</f>
        <v>11.888888888888886</v>
      </c>
      <c r="N29" s="201">
        <f>M29/L29</f>
        <v>0.24768518518518512</v>
      </c>
    </row>
    <row r="30" spans="2:16" ht="20.149999999999999" customHeight="1" x14ac:dyDescent="0.45">
      <c r="B30" s="11" t="s">
        <v>19</v>
      </c>
      <c r="C30" s="7"/>
      <c r="D30" s="7"/>
      <c r="E30" s="7"/>
      <c r="F30" s="7"/>
      <c r="G30" s="7"/>
      <c r="H30" s="7"/>
      <c r="I30" s="7"/>
      <c r="J30" s="44" t="s">
        <v>22</v>
      </c>
      <c r="K30" s="45"/>
      <c r="L30" s="46">
        <f>L29*K30</f>
        <v>0</v>
      </c>
    </row>
    <row r="31" spans="2:16" ht="20.149999999999999" customHeight="1" x14ac:dyDescent="0.45">
      <c r="B31" s="11" t="s">
        <v>20</v>
      </c>
      <c r="C31" s="7"/>
      <c r="D31" s="7"/>
      <c r="E31" s="7"/>
      <c r="F31" s="7"/>
      <c r="G31" s="7"/>
      <c r="H31" s="7"/>
      <c r="I31" s="7"/>
      <c r="J31" s="486" t="s">
        <v>21</v>
      </c>
      <c r="K31" s="487"/>
      <c r="L31" s="46">
        <f>L29-L30</f>
        <v>48</v>
      </c>
    </row>
    <row r="32" spans="2:16" ht="20.149999999999999" customHeight="1" x14ac:dyDescent="0.45">
      <c r="B32" s="11" t="s">
        <v>24</v>
      </c>
      <c r="C32" s="7"/>
      <c r="D32" s="7"/>
      <c r="E32" s="7"/>
      <c r="F32" s="7"/>
      <c r="G32" s="7"/>
      <c r="H32" s="7"/>
      <c r="I32" s="7"/>
      <c r="J32" s="150" t="s">
        <v>17</v>
      </c>
      <c r="K32" s="151">
        <v>7.0000000000000007E-2</v>
      </c>
      <c r="L32" s="47">
        <f>L31*K32</f>
        <v>3.3600000000000003</v>
      </c>
    </row>
    <row r="33" spans="2:12" ht="20.149999999999999" customHeight="1" thickBot="1" x14ac:dyDescent="0.5">
      <c r="B33" s="11" t="s">
        <v>25</v>
      </c>
      <c r="C33" s="7"/>
      <c r="D33" s="7"/>
      <c r="E33" s="7"/>
      <c r="F33" s="7"/>
      <c r="G33" s="7"/>
      <c r="H33" s="7"/>
      <c r="I33" s="7"/>
      <c r="J33" s="488" t="s">
        <v>23</v>
      </c>
      <c r="K33" s="489"/>
      <c r="L33" s="48">
        <f>L31+L32</f>
        <v>51.36</v>
      </c>
    </row>
    <row r="34" spans="2:12" ht="20.149999999999999" customHeight="1" x14ac:dyDescent="0.45">
      <c r="B34" s="11" t="s">
        <v>26</v>
      </c>
      <c r="C34" s="7"/>
      <c r="D34" s="7"/>
      <c r="E34" s="7"/>
      <c r="F34" s="7"/>
      <c r="G34" s="7"/>
      <c r="H34" s="7"/>
      <c r="I34" s="7"/>
      <c r="L34" s="42"/>
    </row>
    <row r="35" spans="2:12" ht="20.149999999999999" customHeight="1" x14ac:dyDescent="0.45">
      <c r="B35" s="41"/>
      <c r="L35" s="42"/>
    </row>
    <row r="36" spans="2:12" ht="20.149999999999999" customHeight="1" x14ac:dyDescent="0.45">
      <c r="B36" s="41"/>
      <c r="L36" s="42"/>
    </row>
    <row r="37" spans="2:12" ht="20.149999999999999" customHeight="1" x14ac:dyDescent="0.45">
      <c r="B37" s="41"/>
      <c r="L37" s="42"/>
    </row>
    <row r="38" spans="2:12" ht="20.149999999999999" customHeight="1" x14ac:dyDescent="0.45">
      <c r="B38" s="41"/>
      <c r="L38" s="42"/>
    </row>
    <row r="39" spans="2:12" ht="20.149999999999999" customHeight="1" x14ac:dyDescent="0.45">
      <c r="B39" s="49"/>
      <c r="C39" s="50"/>
      <c r="D39" s="50"/>
      <c r="J39" s="50"/>
      <c r="K39" s="50"/>
      <c r="L39" s="51"/>
    </row>
    <row r="40" spans="2:12" ht="20.149999999999999" customHeight="1" x14ac:dyDescent="0.45">
      <c r="B40" s="41" t="s">
        <v>27</v>
      </c>
      <c r="J40" s="24" t="s">
        <v>28</v>
      </c>
      <c r="L40" s="42"/>
    </row>
    <row r="41" spans="2:12" ht="19" thickBot="1" x14ac:dyDescent="0.5">
      <c r="B41" s="52"/>
      <c r="C41" s="53"/>
      <c r="D41" s="53"/>
      <c r="E41" s="53"/>
      <c r="F41" s="53"/>
      <c r="G41" s="53"/>
      <c r="H41" s="53"/>
      <c r="I41" s="53"/>
      <c r="J41" s="53"/>
      <c r="K41" s="53"/>
      <c r="L41" s="54"/>
    </row>
  </sheetData>
  <mergeCells count="33">
    <mergeCell ref="D27:F27"/>
    <mergeCell ref="J29:K29"/>
    <mergeCell ref="J31:K31"/>
    <mergeCell ref="J33:K33"/>
    <mergeCell ref="I25:J25"/>
    <mergeCell ref="I26:J26"/>
    <mergeCell ref="D17:F17"/>
    <mergeCell ref="I17:J17"/>
    <mergeCell ref="I24:J24"/>
    <mergeCell ref="D18:F18"/>
    <mergeCell ref="I18:J18"/>
    <mergeCell ref="D19:F19"/>
    <mergeCell ref="I19:J19"/>
    <mergeCell ref="D20:F20"/>
    <mergeCell ref="I20:J20"/>
    <mergeCell ref="D21:F21"/>
    <mergeCell ref="I21:J21"/>
    <mergeCell ref="D22:F22"/>
    <mergeCell ref="I22:J22"/>
    <mergeCell ref="I23:J23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</mergeCells>
  <pageMargins left="0.70866141732283472" right="0.31496062992125984" top="0.59055118110236227" bottom="0" header="0.31496062992125984" footer="0.31496062992125984"/>
  <pageSetup paperSize="9" scale="79" orientation="portrait" horizontalDpi="300" verticalDpi="300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283709-BCF8-42B7-A848-65ABDBB5F2F7}">
  <sheetPr codeName="Sheet50">
    <tabColor rgb="FF92D050"/>
    <pageSetUpPr fitToPage="1"/>
  </sheetPr>
  <dimension ref="B1:V44"/>
  <sheetViews>
    <sheetView workbookViewId="0">
      <selection activeCell="B1" sqref="B1:L44"/>
    </sheetView>
  </sheetViews>
  <sheetFormatPr defaultColWidth="12.54296875" defaultRowHeight="18.5" x14ac:dyDescent="0.45"/>
  <cols>
    <col min="1" max="1" width="12.54296875" style="24"/>
    <col min="2" max="3" width="12.54296875" style="24" customWidth="1"/>
    <col min="4" max="4" width="14.54296875" style="24" customWidth="1"/>
    <col min="5" max="5" width="1.54296875" style="24" customWidth="1"/>
    <col min="6" max="6" width="17.1796875" style="24" customWidth="1"/>
    <col min="7" max="7" width="8.54296875" style="24" customWidth="1"/>
    <col min="8" max="8" width="15.54296875" style="24" customWidth="1"/>
    <col min="9" max="9" width="2.1796875" style="81" customWidth="1"/>
    <col min="10" max="10" width="15.54296875" style="81" customWidth="1"/>
    <col min="11" max="11" width="10.54296875" style="24" customWidth="1"/>
    <col min="12" max="12" width="12.54296875" style="24" customWidth="1"/>
    <col min="13" max="16384" width="12.54296875" style="24"/>
  </cols>
  <sheetData>
    <row r="1" spans="2:14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4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4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4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4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4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4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4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4" ht="19" thickBot="1" x14ac:dyDescent="0.5">
      <c r="B9" s="23"/>
    </row>
    <row r="10" spans="2:14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1866</v>
      </c>
      <c r="J10" s="82" t="s">
        <v>29</v>
      </c>
      <c r="K10" s="452">
        <v>202209082</v>
      </c>
      <c r="L10" s="453"/>
    </row>
    <row r="11" spans="2:14" ht="20.149999999999999" customHeight="1" x14ac:dyDescent="0.45">
      <c r="B11" s="454" t="s">
        <v>2181</v>
      </c>
      <c r="C11" s="455"/>
      <c r="D11" s="456"/>
      <c r="E11" s="30"/>
      <c r="F11" s="457" t="str">
        <f>VLOOKUP(H10,'Delivery Location'!A$4:N$416,2,0)</f>
        <v>CHEF RICKSON'S KITCHEN (Ally)                  Blk 177, Bishan Street 13 #04-177 Singapore 570177</v>
      </c>
      <c r="G11" s="458"/>
      <c r="H11" s="459"/>
      <c r="J11" s="83" t="s">
        <v>11</v>
      </c>
      <c r="K11" s="466">
        <v>44810</v>
      </c>
      <c r="L11" s="467"/>
    </row>
    <row r="12" spans="2:14" ht="20.149999999999999" customHeight="1" x14ac:dyDescent="0.45">
      <c r="B12" s="468" t="s">
        <v>915</v>
      </c>
      <c r="C12" s="469"/>
      <c r="D12" s="470"/>
      <c r="E12" s="30"/>
      <c r="F12" s="460"/>
      <c r="G12" s="461"/>
      <c r="H12" s="462"/>
      <c r="J12" s="83" t="s">
        <v>171</v>
      </c>
      <c r="K12" s="471" t="s">
        <v>533</v>
      </c>
      <c r="L12" s="472"/>
    </row>
    <row r="13" spans="2:14" ht="20.149999999999999" customHeight="1" x14ac:dyDescent="0.45">
      <c r="B13" s="468"/>
      <c r="C13" s="469"/>
      <c r="D13" s="470"/>
      <c r="E13" s="30"/>
      <c r="F13" s="460"/>
      <c r="G13" s="461"/>
      <c r="H13" s="462"/>
      <c r="J13" s="83" t="s">
        <v>12</v>
      </c>
      <c r="K13" s="471" t="s">
        <v>1414</v>
      </c>
      <c r="L13" s="472"/>
    </row>
    <row r="14" spans="2:14" ht="20.149999999999999" customHeight="1" x14ac:dyDescent="0.45">
      <c r="B14" s="468"/>
      <c r="C14" s="469"/>
      <c r="D14" s="470"/>
      <c r="E14" s="30"/>
      <c r="F14" s="460"/>
      <c r="G14" s="461"/>
      <c r="H14" s="462"/>
      <c r="J14" s="83" t="s">
        <v>30</v>
      </c>
      <c r="K14" s="471" t="s">
        <v>16</v>
      </c>
      <c r="L14" s="472"/>
      <c r="N14" s="24" t="s">
        <v>2209</v>
      </c>
    </row>
    <row r="15" spans="2:14" ht="18" customHeight="1" thickBot="1" x14ac:dyDescent="0.5">
      <c r="B15" s="55"/>
      <c r="C15" s="56"/>
      <c r="D15" s="57"/>
      <c r="E15" s="26"/>
      <c r="F15" s="463"/>
      <c r="G15" s="464"/>
      <c r="H15" s="465"/>
      <c r="J15" s="84" t="s">
        <v>13</v>
      </c>
      <c r="K15" s="476"/>
      <c r="L15" s="477"/>
    </row>
    <row r="16" spans="2:14" ht="19" thickBot="1" x14ac:dyDescent="0.5">
      <c r="J16" s="85"/>
    </row>
    <row r="17" spans="2:22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22" ht="20.149999999999999" customHeight="1" x14ac:dyDescent="0.45">
      <c r="B18" s="34"/>
      <c r="C18" s="22" t="s">
        <v>1691</v>
      </c>
      <c r="D18" s="508" t="str">
        <f>VLOOKUP(C18,'Sales Master'!B$3:D$499,2,)</f>
        <v>Nata De Coco椰果芊 15mm</v>
      </c>
      <c r="E18" s="508"/>
      <c r="F18" s="508"/>
      <c r="G18" s="22">
        <v>30</v>
      </c>
      <c r="H18" s="68" t="str">
        <f>VLOOKUP(C18,'Sales Master'!$B$3:$F$3179,5,0)</f>
        <v>1 Can X A10</v>
      </c>
      <c r="I18" s="481" t="str">
        <f>VLOOKUP(C18,'Sales Master'!$B$3:$E$3179,4,0)</f>
        <v>Chefs</v>
      </c>
      <c r="J18" s="481"/>
      <c r="K18" s="35">
        <f>VLOOKUP(C18,'Sales Master'!B$3:AA$499,26,0)</f>
        <v>9.5</v>
      </c>
      <c r="L18" s="77">
        <f>K18*G18</f>
        <v>285</v>
      </c>
      <c r="N18" s="225">
        <f>VLOOKUP(C18,'Sales Master'!$B$3:$DA$3038,104,0)</f>
        <v>6.916666666666667</v>
      </c>
      <c r="O18" s="225">
        <f>K18-N18</f>
        <v>2.583333333333333</v>
      </c>
      <c r="P18" s="225">
        <f>O18*G18</f>
        <v>77.499999999999986</v>
      </c>
      <c r="R18" s="24">
        <v>2</v>
      </c>
      <c r="S18" s="24" t="s">
        <v>527</v>
      </c>
    </row>
    <row r="19" spans="2:22" ht="20.149999999999999" customHeight="1" x14ac:dyDescent="0.45">
      <c r="B19" s="34"/>
      <c r="C19" s="22" t="s">
        <v>2030</v>
      </c>
      <c r="D19" s="508" t="str">
        <f>VLOOKUP(C19,'Sales Master'!B$3:D$499,2,)</f>
        <v>OSMANTHUS</v>
      </c>
      <c r="E19" s="508"/>
      <c r="F19" s="508"/>
      <c r="G19" s="22">
        <v>1</v>
      </c>
      <c r="H19" s="68" t="str">
        <f>VLOOKUP(C19,'Sales Master'!$B$3:$F$3179,5,0)</f>
        <v>100 GM</v>
      </c>
      <c r="I19" s="481" t="str">
        <f>VLOOKUP(C19,'Sales Master'!$B$3:$E$3179,4,0)</f>
        <v>-</v>
      </c>
      <c r="J19" s="481"/>
      <c r="K19" s="35">
        <f>VLOOKUP(C19,'Sales Master'!B$3:AA$499,26,0)</f>
        <v>15</v>
      </c>
      <c r="L19" s="77">
        <f>K19*G19</f>
        <v>15</v>
      </c>
      <c r="M19" s="78"/>
      <c r="N19" s="225">
        <f>VLOOKUP(C19,'Sales Master'!$B$3:$DA$3038,104,0)</f>
        <v>8.9</v>
      </c>
      <c r="O19" s="225">
        <f>K19-N19</f>
        <v>6.1</v>
      </c>
      <c r="P19" s="225">
        <f>O19*G19</f>
        <v>6.1</v>
      </c>
      <c r="R19" s="24">
        <v>1</v>
      </c>
      <c r="S19" s="24" t="s">
        <v>649</v>
      </c>
    </row>
    <row r="20" spans="2:22" ht="20.149999999999999" customHeight="1" x14ac:dyDescent="0.45">
      <c r="B20" s="34"/>
      <c r="C20" s="22"/>
      <c r="D20" s="508"/>
      <c r="E20" s="508"/>
      <c r="F20" s="508"/>
      <c r="G20" s="22"/>
      <c r="H20" s="68"/>
      <c r="I20" s="481"/>
      <c r="J20" s="481"/>
      <c r="K20" s="35"/>
      <c r="L20" s="77"/>
      <c r="M20" s="78"/>
      <c r="N20" s="225"/>
      <c r="O20" s="225"/>
      <c r="P20" s="225"/>
      <c r="R20" s="24">
        <v>10</v>
      </c>
      <c r="S20" s="24" t="s">
        <v>257</v>
      </c>
      <c r="T20" s="24" t="s">
        <v>686</v>
      </c>
    </row>
    <row r="21" spans="2:22" ht="20.149999999999999" customHeight="1" x14ac:dyDescent="0.45">
      <c r="B21" s="34"/>
      <c r="C21" s="22"/>
      <c r="D21" s="508"/>
      <c r="E21" s="508"/>
      <c r="F21" s="508"/>
      <c r="G21" s="22"/>
      <c r="H21" s="68"/>
      <c r="I21" s="481"/>
      <c r="J21" s="481"/>
      <c r="K21" s="35"/>
      <c r="L21" s="123"/>
      <c r="M21" s="78"/>
      <c r="N21" s="225"/>
      <c r="O21" s="225"/>
      <c r="P21" s="225"/>
      <c r="R21" s="24">
        <v>2</v>
      </c>
      <c r="S21" s="24" t="s">
        <v>59</v>
      </c>
    </row>
    <row r="22" spans="2:22" ht="20.149999999999999" customHeight="1" x14ac:dyDescent="0.45">
      <c r="B22" s="34"/>
      <c r="C22" s="22"/>
      <c r="D22" s="508"/>
      <c r="E22" s="508"/>
      <c r="F22" s="508"/>
      <c r="G22" s="22"/>
      <c r="H22" s="68"/>
      <c r="I22" s="481"/>
      <c r="J22" s="481"/>
      <c r="K22" s="35"/>
      <c r="L22" s="123"/>
      <c r="M22" s="78"/>
      <c r="N22" s="225"/>
      <c r="O22" s="225"/>
      <c r="P22" s="225"/>
      <c r="R22" s="24">
        <v>1</v>
      </c>
      <c r="S22" s="24" t="s">
        <v>36</v>
      </c>
      <c r="T22" s="24" t="s">
        <v>740</v>
      </c>
    </row>
    <row r="23" spans="2:22" ht="18" customHeight="1" x14ac:dyDescent="0.45">
      <c r="B23" s="34"/>
      <c r="C23" s="22"/>
      <c r="D23" s="508"/>
      <c r="E23" s="508"/>
      <c r="F23" s="508"/>
      <c r="G23" s="22"/>
      <c r="H23" s="68"/>
      <c r="I23" s="481"/>
      <c r="J23" s="481"/>
      <c r="K23" s="35"/>
      <c r="L23" s="123"/>
      <c r="M23" s="78"/>
      <c r="N23" s="225"/>
      <c r="O23" s="225"/>
      <c r="P23" s="225"/>
      <c r="R23" s="24">
        <v>1</v>
      </c>
      <c r="S23" s="24" t="s">
        <v>535</v>
      </c>
      <c r="T23" s="24" t="s">
        <v>534</v>
      </c>
    </row>
    <row r="24" spans="2:22" ht="20.149999999999999" customHeight="1" x14ac:dyDescent="0.45">
      <c r="B24" s="34"/>
      <c r="C24" s="22"/>
      <c r="D24" s="508"/>
      <c r="E24" s="508"/>
      <c r="F24" s="508"/>
      <c r="G24" s="22"/>
      <c r="H24" s="68"/>
      <c r="I24" s="481"/>
      <c r="J24" s="481"/>
      <c r="K24" s="35"/>
      <c r="L24" s="123"/>
      <c r="M24" s="78"/>
      <c r="N24" s="225"/>
      <c r="O24" s="225"/>
      <c r="P24" s="225"/>
      <c r="R24" s="24">
        <v>1</v>
      </c>
    </row>
    <row r="25" spans="2:22" ht="20.149999999999999" customHeight="1" x14ac:dyDescent="0.45">
      <c r="B25" s="34"/>
      <c r="C25" s="22"/>
      <c r="D25" s="508"/>
      <c r="E25" s="508"/>
      <c r="F25" s="508"/>
      <c r="G25" s="22"/>
      <c r="H25" s="68"/>
      <c r="I25" s="481"/>
      <c r="J25" s="481"/>
      <c r="K25" s="35"/>
      <c r="L25" s="123"/>
      <c r="M25" s="78"/>
      <c r="N25" s="225"/>
      <c r="O25" s="225"/>
      <c r="P25" s="225"/>
      <c r="R25" s="24">
        <v>1</v>
      </c>
      <c r="S25" s="24" t="s">
        <v>873</v>
      </c>
      <c r="T25" s="24" t="s">
        <v>595</v>
      </c>
      <c r="V25" s="24">
        <v>38</v>
      </c>
    </row>
    <row r="26" spans="2:22" ht="20.149999999999999" customHeight="1" x14ac:dyDescent="0.45">
      <c r="B26" s="34"/>
      <c r="C26" s="22"/>
      <c r="D26" s="508"/>
      <c r="E26" s="508"/>
      <c r="F26" s="508"/>
      <c r="G26" s="22"/>
      <c r="H26" s="68"/>
      <c r="I26" s="481"/>
      <c r="J26" s="481"/>
      <c r="K26" s="35"/>
      <c r="L26" s="123"/>
      <c r="M26" s="78"/>
    </row>
    <row r="27" spans="2:22" ht="20.149999999999999" customHeight="1" x14ac:dyDescent="0.45">
      <c r="B27" s="34"/>
      <c r="C27" s="22"/>
      <c r="D27" s="508"/>
      <c r="E27" s="508"/>
      <c r="F27" s="508"/>
      <c r="G27" s="22"/>
      <c r="H27" s="68"/>
      <c r="I27" s="481"/>
      <c r="J27" s="481"/>
      <c r="K27" s="35"/>
      <c r="L27" s="123"/>
      <c r="M27" s="78"/>
    </row>
    <row r="28" spans="2:22" ht="20.149999999999999" customHeight="1" x14ac:dyDescent="0.45">
      <c r="B28" s="34"/>
      <c r="C28" s="22"/>
      <c r="D28" s="508"/>
      <c r="E28" s="508"/>
      <c r="F28" s="508"/>
      <c r="G28" s="22"/>
      <c r="H28" s="68"/>
      <c r="I28" s="481"/>
      <c r="J28" s="481"/>
      <c r="K28" s="35"/>
      <c r="L28" s="123"/>
    </row>
    <row r="29" spans="2:22" ht="20.149999999999999" customHeight="1" x14ac:dyDescent="0.45">
      <c r="B29" s="34"/>
      <c r="C29" s="22"/>
      <c r="D29" s="508"/>
      <c r="E29" s="508"/>
      <c r="F29" s="508"/>
      <c r="G29" s="22"/>
      <c r="H29" s="68"/>
      <c r="I29" s="481"/>
      <c r="J29" s="481"/>
      <c r="K29" s="35"/>
      <c r="L29" s="123"/>
    </row>
    <row r="30" spans="2:22" ht="20.149999999999999" customHeight="1" thickBot="1" x14ac:dyDescent="0.5">
      <c r="B30" s="37"/>
      <c r="C30" s="38"/>
      <c r="D30" s="509"/>
      <c r="E30" s="509"/>
      <c r="F30" s="509"/>
      <c r="G30" s="38"/>
      <c r="H30" s="69"/>
      <c r="I30" s="557"/>
      <c r="J30" s="557"/>
      <c r="K30" s="39"/>
      <c r="L30" s="89"/>
    </row>
    <row r="31" spans="2:22" ht="20.149999999999999" customHeight="1" thickBot="1" x14ac:dyDescent="0.5">
      <c r="B31" s="41"/>
      <c r="L31" s="42"/>
    </row>
    <row r="32" spans="2:22" ht="20.149999999999999" customHeight="1" x14ac:dyDescent="0.45">
      <c r="B32" s="11" t="s">
        <v>18</v>
      </c>
      <c r="C32" s="7"/>
      <c r="D32" s="7"/>
      <c r="E32" s="7"/>
      <c r="F32" s="7"/>
      <c r="G32" s="7"/>
      <c r="H32" s="7"/>
      <c r="I32" s="86"/>
      <c r="J32" s="510" t="s">
        <v>15</v>
      </c>
      <c r="K32" s="511"/>
      <c r="L32" s="43">
        <f>SUM(L17:L29)</f>
        <v>300</v>
      </c>
      <c r="M32" s="76">
        <f>SUM(P18:P20)</f>
        <v>83.59999999999998</v>
      </c>
      <c r="N32" s="201">
        <f>M32/L32</f>
        <v>0.27866666666666662</v>
      </c>
    </row>
    <row r="33" spans="2:12" ht="20.149999999999999" customHeight="1" x14ac:dyDescent="0.45">
      <c r="B33" s="11" t="s">
        <v>19</v>
      </c>
      <c r="C33" s="7"/>
      <c r="D33" s="7"/>
      <c r="E33" s="7"/>
      <c r="F33" s="7"/>
      <c r="G33" s="7"/>
      <c r="H33" s="7"/>
      <c r="I33" s="86"/>
      <c r="J33" s="44" t="s">
        <v>22</v>
      </c>
      <c r="K33" s="45"/>
      <c r="L33" s="46">
        <f>L32*K33</f>
        <v>0</v>
      </c>
    </row>
    <row r="34" spans="2:12" ht="20.149999999999999" customHeight="1" x14ac:dyDescent="0.45">
      <c r="B34" s="11" t="s">
        <v>20</v>
      </c>
      <c r="C34" s="7"/>
      <c r="D34" s="7"/>
      <c r="E34" s="7"/>
      <c r="F34" s="7"/>
      <c r="G34" s="7"/>
      <c r="H34" s="7"/>
      <c r="I34" s="86"/>
      <c r="J34" s="486" t="s">
        <v>21</v>
      </c>
      <c r="K34" s="487"/>
      <c r="L34" s="46">
        <f>L32-L33</f>
        <v>300</v>
      </c>
    </row>
    <row r="35" spans="2:12" ht="20.149999999999999" customHeight="1" x14ac:dyDescent="0.45">
      <c r="B35" s="11" t="s">
        <v>24</v>
      </c>
      <c r="C35" s="7"/>
      <c r="D35" s="7"/>
      <c r="E35" s="7"/>
      <c r="F35" s="7"/>
      <c r="G35" s="7"/>
      <c r="H35" s="7"/>
      <c r="I35" s="86"/>
      <c r="J35" s="150" t="s">
        <v>17</v>
      </c>
      <c r="K35" s="151">
        <v>7.0000000000000007E-2</v>
      </c>
      <c r="L35" s="47">
        <f>L34*K35</f>
        <v>21.000000000000004</v>
      </c>
    </row>
    <row r="36" spans="2:12" ht="20.149999999999999" customHeight="1" thickBot="1" x14ac:dyDescent="0.5">
      <c r="B36" s="11" t="s">
        <v>25</v>
      </c>
      <c r="C36" s="7"/>
      <c r="D36" s="7"/>
      <c r="E36" s="7"/>
      <c r="F36" s="7"/>
      <c r="G36" s="7"/>
      <c r="H36" s="7"/>
      <c r="I36" s="86"/>
      <c r="J36" s="488" t="s">
        <v>23</v>
      </c>
      <c r="K36" s="489"/>
      <c r="L36" s="48">
        <f>L34+L35</f>
        <v>321</v>
      </c>
    </row>
    <row r="37" spans="2:12" ht="20.149999999999999" customHeight="1" x14ac:dyDescent="0.45">
      <c r="B37" s="11" t="s">
        <v>26</v>
      </c>
      <c r="C37" s="7"/>
      <c r="D37" s="7"/>
      <c r="E37" s="7"/>
      <c r="F37" s="7"/>
      <c r="G37" s="7"/>
      <c r="H37" s="7"/>
      <c r="I37" s="86"/>
      <c r="L37" s="42"/>
    </row>
    <row r="38" spans="2:12" ht="20.149999999999999" customHeight="1" x14ac:dyDescent="0.45">
      <c r="B38" s="224" t="s">
        <v>1379</v>
      </c>
      <c r="L38" s="42"/>
    </row>
    <row r="39" spans="2:12" ht="20.149999999999999" customHeight="1" x14ac:dyDescent="0.45">
      <c r="B39" s="41"/>
      <c r="L39" s="42"/>
    </row>
    <row r="40" spans="2:12" ht="20.149999999999999" customHeight="1" x14ac:dyDescent="0.45">
      <c r="B40" s="41"/>
      <c r="L40" s="42"/>
    </row>
    <row r="41" spans="2:12" ht="20.149999999999999" customHeight="1" x14ac:dyDescent="0.45">
      <c r="B41" s="41"/>
      <c r="L41" s="42"/>
    </row>
    <row r="42" spans="2:12" ht="20.149999999999999" customHeight="1" x14ac:dyDescent="0.45">
      <c r="B42" s="49"/>
      <c r="C42" s="50"/>
      <c r="D42" s="50"/>
      <c r="J42" s="87"/>
      <c r="K42" s="50"/>
      <c r="L42" s="51"/>
    </row>
    <row r="43" spans="2:12" ht="20.149999999999999" customHeight="1" x14ac:dyDescent="0.45">
      <c r="B43" s="41" t="s">
        <v>27</v>
      </c>
      <c r="J43" s="81" t="s">
        <v>28</v>
      </c>
      <c r="L43" s="42"/>
    </row>
    <row r="44" spans="2:12" ht="19" thickBot="1" x14ac:dyDescent="0.5">
      <c r="B44" s="52"/>
      <c r="C44" s="53"/>
      <c r="D44" s="53"/>
      <c r="E44" s="53"/>
      <c r="F44" s="53"/>
      <c r="G44" s="53"/>
      <c r="H44" s="53"/>
      <c r="I44" s="88"/>
      <c r="J44" s="88"/>
      <c r="K44" s="53"/>
      <c r="L44" s="54"/>
    </row>
  </sheetData>
  <mergeCells count="43">
    <mergeCell ref="J36:K36"/>
    <mergeCell ref="D30:F30"/>
    <mergeCell ref="I30:J30"/>
    <mergeCell ref="J32:K32"/>
    <mergeCell ref="J34:K34"/>
    <mergeCell ref="D26:F26"/>
    <mergeCell ref="I26:J26"/>
    <mergeCell ref="D28:F28"/>
    <mergeCell ref="I28:J28"/>
    <mergeCell ref="D29:F29"/>
    <mergeCell ref="I29:J29"/>
    <mergeCell ref="D27:F27"/>
    <mergeCell ref="I27:J27"/>
    <mergeCell ref="D23:F23"/>
    <mergeCell ref="I23:J23"/>
    <mergeCell ref="D24:F24"/>
    <mergeCell ref="I24:J24"/>
    <mergeCell ref="D25:F25"/>
    <mergeCell ref="I25:J25"/>
    <mergeCell ref="D20:F20"/>
    <mergeCell ref="I20:J20"/>
    <mergeCell ref="D21:F21"/>
    <mergeCell ref="I21:J21"/>
    <mergeCell ref="D22:F22"/>
    <mergeCell ref="I22:J22"/>
    <mergeCell ref="D17:F17"/>
    <mergeCell ref="I17:J17"/>
    <mergeCell ref="D18:F18"/>
    <mergeCell ref="I18:J18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</mergeCells>
  <pageMargins left="0.70866141732283505" right="0.31496062992126" top="0.59055118110236204" bottom="0" header="0.31496062992126" footer="0.31496062992126"/>
  <pageSetup paperSize="9" scale="76" orientation="portrait" horizontalDpi="300" verticalDpi="300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7AEE1E-55CA-4DDD-9160-ED95122F8CB0}">
  <sheetPr codeName="Sheet51">
    <tabColor rgb="FF92D050"/>
    <pageSetUpPr fitToPage="1"/>
  </sheetPr>
  <dimension ref="B1:P39"/>
  <sheetViews>
    <sheetView workbookViewId="0">
      <selection activeCell="B1" sqref="B1:L39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4.54296875" style="24" customWidth="1"/>
    <col min="7" max="7" width="8.54296875" style="24" customWidth="1"/>
    <col min="8" max="8" width="16.1796875" style="24" customWidth="1"/>
    <col min="9" max="9" width="1" style="24" customWidth="1"/>
    <col min="10" max="10" width="14" style="24" customWidth="1"/>
    <col min="11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1943</v>
      </c>
      <c r="J10" s="29" t="s">
        <v>29</v>
      </c>
      <c r="K10" s="452">
        <v>202112309</v>
      </c>
      <c r="L10" s="453"/>
    </row>
    <row r="11" spans="2:12" ht="20.149999999999999" customHeight="1" x14ac:dyDescent="0.45">
      <c r="B11" s="454" t="s">
        <v>2022</v>
      </c>
      <c r="C11" s="455"/>
      <c r="D11" s="456"/>
      <c r="E11" s="30"/>
      <c r="F11" s="457" t="str">
        <f>VLOOKUP(H10,'Delivery Location'!A$4:N$416,2,0)</f>
        <v xml:space="preserve">Koufu Pte Ltd- DRINK STALL                                      Millenia Walk, 9 Raffle Boulevard #01-46                                                    Singapore 039596                                                                        </v>
      </c>
      <c r="G11" s="458"/>
      <c r="H11" s="459"/>
      <c r="J11" s="31" t="s">
        <v>11</v>
      </c>
      <c r="K11" s="551" t="s">
        <v>2036</v>
      </c>
      <c r="L11" s="472"/>
    </row>
    <row r="12" spans="2:12" ht="20.149999999999999" customHeight="1" x14ac:dyDescent="0.45">
      <c r="B12" s="468" t="s">
        <v>2139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36</v>
      </c>
      <c r="L12" s="472"/>
    </row>
    <row r="13" spans="2:12" ht="20.149999999999999" customHeight="1" x14ac:dyDescent="0.45">
      <c r="B13" s="468" t="s">
        <v>2024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14</v>
      </c>
      <c r="L13" s="472"/>
    </row>
    <row r="14" spans="2:12" ht="20.149999999999999" customHeight="1" x14ac:dyDescent="0.45">
      <c r="B14" s="468" t="s">
        <v>2025</v>
      </c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463" t="s">
        <v>2026</v>
      </c>
      <c r="C15" s="464"/>
      <c r="D15" s="465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16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16" ht="20.149999999999999" customHeight="1" x14ac:dyDescent="0.45">
      <c r="B18" s="34"/>
      <c r="C18" s="22" t="s">
        <v>1572</v>
      </c>
      <c r="D18" s="508" t="str">
        <f>VLOOKUP(C18,'Sales Master'!B$3:D$499,2,)</f>
        <v>Red Bean红豆 (5.5 mm)</v>
      </c>
      <c r="E18" s="508"/>
      <c r="F18" s="508"/>
      <c r="G18" s="22">
        <v>2</v>
      </c>
      <c r="H18" s="68" t="str">
        <f>VLOOKUP(C18,'Sales Master'!$B$3:$F$3247,5,0)</f>
        <v>5 kgs</v>
      </c>
      <c r="I18" s="481" t="str">
        <f>VLOOKUP(C18,'Sales Master'!$B$3:$E$3247,4,0)</f>
        <v>-</v>
      </c>
      <c r="J18" s="481"/>
      <c r="K18" s="35">
        <f>VLOOKUP(C18,'Sales Master'!$B$3:$J$583,9,0)</f>
        <v>20.5</v>
      </c>
      <c r="L18" s="36">
        <f>K18*G18</f>
        <v>41</v>
      </c>
      <c r="N18" s="225">
        <f>VLOOKUP(C18,'Sales Master'!$B$3:$DA$3038,104,0)</f>
        <v>17</v>
      </c>
      <c r="O18" s="225">
        <f>K18-N18</f>
        <v>3.5</v>
      </c>
      <c r="P18" s="225">
        <f>O18*G18</f>
        <v>7</v>
      </c>
    </row>
    <row r="19" spans="2:16" ht="20.149999999999999" customHeight="1" x14ac:dyDescent="0.45">
      <c r="B19" s="34"/>
      <c r="C19" s="22" t="s">
        <v>1585</v>
      </c>
      <c r="D19" s="508" t="str">
        <f>VLOOKUP(C19,'Sales Master'!B$3:D$499,2,)</f>
        <v>Green Bean 绿豆</v>
      </c>
      <c r="E19" s="508"/>
      <c r="F19" s="508"/>
      <c r="G19" s="22">
        <v>2</v>
      </c>
      <c r="H19" s="68" t="str">
        <f>VLOOKUP(C19,'Sales Master'!$B$3:$F$3247,5,0)</f>
        <v>5 kgs</v>
      </c>
      <c r="I19" s="481" t="str">
        <f>VLOOKUP(C19,'Sales Master'!$B$3:$E$3247,4,0)</f>
        <v>-</v>
      </c>
      <c r="J19" s="481"/>
      <c r="K19" s="35">
        <f>VLOOKUP(C19,'Sales Master'!$B$3:$J$583,9,0)</f>
        <v>13</v>
      </c>
      <c r="L19" s="36">
        <f>K19*G19</f>
        <v>26</v>
      </c>
      <c r="N19" s="225">
        <f>VLOOKUP(C19,'Sales Master'!$B$3:$DA$3038,104,0)</f>
        <v>9.3999999999999986</v>
      </c>
      <c r="O19" s="225">
        <f>K19-N19</f>
        <v>3.6000000000000014</v>
      </c>
      <c r="P19" s="225">
        <f>O19*G19</f>
        <v>7.2000000000000028</v>
      </c>
    </row>
    <row r="20" spans="2:16" ht="20.149999999999999" customHeight="1" x14ac:dyDescent="0.45">
      <c r="B20" s="34"/>
      <c r="C20" s="22" t="s">
        <v>1608</v>
      </c>
      <c r="D20" s="508" t="str">
        <f>VLOOKUP(C20,'Sales Master'!B$3:D$499,2,)</f>
        <v>Pearl Barley 薏米</v>
      </c>
      <c r="E20" s="508"/>
      <c r="F20" s="508"/>
      <c r="G20" s="22">
        <v>1</v>
      </c>
      <c r="H20" s="68" t="str">
        <f>VLOOKUP(C20,'Sales Master'!$B$3:$F$3247,5,0)</f>
        <v>5 kgs</v>
      </c>
      <c r="I20" s="481" t="str">
        <f>VLOOKUP(C20,'Sales Master'!$B$3:$E$3247,4,0)</f>
        <v>-</v>
      </c>
      <c r="J20" s="481"/>
      <c r="K20" s="35">
        <f>VLOOKUP(C20,'Sales Master'!$B$3:$J$583,9,0)</f>
        <v>10</v>
      </c>
      <c r="L20" s="36">
        <f>K20*G20</f>
        <v>10</v>
      </c>
      <c r="N20" s="225">
        <f>VLOOKUP(C20,'Sales Master'!$B$3:$DA$3038,104,0)</f>
        <v>6.8000000000000007</v>
      </c>
      <c r="O20" s="225">
        <f>K20-N20</f>
        <v>3.1999999999999993</v>
      </c>
      <c r="P20" s="225">
        <f>O20*G20</f>
        <v>3.1999999999999993</v>
      </c>
    </row>
    <row r="21" spans="2:16" ht="20.149999999999999" customHeight="1" x14ac:dyDescent="0.45">
      <c r="B21" s="34"/>
      <c r="C21" s="22" t="s">
        <v>1794</v>
      </c>
      <c r="D21" s="508" t="str">
        <f>VLOOKUP(C21,'Sales Master'!B$3:D$499,2,)</f>
        <v>Pandan Leaf 班兰叶</v>
      </c>
      <c r="E21" s="508"/>
      <c r="F21" s="508"/>
      <c r="G21" s="22">
        <v>1</v>
      </c>
      <c r="H21" s="68" t="str">
        <f>VLOOKUP(C21,'Sales Master'!$B$3:$F$3247,5,0)</f>
        <v>1 kg</v>
      </c>
      <c r="I21" s="481" t="str">
        <f>VLOOKUP(C21,'Sales Master'!$B$3:$E$3247,4,0)</f>
        <v>-</v>
      </c>
      <c r="J21" s="481"/>
      <c r="K21" s="35">
        <f>VLOOKUP(C21,'Sales Master'!$B$3:$J$583,9,0)</f>
        <v>1.8</v>
      </c>
      <c r="L21" s="36">
        <f>K21*G21</f>
        <v>1.8</v>
      </c>
      <c r="N21" s="225">
        <f>VLOOKUP(C21,'Sales Master'!$B$3:$DA$3038,104,0)</f>
        <v>1</v>
      </c>
      <c r="O21" s="225">
        <f>K21-N21</f>
        <v>0.8</v>
      </c>
      <c r="P21" s="225">
        <f>O21*G21</f>
        <v>0.8</v>
      </c>
    </row>
    <row r="22" spans="2:16" ht="20.149999999999999" customHeight="1" x14ac:dyDescent="0.45">
      <c r="B22" s="34"/>
      <c r="C22" s="22"/>
      <c r="D22" s="508"/>
      <c r="E22" s="508"/>
      <c r="F22" s="508"/>
      <c r="G22" s="22"/>
      <c r="H22" s="68"/>
      <c r="I22" s="450"/>
      <c r="J22" s="450"/>
      <c r="K22" s="35"/>
      <c r="L22" s="36"/>
    </row>
    <row r="23" spans="2:16" ht="20.149999999999999" customHeight="1" x14ac:dyDescent="0.45">
      <c r="B23" s="34"/>
      <c r="C23" s="22"/>
      <c r="D23" s="508"/>
      <c r="E23" s="508"/>
      <c r="F23" s="508"/>
      <c r="G23" s="22"/>
      <c r="H23" s="68"/>
      <c r="I23" s="450"/>
      <c r="J23" s="450"/>
      <c r="K23" s="35"/>
      <c r="L23" s="36"/>
    </row>
    <row r="24" spans="2:16" ht="20.149999999999999" customHeight="1" x14ac:dyDescent="0.45">
      <c r="B24" s="34"/>
      <c r="C24" s="22"/>
      <c r="D24" s="508"/>
      <c r="E24" s="508"/>
      <c r="F24" s="508"/>
      <c r="G24" s="22"/>
      <c r="H24" s="22"/>
      <c r="I24" s="22"/>
      <c r="J24" s="22"/>
      <c r="K24" s="35"/>
      <c r="L24" s="36"/>
    </row>
    <row r="25" spans="2:16" ht="20.149999999999999" customHeight="1" thickBot="1" x14ac:dyDescent="0.5">
      <c r="B25" s="37"/>
      <c r="C25" s="38"/>
      <c r="D25" s="509"/>
      <c r="E25" s="509"/>
      <c r="F25" s="509"/>
      <c r="G25" s="38"/>
      <c r="H25" s="38"/>
      <c r="I25" s="38"/>
      <c r="J25" s="38"/>
      <c r="K25" s="39"/>
      <c r="L25" s="40"/>
    </row>
    <row r="26" spans="2:16" ht="20.149999999999999" customHeight="1" thickBot="1" x14ac:dyDescent="0.5">
      <c r="B26" s="41"/>
      <c r="L26" s="42"/>
    </row>
    <row r="27" spans="2:16" ht="20.149999999999999" customHeight="1" x14ac:dyDescent="0.45">
      <c r="B27" s="11" t="s">
        <v>18</v>
      </c>
      <c r="C27" s="7"/>
      <c r="D27" s="7"/>
      <c r="E27" s="7"/>
      <c r="F27" s="7"/>
      <c r="G27" s="7"/>
      <c r="H27" s="7"/>
      <c r="I27" s="7"/>
      <c r="J27" s="510" t="s">
        <v>15</v>
      </c>
      <c r="K27" s="511"/>
      <c r="L27" s="43">
        <f>SUM(L17:L25)</f>
        <v>78.8</v>
      </c>
      <c r="M27" s="76">
        <f>SUM(P18:P21)</f>
        <v>18.200000000000003</v>
      </c>
      <c r="N27" s="201">
        <f>M27/L27</f>
        <v>0.2309644670050762</v>
      </c>
    </row>
    <row r="28" spans="2:16" ht="20.149999999999999" customHeight="1" x14ac:dyDescent="0.45">
      <c r="B28" s="11" t="s">
        <v>19</v>
      </c>
      <c r="C28" s="7"/>
      <c r="D28" s="7"/>
      <c r="E28" s="7"/>
      <c r="F28" s="7"/>
      <c r="G28" s="7"/>
      <c r="H28" s="7"/>
      <c r="I28" s="7"/>
      <c r="J28" s="44" t="s">
        <v>22</v>
      </c>
      <c r="K28" s="45"/>
      <c r="L28" s="46">
        <f>L27*K28</f>
        <v>0</v>
      </c>
    </row>
    <row r="29" spans="2:16" ht="20.149999999999999" customHeight="1" x14ac:dyDescent="0.45">
      <c r="B29" s="11" t="s">
        <v>20</v>
      </c>
      <c r="C29" s="7"/>
      <c r="D29" s="7"/>
      <c r="E29" s="7"/>
      <c r="F29" s="7"/>
      <c r="G29" s="7"/>
      <c r="H29" s="7"/>
      <c r="I29" s="7"/>
      <c r="J29" s="486" t="s">
        <v>21</v>
      </c>
      <c r="K29" s="487"/>
      <c r="L29" s="46">
        <f>L27-L28</f>
        <v>78.8</v>
      </c>
    </row>
    <row r="30" spans="2:16" ht="20.149999999999999" customHeight="1" x14ac:dyDescent="0.45">
      <c r="B30" s="11" t="s">
        <v>24</v>
      </c>
      <c r="C30" s="7"/>
      <c r="D30" s="7"/>
      <c r="E30" s="7"/>
      <c r="F30" s="7"/>
      <c r="G30" s="7"/>
      <c r="H30" s="7"/>
      <c r="I30" s="7"/>
      <c r="J30" s="150" t="s">
        <v>17</v>
      </c>
      <c r="K30" s="151">
        <v>7.0000000000000007E-2</v>
      </c>
      <c r="L30" s="47">
        <f>L29*K30</f>
        <v>5.516</v>
      </c>
    </row>
    <row r="31" spans="2:16" ht="20.149999999999999" customHeight="1" thickBot="1" x14ac:dyDescent="0.5">
      <c r="B31" s="11" t="s">
        <v>25</v>
      </c>
      <c r="C31" s="7"/>
      <c r="D31" s="7"/>
      <c r="E31" s="7"/>
      <c r="F31" s="7"/>
      <c r="G31" s="7"/>
      <c r="H31" s="7"/>
      <c r="I31" s="7"/>
      <c r="J31" s="488" t="s">
        <v>23</v>
      </c>
      <c r="K31" s="489"/>
      <c r="L31" s="48">
        <f>L29+L30</f>
        <v>84.316000000000003</v>
      </c>
    </row>
    <row r="32" spans="2:16" ht="20.149999999999999" customHeight="1" x14ac:dyDescent="0.45">
      <c r="B32" s="11" t="s">
        <v>26</v>
      </c>
      <c r="C32" s="7"/>
      <c r="D32" s="7"/>
      <c r="E32" s="7"/>
      <c r="F32" s="7"/>
      <c r="G32" s="7"/>
      <c r="H32" s="7"/>
      <c r="I32" s="7"/>
      <c r="L32" s="42"/>
    </row>
    <row r="33" spans="2:12" ht="20.149999999999999" customHeight="1" x14ac:dyDescent="0.45">
      <c r="B33" s="41"/>
      <c r="L33" s="42"/>
    </row>
    <row r="34" spans="2:12" ht="20.149999999999999" customHeight="1" x14ac:dyDescent="0.45">
      <c r="B34" s="41"/>
      <c r="L34" s="42"/>
    </row>
    <row r="35" spans="2:12" ht="20.149999999999999" customHeight="1" x14ac:dyDescent="0.45">
      <c r="B35" s="41"/>
      <c r="L35" s="42"/>
    </row>
    <row r="36" spans="2:12" ht="20.149999999999999" customHeight="1" x14ac:dyDescent="0.45">
      <c r="B36" s="41"/>
      <c r="L36" s="42"/>
    </row>
    <row r="37" spans="2:12" ht="20.149999999999999" customHeight="1" x14ac:dyDescent="0.45">
      <c r="B37" s="49"/>
      <c r="C37" s="50"/>
      <c r="D37" s="50"/>
      <c r="J37" s="50"/>
      <c r="K37" s="50"/>
      <c r="L37" s="51"/>
    </row>
    <row r="38" spans="2:12" ht="20.149999999999999" customHeight="1" x14ac:dyDescent="0.45">
      <c r="B38" s="41" t="s">
        <v>27</v>
      </c>
      <c r="J38" s="24" t="s">
        <v>28</v>
      </c>
      <c r="L38" s="42"/>
    </row>
    <row r="39" spans="2:12" ht="19" thickBot="1" x14ac:dyDescent="0.5">
      <c r="B39" s="52"/>
      <c r="C39" s="53"/>
      <c r="D39" s="53"/>
      <c r="E39" s="53"/>
      <c r="F39" s="53"/>
      <c r="G39" s="53"/>
      <c r="H39" s="53"/>
      <c r="I39" s="53"/>
      <c r="J39" s="53"/>
      <c r="K39" s="53"/>
      <c r="L39" s="54"/>
    </row>
  </sheetData>
  <mergeCells count="32">
    <mergeCell ref="B15:D15"/>
    <mergeCell ref="D23:F23"/>
    <mergeCell ref="I23:J23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D20:F20"/>
    <mergeCell ref="I20:J20"/>
    <mergeCell ref="D21:F21"/>
    <mergeCell ref="I21:J21"/>
    <mergeCell ref="D22:F22"/>
    <mergeCell ref="I22:J22"/>
    <mergeCell ref="D17:F17"/>
    <mergeCell ref="I17:J17"/>
    <mergeCell ref="D18:F18"/>
    <mergeCell ref="I18:J18"/>
    <mergeCell ref="D19:F19"/>
    <mergeCell ref="I19:J19"/>
    <mergeCell ref="D25:F25"/>
    <mergeCell ref="J27:K27"/>
    <mergeCell ref="J29:K29"/>
    <mergeCell ref="J31:K31"/>
    <mergeCell ref="D24:F24"/>
  </mergeCells>
  <pageMargins left="0.70866141732283472" right="0.31496062992125984" top="0.59055118110236227" bottom="0" header="0.31496062992125984" footer="0.31496062992125984"/>
  <pageSetup paperSize="9" scale="77" orientation="portrait" verticalDpi="300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AF62FF-03C4-45D5-8F11-B8D36BDAA717}">
  <sheetPr codeName="Sheet52">
    <tabColor rgb="FF92D050"/>
    <pageSetUpPr fitToPage="1"/>
  </sheetPr>
  <dimension ref="B1:S48"/>
  <sheetViews>
    <sheetView topLeftCell="B23" zoomScaleNormal="100" workbookViewId="0">
      <selection activeCell="M13" sqref="M13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7.81640625" style="24" customWidth="1"/>
    <col min="7" max="7" width="8.54296875" style="24" customWidth="1"/>
    <col min="8" max="8" width="17.453125" style="24" customWidth="1"/>
    <col min="9" max="9" width="1.453125" style="24" customWidth="1"/>
    <col min="10" max="10" width="15.54296875" style="24" customWidth="1"/>
    <col min="11" max="11" width="10.54296875" style="24" customWidth="1"/>
    <col min="12" max="12" width="12.54296875" style="24" customWidth="1"/>
    <col min="13" max="16384" width="12.54296875" style="24"/>
  </cols>
  <sheetData>
    <row r="1" spans="2:19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9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9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9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  <c r="N4" s="24" t="s">
        <v>2341</v>
      </c>
    </row>
    <row r="5" spans="2:19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9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9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9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9" ht="19" thickBot="1" x14ac:dyDescent="0.5">
      <c r="B9" s="23"/>
    </row>
    <row r="10" spans="2:19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215</v>
      </c>
      <c r="J10" s="29" t="s">
        <v>29</v>
      </c>
      <c r="K10" s="452">
        <v>202209464</v>
      </c>
      <c r="L10" s="453"/>
      <c r="N10" s="285" t="s">
        <v>2021</v>
      </c>
      <c r="R10" s="226"/>
      <c r="S10" s="68"/>
    </row>
    <row r="11" spans="2:19" ht="20.149999999999999" customHeight="1" x14ac:dyDescent="0.45">
      <c r="B11" s="569" t="s">
        <v>172</v>
      </c>
      <c r="C11" s="570"/>
      <c r="D11" s="571"/>
      <c r="E11" s="30"/>
      <c r="F11" s="457" t="str">
        <f>VLOOKUP(H10,'Delivery Location'!A$4:N$416,2,0)</f>
        <v>NEW TRENDS                                                  Stall :  Blk 75, Toa Payoh 5, Food Centre #01-23, Singapore 310075</v>
      </c>
      <c r="G11" s="458"/>
      <c r="H11" s="459"/>
      <c r="J11" s="31" t="s">
        <v>11</v>
      </c>
      <c r="K11" s="466">
        <v>44833</v>
      </c>
      <c r="L11" s="467"/>
    </row>
    <row r="12" spans="2:19" ht="20.149999999999999" customHeight="1" x14ac:dyDescent="0.45">
      <c r="B12" s="468" t="s">
        <v>1356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533</v>
      </c>
      <c r="L12" s="472"/>
    </row>
    <row r="13" spans="2:19" ht="20.149999999999999" customHeight="1" x14ac:dyDescent="0.45">
      <c r="B13" s="468" t="s">
        <v>1423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14</v>
      </c>
      <c r="L13" s="472"/>
    </row>
    <row r="14" spans="2:19" ht="20.149999999999999" customHeight="1" x14ac:dyDescent="0.45">
      <c r="B14" s="468" t="s">
        <v>1357</v>
      </c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9" ht="18" customHeight="1" thickBot="1" x14ac:dyDescent="0.5">
      <c r="B15" s="552"/>
      <c r="C15" s="474"/>
      <c r="D15" s="475"/>
      <c r="E15" s="26"/>
      <c r="F15" s="463"/>
      <c r="G15" s="464"/>
      <c r="H15" s="465"/>
      <c r="J15" s="32" t="s">
        <v>13</v>
      </c>
      <c r="K15" s="476"/>
      <c r="L15" s="477"/>
    </row>
    <row r="16" spans="2:19" ht="19" thickBot="1" x14ac:dyDescent="0.5">
      <c r="J16" s="22"/>
    </row>
    <row r="17" spans="2:19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19" ht="20.149999999999999" customHeight="1" x14ac:dyDescent="0.45">
      <c r="B18" s="34"/>
      <c r="C18" s="22" t="s">
        <v>1482</v>
      </c>
      <c r="D18" s="508" t="str">
        <f>VLOOKUP(C18,'Sales Master'!B$3:D$499,2,)</f>
        <v>Tadpole蝌蚪</v>
      </c>
      <c r="E18" s="508"/>
      <c r="F18" s="508"/>
      <c r="G18" s="90">
        <v>1</v>
      </c>
      <c r="H18" s="389" t="str">
        <f>VLOOKUP(C18,'Sales Master'!$B$3:$F$3247,5,0)</f>
        <v>1 kg/Bag</v>
      </c>
      <c r="I18" s="482" t="str">
        <f>VLOOKUP(C18,'Sales Master'!$B$3:$E$3247,4,0)</f>
        <v>FJ</v>
      </c>
      <c r="J18" s="482"/>
      <c r="K18" s="94">
        <f>VLOOKUP(C18,'Sales Master'!B$3:L$3162,11,0)</f>
        <v>6.5</v>
      </c>
      <c r="L18" s="77">
        <f t="shared" ref="L18:L19" si="0">K18*G18</f>
        <v>6.5</v>
      </c>
      <c r="M18" s="78"/>
      <c r="N18" s="225">
        <f>VLOOKUP(C18,'Sales Master'!$B$3:$DA$3038,104,0)</f>
        <v>5</v>
      </c>
      <c r="O18" s="225">
        <f t="shared" ref="O18:O19" si="1">K18-N18</f>
        <v>1.5</v>
      </c>
      <c r="P18" s="225">
        <f t="shared" ref="P18:P19" si="2">O18*G18</f>
        <v>1.5</v>
      </c>
      <c r="R18" s="24">
        <v>1</v>
      </c>
      <c r="S18" s="24" t="s">
        <v>54</v>
      </c>
    </row>
    <row r="19" spans="2:19" ht="20.149999999999999" customHeight="1" x14ac:dyDescent="0.45">
      <c r="B19" s="34"/>
      <c r="C19" s="22" t="s">
        <v>1563</v>
      </c>
      <c r="D19" s="508" t="str">
        <f>VLOOKUP(C19,'Sales Master'!B$3:D$499,2,)</f>
        <v>Atap Seeds in Syrup亚嗒子</v>
      </c>
      <c r="E19" s="508"/>
      <c r="F19" s="508"/>
      <c r="G19" s="90">
        <v>3</v>
      </c>
      <c r="H19" s="389" t="str">
        <f>VLOOKUP(C19,'Sales Master'!$B$3:$F$3247,5,0)</f>
        <v>NW (2.1:0.9) 3 kgs</v>
      </c>
      <c r="I19" s="482" t="str">
        <f>VLOOKUP(C19,'Sales Master'!$B$3:$E$3247,4,0)</f>
        <v>DO!</v>
      </c>
      <c r="J19" s="482"/>
      <c r="K19" s="94">
        <f>VLOOKUP(C19,'Sales Master'!B$3:L$3162,11,0)</f>
        <v>11.5</v>
      </c>
      <c r="L19" s="77">
        <f t="shared" si="0"/>
        <v>34.5</v>
      </c>
      <c r="M19" s="78"/>
      <c r="N19" s="225">
        <f>VLOOKUP(C19,'Sales Master'!$B$3:$DA$3038,104,0)</f>
        <v>5.628000000000001</v>
      </c>
      <c r="O19" s="225">
        <f t="shared" si="1"/>
        <v>5.871999999999999</v>
      </c>
      <c r="P19" s="225">
        <f t="shared" si="2"/>
        <v>17.615999999999996</v>
      </c>
      <c r="R19" s="24">
        <v>1</v>
      </c>
      <c r="S19" s="24" t="s">
        <v>136</v>
      </c>
    </row>
    <row r="20" spans="2:19" ht="20.149999999999999" customHeight="1" x14ac:dyDescent="0.45">
      <c r="B20" s="34"/>
      <c r="C20" s="22" t="s">
        <v>1566</v>
      </c>
      <c r="D20" s="508" t="str">
        <f>VLOOKUP(C20,'Sales Master'!B$3:D$499,2,)</f>
        <v>Chin Chow  仙草</v>
      </c>
      <c r="E20" s="508"/>
      <c r="F20" s="508"/>
      <c r="G20" s="90">
        <v>8</v>
      </c>
      <c r="H20" s="389" t="str">
        <f>VLOOKUP(C20,'Sales Master'!$B$3:$F$3247,5,0)</f>
        <v>5KGS/PKT</v>
      </c>
      <c r="I20" s="482" t="str">
        <f>VLOOKUP(C20,'Sales Master'!$B$3:$E$3247,4,0)</f>
        <v>TSM</v>
      </c>
      <c r="J20" s="482"/>
      <c r="K20" s="94">
        <f>VLOOKUP(C20,'Sales Master'!B$3:L$3162,11,0)</f>
        <v>5</v>
      </c>
      <c r="L20" s="77">
        <f t="shared" ref="L20:L21" si="3">K20*G20</f>
        <v>40</v>
      </c>
      <c r="M20" s="78"/>
      <c r="N20" s="225">
        <f>VLOOKUP(C20,'Sales Master'!$B$3:$DA$3038,104,0)</f>
        <v>4</v>
      </c>
      <c r="O20" s="225">
        <f t="shared" ref="O20:O21" si="4">K20-N20</f>
        <v>1</v>
      </c>
      <c r="P20" s="225">
        <f t="shared" ref="P20:P21" si="5">O20*G20</f>
        <v>8</v>
      </c>
      <c r="R20" s="24">
        <v>1</v>
      </c>
      <c r="S20" s="24" t="s">
        <v>486</v>
      </c>
    </row>
    <row r="21" spans="2:19" ht="20.149999999999999" customHeight="1" x14ac:dyDescent="0.45">
      <c r="B21" s="34"/>
      <c r="C21" s="22" t="s">
        <v>1606</v>
      </c>
      <c r="D21" s="508" t="str">
        <f>VLOOKUP(C21,'Sales Master'!B$3:D$499,2,)</f>
        <v>White Wheat 大麦</v>
      </c>
      <c r="E21" s="508"/>
      <c r="F21" s="508"/>
      <c r="G21" s="90">
        <v>1</v>
      </c>
      <c r="H21" s="389" t="str">
        <f>VLOOKUP(C21,'Sales Master'!$B$3:$F$3247,5,0)</f>
        <v>10PKT/BAG</v>
      </c>
      <c r="I21" s="482" t="str">
        <f>VLOOKUP(C21,'Sales Master'!$B$3:$E$3247,4,0)</f>
        <v>-</v>
      </c>
      <c r="J21" s="482"/>
      <c r="K21" s="94">
        <f>VLOOKUP(C21,'Sales Master'!B$3:L$3162,11,0)</f>
        <v>10.5</v>
      </c>
      <c r="L21" s="77">
        <f t="shared" si="3"/>
        <v>10.5</v>
      </c>
      <c r="M21" s="78"/>
      <c r="N21" s="225">
        <f>VLOOKUP(C21,'Sales Master'!$B$3:$DA$3038,104,0)</f>
        <v>7.5</v>
      </c>
      <c r="O21" s="225">
        <f t="shared" si="4"/>
        <v>3</v>
      </c>
      <c r="P21" s="225">
        <f t="shared" si="5"/>
        <v>3</v>
      </c>
    </row>
    <row r="22" spans="2:19" ht="20.149999999999999" customHeight="1" x14ac:dyDescent="0.45">
      <c r="B22" s="34"/>
      <c r="C22" s="22" t="s">
        <v>1776</v>
      </c>
      <c r="D22" s="508" t="str">
        <f>VLOOKUP(C22,'Sales Master'!B$3:D$499,2,)</f>
        <v>Coconut Sugar椰糖</v>
      </c>
      <c r="E22" s="508"/>
      <c r="F22" s="508"/>
      <c r="G22" s="90">
        <v>1</v>
      </c>
      <c r="H22" s="389" t="str">
        <f>VLOOKUP(C22,'Sales Master'!$B$3:$F$3247,5,0)</f>
        <v>10kgs/ctn</v>
      </c>
      <c r="I22" s="482" t="str">
        <f>VLOOKUP(C22,'Sales Master'!$B$3:$E$3247,4,0)</f>
        <v>2P</v>
      </c>
      <c r="J22" s="482"/>
      <c r="K22" s="94">
        <f>VLOOKUP(C22,'Sales Master'!B$3:L$3162,11,0)</f>
        <v>36</v>
      </c>
      <c r="L22" s="77">
        <f t="shared" ref="L22" si="6">K22*G22</f>
        <v>36</v>
      </c>
      <c r="M22" s="78"/>
      <c r="N22" s="225">
        <f>VLOOKUP(C22,'Sales Master'!$B$3:$DA$3038,104,0)</f>
        <v>31</v>
      </c>
      <c r="O22" s="225">
        <f t="shared" ref="O22" si="7">K22-N22</f>
        <v>5</v>
      </c>
      <c r="P22" s="225">
        <f t="shared" ref="P22" si="8">O22*G22</f>
        <v>5</v>
      </c>
    </row>
    <row r="23" spans="2:19" ht="20.149999999999999" customHeight="1" x14ac:dyDescent="0.45">
      <c r="B23" s="34"/>
      <c r="G23" s="90"/>
      <c r="H23" s="389"/>
      <c r="I23" s="389"/>
      <c r="J23" s="389"/>
      <c r="K23" s="94"/>
      <c r="L23" s="77"/>
      <c r="M23" s="78"/>
      <c r="N23" s="225"/>
      <c r="O23" s="225"/>
      <c r="P23" s="225"/>
    </row>
    <row r="24" spans="2:19" ht="20.149999999999999" customHeight="1" x14ac:dyDescent="0.45">
      <c r="B24" s="34"/>
      <c r="G24" s="90"/>
      <c r="H24" s="68"/>
      <c r="I24" s="68"/>
      <c r="J24" s="68"/>
      <c r="K24" s="94"/>
      <c r="L24" s="77"/>
      <c r="M24" s="78"/>
      <c r="N24" s="225"/>
      <c r="O24" s="225"/>
      <c r="P24" s="225"/>
    </row>
    <row r="25" spans="2:19" ht="20.149999999999999" customHeight="1" x14ac:dyDescent="0.45">
      <c r="B25" s="34"/>
      <c r="C25" s="23" t="s">
        <v>2128</v>
      </c>
      <c r="D25" s="508"/>
      <c r="E25" s="508"/>
      <c r="F25" s="508"/>
      <c r="G25" s="90"/>
      <c r="H25" s="68"/>
      <c r="I25" s="481"/>
      <c r="J25" s="481"/>
      <c r="K25" s="94"/>
      <c r="L25" s="77"/>
      <c r="M25" s="78"/>
      <c r="N25" s="225"/>
      <c r="O25" s="225"/>
      <c r="P25" s="225"/>
      <c r="R25" s="24">
        <v>1</v>
      </c>
      <c r="S25" s="24" t="s">
        <v>100</v>
      </c>
    </row>
    <row r="26" spans="2:19" ht="20.149999999999999" customHeight="1" x14ac:dyDescent="0.45">
      <c r="B26" s="34"/>
      <c r="C26" s="230" t="s">
        <v>2295</v>
      </c>
      <c r="G26" s="90"/>
      <c r="H26" s="68"/>
      <c r="I26" s="102"/>
      <c r="J26" s="102"/>
      <c r="K26" s="94"/>
      <c r="L26" s="77"/>
      <c r="M26" s="78"/>
      <c r="N26" s="225"/>
      <c r="O26" s="225"/>
      <c r="P26" s="225"/>
    </row>
    <row r="27" spans="2:19" ht="20.149999999999999" customHeight="1" x14ac:dyDescent="0.45">
      <c r="B27" s="34"/>
      <c r="C27" s="230" t="s">
        <v>2296</v>
      </c>
      <c r="D27" s="402"/>
      <c r="E27" s="402"/>
      <c r="F27" s="402"/>
      <c r="G27" s="90"/>
      <c r="H27" s="68"/>
      <c r="I27" s="68"/>
      <c r="J27" s="68"/>
      <c r="K27" s="394"/>
      <c r="L27" s="77"/>
      <c r="M27" s="78"/>
      <c r="N27" s="225"/>
      <c r="O27" s="225"/>
      <c r="P27" s="225"/>
      <c r="R27" s="24">
        <v>1</v>
      </c>
    </row>
    <row r="28" spans="2:19" ht="20.149999999999999" customHeight="1" x14ac:dyDescent="0.45">
      <c r="B28" s="34"/>
      <c r="C28" s="230"/>
      <c r="D28" s="402"/>
      <c r="E28" s="402"/>
      <c r="F28" s="402"/>
      <c r="G28" s="90"/>
      <c r="H28" s="68"/>
      <c r="I28" s="68"/>
      <c r="J28" s="68"/>
      <c r="K28" s="394"/>
      <c r="L28" s="77"/>
      <c r="M28" s="78"/>
      <c r="N28" s="225"/>
      <c r="O28" s="225"/>
      <c r="P28" s="225"/>
    </row>
    <row r="29" spans="2:19" ht="20.149999999999999" customHeight="1" x14ac:dyDescent="0.45">
      <c r="B29" s="34"/>
      <c r="C29" s="299"/>
      <c r="G29" s="401"/>
      <c r="H29" s="68"/>
      <c r="I29" s="68"/>
      <c r="J29" s="68"/>
      <c r="K29" s="394"/>
      <c r="L29" s="77"/>
      <c r="M29" s="78"/>
    </row>
    <row r="30" spans="2:19" ht="20.149999999999999" customHeight="1" x14ac:dyDescent="0.45">
      <c r="B30" s="34"/>
      <c r="C30" s="22"/>
      <c r="D30" s="508"/>
      <c r="E30" s="508"/>
      <c r="F30" s="508"/>
      <c r="G30" s="90"/>
      <c r="H30" s="68"/>
      <c r="I30" s="481"/>
      <c r="J30" s="481"/>
      <c r="K30" s="94"/>
      <c r="L30" s="77"/>
      <c r="M30" s="78"/>
    </row>
    <row r="31" spans="2:19" ht="20.149999999999999" customHeight="1" x14ac:dyDescent="0.45">
      <c r="B31" s="34"/>
      <c r="C31" s="22"/>
      <c r="G31" s="90"/>
      <c r="H31" s="68"/>
      <c r="I31" s="68"/>
      <c r="J31" s="68"/>
      <c r="K31" s="94"/>
      <c r="L31" s="77"/>
      <c r="M31" s="78"/>
    </row>
    <row r="32" spans="2:19" ht="20.149999999999999" customHeight="1" x14ac:dyDescent="0.45">
      <c r="B32" s="34"/>
      <c r="C32" s="22"/>
      <c r="D32" s="505"/>
      <c r="E32" s="505"/>
      <c r="F32" s="505"/>
      <c r="G32" s="401"/>
      <c r="H32" s="97"/>
      <c r="I32" s="506"/>
      <c r="J32" s="506"/>
      <c r="K32" s="394"/>
      <c r="L32" s="77"/>
      <c r="M32" s="78"/>
    </row>
    <row r="33" spans="2:14" ht="20.149999999999999" customHeight="1" x14ac:dyDescent="0.45">
      <c r="B33" s="34"/>
      <c r="C33" s="22"/>
      <c r="D33" s="505"/>
      <c r="E33" s="505"/>
      <c r="F33" s="505"/>
      <c r="G33" s="401"/>
      <c r="H33" s="97"/>
      <c r="I33" s="506"/>
      <c r="J33" s="506"/>
      <c r="K33" s="394"/>
      <c r="L33" s="77"/>
      <c r="M33" s="78"/>
    </row>
    <row r="34" spans="2:14" ht="20.149999999999999" customHeight="1" thickBot="1" x14ac:dyDescent="0.5">
      <c r="B34" s="37"/>
      <c r="C34" s="38"/>
      <c r="D34" s="509"/>
      <c r="E34" s="509"/>
      <c r="F34" s="509"/>
      <c r="G34" s="38"/>
      <c r="H34" s="69"/>
      <c r="I34" s="451"/>
      <c r="J34" s="451"/>
      <c r="K34" s="39"/>
      <c r="L34" s="40"/>
    </row>
    <row r="35" spans="2:14" ht="20.149999999999999" customHeight="1" thickBot="1" x14ac:dyDescent="0.5">
      <c r="B35" s="41"/>
      <c r="L35" s="42"/>
    </row>
    <row r="36" spans="2:14" ht="20.149999999999999" customHeight="1" x14ac:dyDescent="0.45">
      <c r="B36" s="11" t="s">
        <v>18</v>
      </c>
      <c r="C36" s="7"/>
      <c r="D36" s="7"/>
      <c r="E36" s="7"/>
      <c r="F36" s="7"/>
      <c r="G36" s="7"/>
      <c r="H36" s="7"/>
      <c r="I36" s="7"/>
      <c r="J36" s="510" t="s">
        <v>15</v>
      </c>
      <c r="K36" s="511"/>
      <c r="L36" s="43">
        <f>SUM(L18:L34)</f>
        <v>127.5</v>
      </c>
      <c r="M36" s="76">
        <f>SUM(P18:P34)</f>
        <v>35.116</v>
      </c>
      <c r="N36" s="201">
        <f>M36/L36</f>
        <v>0.27541960784313724</v>
      </c>
    </row>
    <row r="37" spans="2:14" ht="20.149999999999999" customHeight="1" x14ac:dyDescent="0.45">
      <c r="B37" s="11" t="s">
        <v>19</v>
      </c>
      <c r="C37" s="7"/>
      <c r="D37" s="7"/>
      <c r="E37" s="7"/>
      <c r="F37" s="7"/>
      <c r="G37" s="7"/>
      <c r="H37" s="7"/>
      <c r="I37" s="7"/>
      <c r="J37" s="44" t="s">
        <v>22</v>
      </c>
      <c r="K37" s="45"/>
      <c r="L37" s="46">
        <f>L36*K37</f>
        <v>0</v>
      </c>
    </row>
    <row r="38" spans="2:14" ht="20.149999999999999" customHeight="1" x14ac:dyDescent="0.45">
      <c r="B38" s="11" t="s">
        <v>20</v>
      </c>
      <c r="C38" s="7"/>
      <c r="D38" s="7"/>
      <c r="E38" s="7"/>
      <c r="F38" s="7"/>
      <c r="G38" s="7"/>
      <c r="H38" s="7"/>
      <c r="I38" s="7"/>
      <c r="J38" s="486" t="s">
        <v>21</v>
      </c>
      <c r="K38" s="487"/>
      <c r="L38" s="46">
        <f>L36-L37</f>
        <v>127.5</v>
      </c>
    </row>
    <row r="39" spans="2:14" ht="20.149999999999999" customHeight="1" x14ac:dyDescent="0.45">
      <c r="B39" s="11" t="s">
        <v>24</v>
      </c>
      <c r="C39" s="7"/>
      <c r="D39" s="7"/>
      <c r="E39" s="7"/>
      <c r="F39" s="7"/>
      <c r="G39" s="7"/>
      <c r="H39" s="7"/>
      <c r="I39" s="7"/>
      <c r="J39" s="150" t="s">
        <v>17</v>
      </c>
      <c r="K39" s="151">
        <v>7.0000000000000007E-2</v>
      </c>
      <c r="L39" s="47">
        <f>L38*K39</f>
        <v>8.9250000000000007</v>
      </c>
    </row>
    <row r="40" spans="2:14" ht="20.149999999999999" customHeight="1" thickBot="1" x14ac:dyDescent="0.5">
      <c r="B40" s="11" t="s">
        <v>25</v>
      </c>
      <c r="C40" s="7"/>
      <c r="D40" s="7"/>
      <c r="E40" s="7"/>
      <c r="F40" s="7"/>
      <c r="G40" s="7"/>
      <c r="H40" s="7"/>
      <c r="I40" s="7"/>
      <c r="J40" s="488" t="s">
        <v>23</v>
      </c>
      <c r="K40" s="489"/>
      <c r="L40" s="48">
        <f>L38+L39</f>
        <v>136.42500000000001</v>
      </c>
    </row>
    <row r="41" spans="2:14" ht="20.149999999999999" customHeight="1" x14ac:dyDescent="0.45">
      <c r="B41" s="11" t="s">
        <v>26</v>
      </c>
      <c r="C41" s="7"/>
      <c r="D41" s="7"/>
      <c r="E41" s="7"/>
      <c r="F41" s="7"/>
      <c r="G41" s="7"/>
      <c r="H41" s="7"/>
      <c r="I41" s="7"/>
      <c r="L41" s="42"/>
    </row>
    <row r="42" spans="2:14" ht="20.149999999999999" customHeight="1" x14ac:dyDescent="0.45">
      <c r="B42" s="41"/>
      <c r="L42" s="42"/>
    </row>
    <row r="43" spans="2:14" ht="20.149999999999999" customHeight="1" x14ac:dyDescent="0.45">
      <c r="B43" s="41"/>
      <c r="L43" s="42"/>
    </row>
    <row r="44" spans="2:14" ht="20.149999999999999" customHeight="1" x14ac:dyDescent="0.45">
      <c r="B44" s="41"/>
      <c r="L44" s="42"/>
    </row>
    <row r="45" spans="2:14" ht="20.149999999999999" customHeight="1" x14ac:dyDescent="0.45">
      <c r="B45" s="41"/>
      <c r="L45" s="42"/>
    </row>
    <row r="46" spans="2:14" ht="20.149999999999999" customHeight="1" x14ac:dyDescent="0.45">
      <c r="B46" s="49"/>
      <c r="C46" s="50"/>
      <c r="D46" s="50"/>
      <c r="J46" s="50"/>
      <c r="K46" s="50"/>
      <c r="L46" s="51"/>
    </row>
    <row r="47" spans="2:14" ht="20.149999999999999" customHeight="1" x14ac:dyDescent="0.45">
      <c r="B47" s="41" t="s">
        <v>27</v>
      </c>
      <c r="J47" s="24" t="s">
        <v>28</v>
      </c>
      <c r="L47" s="42"/>
    </row>
    <row r="48" spans="2:14" ht="19" thickBot="1" x14ac:dyDescent="0.5">
      <c r="B48" s="52"/>
      <c r="C48" s="53"/>
      <c r="D48" s="53"/>
      <c r="E48" s="53"/>
      <c r="F48" s="53"/>
      <c r="G48" s="53"/>
      <c r="H48" s="53"/>
      <c r="I48" s="53"/>
      <c r="J48" s="53"/>
      <c r="K48" s="53"/>
      <c r="L48" s="54"/>
    </row>
  </sheetData>
  <mergeCells count="38">
    <mergeCell ref="D32:F32"/>
    <mergeCell ref="I32:J32"/>
    <mergeCell ref="D33:F33"/>
    <mergeCell ref="I33:J33"/>
    <mergeCell ref="D30:F30"/>
    <mergeCell ref="I30:J30"/>
    <mergeCell ref="K15:L15"/>
    <mergeCell ref="B13:D13"/>
    <mergeCell ref="I25:J25"/>
    <mergeCell ref="D19:F19"/>
    <mergeCell ref="I20:J20"/>
    <mergeCell ref="B15:D15"/>
    <mergeCell ref="D25:F25"/>
    <mergeCell ref="D21:F21"/>
    <mergeCell ref="I21:J21"/>
    <mergeCell ref="D22:F22"/>
    <mergeCell ref="I22:J22"/>
    <mergeCell ref="B1:L8"/>
    <mergeCell ref="I19:J19"/>
    <mergeCell ref="D20:F20"/>
    <mergeCell ref="D17:F17"/>
    <mergeCell ref="I17:J17"/>
    <mergeCell ref="K10:L10"/>
    <mergeCell ref="B11:D11"/>
    <mergeCell ref="I18:J18"/>
    <mergeCell ref="D18:F18"/>
    <mergeCell ref="F11:H15"/>
    <mergeCell ref="B14:D14"/>
    <mergeCell ref="K11:L11"/>
    <mergeCell ref="B12:D12"/>
    <mergeCell ref="K12:L12"/>
    <mergeCell ref="K13:L13"/>
    <mergeCell ref="K14:L14"/>
    <mergeCell ref="J40:K40"/>
    <mergeCell ref="D34:F34"/>
    <mergeCell ref="I34:J34"/>
    <mergeCell ref="J36:K36"/>
    <mergeCell ref="J38:K38"/>
  </mergeCells>
  <conditionalFormatting sqref="C32:C33">
    <cfRule type="duplicateValues" dxfId="33" priority="1"/>
  </conditionalFormatting>
  <conditionalFormatting sqref="C32:C33 C29">
    <cfRule type="duplicateValues" dxfId="32" priority="1022"/>
  </conditionalFormatting>
  <pageMargins left="0.70866141732283472" right="0.31496062992125984" top="0.59055118110236227" bottom="0" header="0.31496062992125984" footer="0.31496062992125984"/>
  <pageSetup paperSize="9" scale="76" orientation="portrait" horizontalDpi="300" verticalDpi="300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91ED43-F654-4B3C-8DCE-0B96E14ECAA1}">
  <sheetPr codeName="Sheet53">
    <tabColor rgb="FF92D050"/>
    <pageSetUpPr fitToPage="1"/>
  </sheetPr>
  <dimension ref="B1:Q58"/>
  <sheetViews>
    <sheetView topLeftCell="A29" zoomScaleNormal="100" workbookViewId="0">
      <selection activeCell="G40" sqref="G40"/>
    </sheetView>
  </sheetViews>
  <sheetFormatPr defaultColWidth="12.54296875" defaultRowHeight="18.5" x14ac:dyDescent="0.45"/>
  <cols>
    <col min="1" max="1" width="12.54296875" style="24"/>
    <col min="2" max="3" width="12.54296875" style="24" customWidth="1"/>
    <col min="4" max="4" width="13.81640625" style="24" customWidth="1"/>
    <col min="5" max="5" width="1.54296875" style="24" customWidth="1"/>
    <col min="6" max="6" width="16.54296875" style="24" customWidth="1"/>
    <col min="7" max="7" width="8.54296875" style="24" customWidth="1"/>
    <col min="8" max="8" width="12.54296875" style="24" customWidth="1"/>
    <col min="9" max="9" width="2.54296875" style="24" customWidth="1"/>
    <col min="10" max="10" width="15.54296875" style="24" customWidth="1"/>
    <col min="11" max="12" width="12.54296875" style="24" customWidth="1"/>
    <col min="13" max="16" width="12.54296875" style="24"/>
    <col min="17" max="17" width="13.1796875" style="24" bestFit="1" customWidth="1"/>
    <col min="18" max="16384" width="12.54296875" style="24"/>
  </cols>
  <sheetData>
    <row r="1" spans="2:12" ht="18.649999999999999" customHeight="1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ht="18.649999999999999" customHeight="1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ht="18.649999999999999" customHeight="1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ht="18.649999999999999" customHeight="1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ht="18.649999999999999" customHeight="1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ht="18.649999999999999" customHeight="1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ht="18.649999999999999" customHeight="1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8.649999999999999" customHeight="1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191"/>
      <c r="C9" s="191"/>
      <c r="D9" s="191"/>
      <c r="E9" s="191"/>
      <c r="F9" s="191"/>
      <c r="G9" s="191"/>
      <c r="H9" s="191"/>
      <c r="I9" s="191"/>
      <c r="J9" s="191"/>
      <c r="K9" s="191"/>
      <c r="L9" s="191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145</v>
      </c>
      <c r="J10" s="188" t="s">
        <v>29</v>
      </c>
      <c r="K10" s="566">
        <v>202210039</v>
      </c>
      <c r="L10" s="567"/>
    </row>
    <row r="11" spans="2:12" ht="20.149999999999999" customHeight="1" x14ac:dyDescent="0.45">
      <c r="B11" s="454" t="s">
        <v>1403</v>
      </c>
      <c r="C11" s="455"/>
      <c r="D11" s="456"/>
      <c r="E11" s="30"/>
      <c r="F11" s="457" t="str">
        <f>VLOOKUP(H10,'Delivery Location'!A$4:N$416,2,0)</f>
        <v>Drink &amp; Dessert Stall                             252 North Bridge Road.                                   #03-15/16/17 Raffles City Shopping Centre.                         Singapore 189768.</v>
      </c>
      <c r="G11" s="458"/>
      <c r="H11" s="459"/>
      <c r="J11" s="31" t="s">
        <v>11</v>
      </c>
      <c r="K11" s="466">
        <v>44837</v>
      </c>
      <c r="L11" s="467"/>
    </row>
    <row r="12" spans="2:12" ht="20.149999999999999" customHeight="1" x14ac:dyDescent="0.45">
      <c r="B12" s="468" t="s">
        <v>869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2387</v>
      </c>
      <c r="L12" s="472"/>
    </row>
    <row r="13" spans="2:12" ht="20.149999999999999" customHeight="1" x14ac:dyDescent="0.45">
      <c r="B13" s="468" t="s">
        <v>870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1166</v>
      </c>
      <c r="L13" s="472"/>
    </row>
    <row r="14" spans="2:12" ht="20.149999999999999" customHeight="1" x14ac:dyDescent="0.45">
      <c r="B14" s="468" t="s">
        <v>871</v>
      </c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473" t="s">
        <v>872</v>
      </c>
      <c r="C15" s="474"/>
      <c r="D15" s="475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16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16" ht="20.149999999999999" customHeight="1" x14ac:dyDescent="0.45">
      <c r="B18" s="70" t="s">
        <v>79</v>
      </c>
      <c r="C18" s="22" t="str">
        <f>VLOOKUP(B18,'Sales Master'!A$3:B$581,2,0)</f>
        <v>P3001B</v>
      </c>
      <c r="D18" s="573" t="str">
        <f>VLOOKUP(C18,'Sales Master'!B$3:D$499,2,)</f>
        <v>Atap Seeds in Syrup亚嗒子</v>
      </c>
      <c r="E18" s="573"/>
      <c r="F18" s="573"/>
      <c r="G18" s="90">
        <v>2</v>
      </c>
      <c r="H18" s="438" t="str">
        <f>VLOOKUP(C18,'Sales Master'!$B$3:$E$590,4,0)</f>
        <v>DO!</v>
      </c>
      <c r="I18" s="512" t="str">
        <f>VLOOKUP(C18,'Sales Master'!$B$3:F$590,5,0)</f>
        <v>NW (1.6:0.6) 2.2 kgs</v>
      </c>
      <c r="J18" s="512"/>
      <c r="K18" s="139">
        <f>VLOOKUP(C18,'Sales Master'!B$3:I$581,8,0)</f>
        <v>10</v>
      </c>
      <c r="L18" s="99">
        <f>K18*G18</f>
        <v>20</v>
      </c>
      <c r="M18" s="78"/>
      <c r="N18" s="225">
        <f>VLOOKUP(C18,'Sales Master'!$B$3:$DA$3038,104,0)</f>
        <v>4.8240000000000007</v>
      </c>
      <c r="O18" s="225">
        <f>K18-N18</f>
        <v>5.1759999999999993</v>
      </c>
      <c r="P18" s="225">
        <f>O18*G18</f>
        <v>10.351999999999999</v>
      </c>
    </row>
    <row r="19" spans="2:16" ht="20.149999999999999" customHeight="1" x14ac:dyDescent="0.45">
      <c r="B19" s="70" t="s">
        <v>123</v>
      </c>
      <c r="C19" s="22" t="str">
        <f>VLOOKUP(B19,'Sales Master'!A$3:B$581,2,0)</f>
        <v>M1004</v>
      </c>
      <c r="D19" s="480" t="str">
        <f>VLOOKUP(C19,'Sales Master'!B$3:D$499,2,)</f>
        <v>Mango Puree芒果</v>
      </c>
      <c r="E19" s="480"/>
      <c r="F19" s="480"/>
      <c r="G19" s="90">
        <v>1</v>
      </c>
      <c r="H19" s="438" t="str">
        <f>VLOOKUP(C19,'Sales Master'!$B$3:$E$590,4,0)</f>
        <v>DO!</v>
      </c>
      <c r="I19" s="512" t="str">
        <f>VLOOKUP(C19,'Sales Master'!$B$3:F$590,5,0)</f>
        <v>BOX/盒</v>
      </c>
      <c r="J19" s="512"/>
      <c r="K19" s="139">
        <f>VLOOKUP(C19,'Sales Master'!B$3:I$581,8,0)</f>
        <v>7</v>
      </c>
      <c r="L19" s="99">
        <f>K19*G19</f>
        <v>7</v>
      </c>
      <c r="M19" s="78"/>
      <c r="N19" s="225">
        <f>VLOOKUP(C19,'Sales Master'!$B$3:$DA$3038,104,0)</f>
        <v>2</v>
      </c>
      <c r="O19" s="225">
        <f>K19-N19</f>
        <v>5</v>
      </c>
      <c r="P19" s="225">
        <f>O19*G19</f>
        <v>5</v>
      </c>
    </row>
    <row r="20" spans="2:16" ht="20.149999999999999" customHeight="1" x14ac:dyDescent="0.45">
      <c r="B20" s="70" t="s">
        <v>82</v>
      </c>
      <c r="C20" s="22" t="str">
        <f>VLOOKUP(B20,'Sales Master'!A$3:B$581,2,0)</f>
        <v>P3019A</v>
      </c>
      <c r="D20" s="480" t="str">
        <f>VLOOKUP(C20,'Sales Master'!B$3:D$499,2,)</f>
        <v>Dried Longan 龙眼干</v>
      </c>
      <c r="E20" s="480"/>
      <c r="F20" s="480"/>
      <c r="G20" s="90">
        <v>4</v>
      </c>
      <c r="H20" s="438" t="str">
        <f>VLOOKUP(C20,'Sales Master'!$B$3:$E$590,4,0)</f>
        <v>TL</v>
      </c>
      <c r="I20" s="512" t="str">
        <f>VLOOKUP(C20,'Sales Master'!$B$3:F$590,5,0)</f>
        <v>1 kg</v>
      </c>
      <c r="J20" s="512"/>
      <c r="K20" s="139">
        <f>VLOOKUP(C20,'Sales Master'!B$3:I$581,8,0)</f>
        <v>12</v>
      </c>
      <c r="L20" s="99">
        <f t="shared" ref="L20" si="0">K20*G20</f>
        <v>48</v>
      </c>
      <c r="M20" s="78"/>
      <c r="N20" s="225">
        <f>VLOOKUP(C20,'Sales Master'!$B$3:$DA$3038,104,0)</f>
        <v>8.5</v>
      </c>
      <c r="O20" s="225">
        <f t="shared" ref="O20" si="1">K20-N20</f>
        <v>3.5</v>
      </c>
      <c r="P20" s="225">
        <f t="shared" ref="P20" si="2">O20*G20</f>
        <v>14</v>
      </c>
    </row>
    <row r="21" spans="2:16" ht="20.149999999999999" customHeight="1" x14ac:dyDescent="0.45">
      <c r="B21" s="70" t="s">
        <v>92</v>
      </c>
      <c r="C21" s="22" t="str">
        <f>VLOOKUP(B21,'Sales Master'!A$3:B$581,2,0)</f>
        <v>P3013A</v>
      </c>
      <c r="D21" s="480" t="str">
        <f>VLOOKUP(C21,'Sales Master'!B$3:D$499,2,)</f>
        <v>Black Glutinous Rice 黑糯米</v>
      </c>
      <c r="E21" s="480"/>
      <c r="F21" s="480"/>
      <c r="G21" s="90">
        <v>1</v>
      </c>
      <c r="H21" s="438" t="str">
        <f>VLOOKUP(C21,'Sales Master'!$B$3:$E$590,4,0)</f>
        <v>-</v>
      </c>
      <c r="I21" s="572" t="str">
        <f>VLOOKUP(C21,'Sales Master'!$B$3:F$590,5,0)</f>
        <v>5 kgs</v>
      </c>
      <c r="J21" s="572"/>
      <c r="K21" s="139">
        <f>VLOOKUP(C21,'Sales Master'!B$3:I$581,8,0)</f>
        <v>18</v>
      </c>
      <c r="L21" s="99">
        <f>K21*G21</f>
        <v>18</v>
      </c>
      <c r="M21" s="78"/>
      <c r="N21" s="225">
        <f>VLOOKUP(C21,'Sales Master'!$B$3:$DA$3038,104,0)</f>
        <v>12</v>
      </c>
      <c r="O21" s="225">
        <f>K21-N21</f>
        <v>6</v>
      </c>
      <c r="P21" s="225">
        <f>O21*G21</f>
        <v>6</v>
      </c>
    </row>
    <row r="22" spans="2:16" ht="20.149999999999999" customHeight="1" x14ac:dyDescent="0.45">
      <c r="B22" s="70" t="s">
        <v>63</v>
      </c>
      <c r="C22" s="22" t="str">
        <f>VLOOKUP(B22,'Sales Master'!A$3:B$581,2,0)</f>
        <v>P3016A</v>
      </c>
      <c r="D22" s="480" t="str">
        <f>VLOOKUP(C22,'Sales Master'!B$3:D$499,2,)</f>
        <v>Pearl Barley 薏米</v>
      </c>
      <c r="E22" s="480"/>
      <c r="F22" s="480"/>
      <c r="G22" s="90">
        <v>1</v>
      </c>
      <c r="H22" s="438" t="str">
        <f>VLOOKUP(C22,'Sales Master'!$B$3:$E$590,4,0)</f>
        <v>-</v>
      </c>
      <c r="I22" s="512" t="str">
        <f>VLOOKUP(C22,'Sales Master'!$B$3:F$590,5,0)</f>
        <v>5 kgs</v>
      </c>
      <c r="J22" s="512"/>
      <c r="K22" s="139">
        <f>VLOOKUP(C22,'Sales Master'!B$3:I$581,8,0)</f>
        <v>8.5</v>
      </c>
      <c r="L22" s="99">
        <f t="shared" ref="L22:L23" si="3">K22*G22</f>
        <v>8.5</v>
      </c>
      <c r="M22" s="78"/>
      <c r="N22" s="225">
        <f>VLOOKUP(C22,'Sales Master'!$B$3:$DA$3038,104,0)</f>
        <v>6.8000000000000007</v>
      </c>
      <c r="O22" s="225">
        <f t="shared" ref="O22:O23" si="4">K22-N22</f>
        <v>1.6999999999999993</v>
      </c>
      <c r="P22" s="225">
        <f t="shared" ref="P22:P23" si="5">O22*G22</f>
        <v>1.6999999999999993</v>
      </c>
    </row>
    <row r="23" spans="2:16" ht="20.149999999999999" customHeight="1" x14ac:dyDescent="0.45">
      <c r="B23" s="70" t="s">
        <v>69</v>
      </c>
      <c r="C23" s="22" t="str">
        <f>VLOOKUP(B23,'Sales Master'!A$3:B$581,2,0)</f>
        <v>P3002</v>
      </c>
      <c r="D23" s="480" t="str">
        <f>VLOOKUP(C23,'Sales Master'!B$3:D$499,2,)</f>
        <v>Chin Chow  仙草</v>
      </c>
      <c r="E23" s="480"/>
      <c r="F23" s="480"/>
      <c r="G23" s="90">
        <v>3</v>
      </c>
      <c r="H23" s="438" t="str">
        <f>VLOOKUP(C23,'Sales Master'!$B$3:$E$590,4,0)</f>
        <v>TSM</v>
      </c>
      <c r="I23" s="512" t="str">
        <f>VLOOKUP(C23,'Sales Master'!$B$3:F$590,5,0)</f>
        <v>5KGS/PKT</v>
      </c>
      <c r="J23" s="512"/>
      <c r="K23" s="139">
        <f>VLOOKUP(C23,'Sales Master'!B$3:I$581,8,0)</f>
        <v>4.5</v>
      </c>
      <c r="L23" s="99">
        <f t="shared" si="3"/>
        <v>13.5</v>
      </c>
      <c r="M23" s="78"/>
      <c r="N23" s="225">
        <f>VLOOKUP(C23,'Sales Master'!$B$3:$DA$3038,104,0)</f>
        <v>4</v>
      </c>
      <c r="O23" s="225">
        <f t="shared" si="4"/>
        <v>0.5</v>
      </c>
      <c r="P23" s="225">
        <f t="shared" si="5"/>
        <v>1.5</v>
      </c>
    </row>
    <row r="24" spans="2:16" ht="20.149999999999999" customHeight="1" x14ac:dyDescent="0.45">
      <c r="B24" s="70" t="s">
        <v>93</v>
      </c>
      <c r="C24" s="22" t="str">
        <f>VLOOKUP(B24,'Sales Master'!A$3:B$581,2,0)</f>
        <v>P3005A</v>
      </c>
      <c r="D24" s="480" t="str">
        <f>VLOOKUP(C24,'Sales Master'!B$3:D$499,2,)</f>
        <v>Red Bean红豆 (5.5 mm)</v>
      </c>
      <c r="E24" s="480"/>
      <c r="F24" s="480"/>
      <c r="G24" s="90">
        <v>2</v>
      </c>
      <c r="H24" s="438" t="str">
        <f>VLOOKUP(C24,'Sales Master'!$B$3:$E$590,4,0)</f>
        <v>-</v>
      </c>
      <c r="I24" s="512" t="str">
        <f>VLOOKUP(C24,'Sales Master'!$B$3:F$590,5,0)</f>
        <v>5 kgs</v>
      </c>
      <c r="J24" s="512"/>
      <c r="K24" s="139">
        <f>VLOOKUP(C24,'Sales Master'!B$3:I$581,8,0)</f>
        <v>20</v>
      </c>
      <c r="L24" s="99">
        <f t="shared" ref="L24:L29" si="6">K24*G24</f>
        <v>40</v>
      </c>
      <c r="M24" s="78"/>
      <c r="N24" s="225">
        <f>VLOOKUP(C24,'Sales Master'!$B$3:$DA$3038,104,0)</f>
        <v>17</v>
      </c>
      <c r="O24" s="225">
        <f t="shared" ref="O24:O29" si="7">K24-N24</f>
        <v>3</v>
      </c>
      <c r="P24" s="225">
        <f t="shared" ref="P24:P29" si="8">O24*G24</f>
        <v>6</v>
      </c>
    </row>
    <row r="25" spans="2:16" ht="20.149999999999999" customHeight="1" x14ac:dyDescent="0.45">
      <c r="B25" s="70" t="s">
        <v>2068</v>
      </c>
      <c r="C25" s="22" t="str">
        <f>VLOOKUP(B25,'Sales Master'!A$3:B$581,2,0)</f>
        <v>P3062</v>
      </c>
      <c r="D25" s="480" t="str">
        <f>VLOOKUP(C25,'Sales Master'!B$3:D$499,2,)</f>
        <v xml:space="preserve">DRIED ROSELLE </v>
      </c>
      <c r="E25" s="480"/>
      <c r="F25" s="480"/>
      <c r="G25" s="90">
        <v>1</v>
      </c>
      <c r="H25" s="438" t="str">
        <f>VLOOKUP(C25,'Sales Master'!$B$3:$E$590,4,0)</f>
        <v>China</v>
      </c>
      <c r="I25" s="512" t="str">
        <f>VLOOKUP(C25,'Sales Master'!$B$3:F$590,5,0)</f>
        <v>1 KG</v>
      </c>
      <c r="J25" s="512"/>
      <c r="K25" s="139">
        <f>VLOOKUP(C25,'Sales Master'!B$3:I$581,8,0)</f>
        <v>20</v>
      </c>
      <c r="L25" s="99">
        <f>K25*G25</f>
        <v>20</v>
      </c>
      <c r="M25" s="78"/>
      <c r="N25" s="225">
        <f>VLOOKUP(C25,'Sales Master'!$B$3:$DA$3038,104,0)</f>
        <v>13.5</v>
      </c>
      <c r="O25" s="225">
        <f>K25-N25</f>
        <v>6.5</v>
      </c>
      <c r="P25" s="225">
        <f>O25*G25</f>
        <v>6.5</v>
      </c>
    </row>
    <row r="26" spans="2:16" ht="20.149999999999999" customHeight="1" x14ac:dyDescent="0.45">
      <c r="B26" s="70" t="s">
        <v>65</v>
      </c>
      <c r="C26" s="22" t="str">
        <f>VLOOKUP(B26,'Sales Master'!A$3:B$581,2,0)</f>
        <v>P3032A</v>
      </c>
      <c r="D26" s="480" t="str">
        <f>VLOOKUP(C26,'Sales Master'!B$3:D$499,2,)</f>
        <v>Sweeten Melon Strip冬瓜条</v>
      </c>
      <c r="E26" s="480"/>
      <c r="F26" s="480"/>
      <c r="G26" s="90">
        <v>1</v>
      </c>
      <c r="H26" s="438" t="str">
        <f>VLOOKUP(C26,'Sales Master'!$B$3:$E$590,4,0)</f>
        <v>Rabbit Brand</v>
      </c>
      <c r="I26" s="512" t="str">
        <f>VLOOKUP(C26,'Sales Master'!$B$3:F$590,5,0)</f>
        <v>3KGS/PKT</v>
      </c>
      <c r="J26" s="512"/>
      <c r="K26" s="139">
        <f>VLOOKUP(C26,'Sales Master'!B$3:I$581,8,0)</f>
        <v>18</v>
      </c>
      <c r="L26" s="99">
        <f>K26*G26</f>
        <v>18</v>
      </c>
      <c r="M26" s="78"/>
      <c r="N26" s="225">
        <f>VLOOKUP(C26,'Sales Master'!$B$3:$DA$3038,104,0)</f>
        <v>14</v>
      </c>
      <c r="O26" s="225">
        <f>K26-N26</f>
        <v>4</v>
      </c>
      <c r="P26" s="225">
        <f>O26*G26</f>
        <v>4</v>
      </c>
    </row>
    <row r="27" spans="2:16" ht="20.149999999999999" customHeight="1" x14ac:dyDescent="0.45">
      <c r="B27" s="70" t="s">
        <v>94</v>
      </c>
      <c r="C27" s="22" t="str">
        <f>VLOOKUP(B27,'Sales Master'!A$3:B$581,2,0)</f>
        <v>P3012A</v>
      </c>
      <c r="D27" s="480" t="str">
        <f>VLOOKUP(C27,'Sales Master'!B$3:D$499,2,)</f>
        <v>Split Green Mung Bean豆畔</v>
      </c>
      <c r="E27" s="480"/>
      <c r="F27" s="480"/>
      <c r="G27" s="90">
        <v>1</v>
      </c>
      <c r="H27" s="438" t="str">
        <f>VLOOKUP(C27,'Sales Master'!$B$3:$E$590,4,0)</f>
        <v>-</v>
      </c>
      <c r="I27" s="512" t="str">
        <f>VLOOKUP(C27,'Sales Master'!$B$3:F$590,5,0)</f>
        <v>5 KG</v>
      </c>
      <c r="J27" s="512"/>
      <c r="K27" s="139">
        <f>VLOOKUP(C27,'Sales Master'!B$3:I$581,8,0)</f>
        <v>17</v>
      </c>
      <c r="L27" s="99">
        <f>K27*G27</f>
        <v>17</v>
      </c>
      <c r="M27" s="78"/>
      <c r="N27" s="225">
        <f>VLOOKUP(C27,'Sales Master'!$B$3:$DA$3038,104,0)</f>
        <v>12.166666666666666</v>
      </c>
      <c r="O27" s="225">
        <f>K27-N27</f>
        <v>4.8333333333333339</v>
      </c>
      <c r="P27" s="225">
        <f>O27*G27</f>
        <v>4.8333333333333339</v>
      </c>
    </row>
    <row r="28" spans="2:16" ht="20.149999999999999" customHeight="1" x14ac:dyDescent="0.45">
      <c r="B28" s="70" t="s">
        <v>128</v>
      </c>
      <c r="C28" s="22" t="str">
        <f>VLOOKUP(B28,'Sales Master'!A$3:B$581,2,0)</f>
        <v>P3026</v>
      </c>
      <c r="D28" s="480" t="str">
        <f>VLOOKUP(C28,'Sales Master'!B$3:D$499,2,)</f>
        <v>Dried Persimmon 柿子</v>
      </c>
      <c r="E28" s="480"/>
      <c r="F28" s="480"/>
      <c r="G28" s="90">
        <v>2</v>
      </c>
      <c r="H28" s="438" t="str">
        <f>VLOOKUP(C28,'Sales Master'!$B$3:$E$590,4,0)</f>
        <v>AA</v>
      </c>
      <c r="I28" s="512" t="str">
        <f>VLOOKUP(C28,'Sales Master'!$B$3:F$590,5,0)</f>
        <v>800 gms</v>
      </c>
      <c r="J28" s="512"/>
      <c r="K28" s="139">
        <f>VLOOKUP(C28,'Sales Master'!B$3:I$581,8,0)</f>
        <v>6.5</v>
      </c>
      <c r="L28" s="99">
        <f t="shared" si="6"/>
        <v>13</v>
      </c>
      <c r="M28" s="78"/>
      <c r="N28" s="225">
        <f>VLOOKUP(C28,'Sales Master'!$B$3:$DA$3038,104,0)</f>
        <v>4.8</v>
      </c>
      <c r="O28" s="225">
        <f t="shared" si="7"/>
        <v>1.7000000000000002</v>
      </c>
      <c r="P28" s="225">
        <f t="shared" si="8"/>
        <v>3.4000000000000004</v>
      </c>
    </row>
    <row r="29" spans="2:16" ht="20.149999999999999" customHeight="1" x14ac:dyDescent="0.45">
      <c r="B29" s="70" t="s">
        <v>70</v>
      </c>
      <c r="C29" s="22" t="str">
        <f>VLOOKUP(B29,'Sales Master'!A$3:B$581,2,0)</f>
        <v>M1014</v>
      </c>
      <c r="D29" s="480" t="str">
        <f>VLOOKUP(C29,'Sales Master'!B$3:D$499,2,)</f>
        <v>Chendol浆咯</v>
      </c>
      <c r="E29" s="480"/>
      <c r="F29" s="480"/>
      <c r="G29" s="90">
        <v>4</v>
      </c>
      <c r="H29" s="438" t="str">
        <f>VLOOKUP(C29,'Sales Master'!$B$3:$E$590,4,0)</f>
        <v>DO!</v>
      </c>
      <c r="I29" s="512" t="str">
        <f>VLOOKUP(C29,'Sales Master'!$B$3:F$590,5,0)</f>
        <v>NW(2.2:0.8) 3 KG/BAG</v>
      </c>
      <c r="J29" s="512"/>
      <c r="K29" s="139">
        <f>VLOOKUP(C29,'Sales Master'!B$3:I$581,8,0)</f>
        <v>6.5</v>
      </c>
      <c r="L29" s="99">
        <f t="shared" si="6"/>
        <v>26</v>
      </c>
      <c r="M29" s="78"/>
      <c r="N29" s="225">
        <f>VLOOKUP(C29,'Sales Master'!$B$3:$DA$3038,104,0)</f>
        <v>1.85</v>
      </c>
      <c r="O29" s="225">
        <f t="shared" si="7"/>
        <v>4.6500000000000004</v>
      </c>
      <c r="P29" s="225">
        <f t="shared" si="8"/>
        <v>18.600000000000001</v>
      </c>
    </row>
    <row r="30" spans="2:16" ht="20.149999999999999" customHeight="1" x14ac:dyDescent="0.45">
      <c r="B30" s="70" t="s">
        <v>2193</v>
      </c>
      <c r="C30" s="22" t="str">
        <f>VLOOKUP(B30,'Sales Master'!A$3:B$581,2,0)</f>
        <v>M1037A</v>
      </c>
      <c r="D30" s="480" t="str">
        <f>VLOOKUP(C30,'Sales Master'!B$3:D$499,2,)</f>
        <v>ROCK SUGAR SYRUP</v>
      </c>
      <c r="E30" s="480"/>
      <c r="F30" s="480"/>
      <c r="G30" s="90">
        <v>6</v>
      </c>
      <c r="H30" s="438" t="str">
        <f>VLOOKUP(C30,'Sales Master'!$B$3:$E$590,4,0)</f>
        <v>DO!</v>
      </c>
      <c r="I30" s="512" t="str">
        <f>VLOOKUP(C30,'Sales Master'!$B$3:F$590,5,0)</f>
        <v>5 KG</v>
      </c>
      <c r="J30" s="512"/>
      <c r="K30" s="139">
        <f>VLOOKUP(C30,'Sales Master'!B$3:I$581,8,0)</f>
        <v>8.5</v>
      </c>
      <c r="L30" s="99">
        <f t="shared" ref="L30" si="9">K30*G30</f>
        <v>51</v>
      </c>
      <c r="M30" s="78"/>
      <c r="N30" s="225">
        <f>VLOOKUP(C30,'Sales Master'!$B$3:$DA$3038,104,0)</f>
        <v>5.5</v>
      </c>
      <c r="O30" s="225">
        <f t="shared" ref="O30" si="10">K30-N30</f>
        <v>3</v>
      </c>
      <c r="P30" s="225">
        <f t="shared" ref="P30" si="11">O30*G30</f>
        <v>18</v>
      </c>
    </row>
    <row r="31" spans="2:16" ht="20.149999999999999" customHeight="1" x14ac:dyDescent="0.45">
      <c r="B31" s="70" t="s">
        <v>78</v>
      </c>
      <c r="C31" s="22" t="str">
        <f>VLOOKUP(B31,'Sales Master'!A$3:B$581,2,0)</f>
        <v>P6014</v>
      </c>
      <c r="D31" s="480" t="str">
        <f>VLOOKUP(C31,'Sales Master'!B$3:D$499,2,)</f>
        <v>Yu Tiao 油条</v>
      </c>
      <c r="E31" s="480"/>
      <c r="F31" s="480"/>
      <c r="G31" s="90">
        <v>20</v>
      </c>
      <c r="H31" s="438" t="str">
        <f>VLOOKUP(C31,'Sales Master'!$B$3:$E$590,4,0)</f>
        <v>-</v>
      </c>
      <c r="I31" s="512" t="str">
        <f>VLOOKUP(C31,'Sales Master'!$B$3:F$590,5,0)</f>
        <v>1 pc</v>
      </c>
      <c r="J31" s="512"/>
      <c r="K31" s="139">
        <f>VLOOKUP(C31,'Sales Master'!B$3:I$581,8,0)</f>
        <v>0.5</v>
      </c>
      <c r="L31" s="99">
        <f t="shared" ref="L31:L33" si="12">K31*G31</f>
        <v>10</v>
      </c>
      <c r="M31" s="78"/>
      <c r="N31" s="225">
        <f>VLOOKUP(C31,'Sales Master'!$B$3:$DA$3038,104,0)</f>
        <v>0.4</v>
      </c>
      <c r="O31" s="225">
        <f t="shared" ref="O31:O33" si="13">K31-N31</f>
        <v>9.9999999999999978E-2</v>
      </c>
      <c r="P31" s="225">
        <f t="shared" ref="P31:P33" si="14">O31*G31</f>
        <v>1.9999999999999996</v>
      </c>
    </row>
    <row r="32" spans="2:16" ht="20.149999999999999" customHeight="1" x14ac:dyDescent="0.45">
      <c r="B32" s="70" t="s">
        <v>74</v>
      </c>
      <c r="C32" s="22" t="str">
        <f>VLOOKUP(B32,'Sales Master'!A$3:B$581,2,0)</f>
        <v>P6007</v>
      </c>
      <c r="D32" s="480" t="str">
        <f>VLOOKUP(C32,'Sales Master'!B$3:D$499,2,)</f>
        <v>Pandan Leaf 班兰叶</v>
      </c>
      <c r="E32" s="480"/>
      <c r="F32" s="480"/>
      <c r="G32" s="90">
        <v>1</v>
      </c>
      <c r="H32" s="438" t="str">
        <f>VLOOKUP(C32,'Sales Master'!$B$3:$E$590,4,0)</f>
        <v>-</v>
      </c>
      <c r="I32" s="512" t="str">
        <f>VLOOKUP(C32,'Sales Master'!$B$3:F$590,5,0)</f>
        <v>1 kg</v>
      </c>
      <c r="J32" s="512"/>
      <c r="K32" s="139">
        <f>VLOOKUP(C32,'Sales Master'!B$3:I$581,8,0)</f>
        <v>1.8</v>
      </c>
      <c r="L32" s="99">
        <f t="shared" si="12"/>
        <v>1.8</v>
      </c>
      <c r="M32" s="78"/>
      <c r="N32" s="225">
        <f>VLOOKUP(C32,'Sales Master'!$B$3:$DA$3038,104,0)</f>
        <v>1</v>
      </c>
      <c r="O32" s="225">
        <f t="shared" si="13"/>
        <v>0.8</v>
      </c>
      <c r="P32" s="225">
        <f t="shared" si="14"/>
        <v>0.8</v>
      </c>
    </row>
    <row r="33" spans="2:17" ht="20.149999999999999" customHeight="1" x14ac:dyDescent="0.45">
      <c r="B33" s="70" t="s">
        <v>86</v>
      </c>
      <c r="C33" s="22" t="str">
        <f>VLOOKUP(B33,'Sales Master'!A$3:B$581,2,0)</f>
        <v>P6008</v>
      </c>
      <c r="D33" s="480" t="str">
        <f>VLOOKUP(C33,'Sales Master'!B$3:D$499,2,)</f>
        <v>Lime 酸甘</v>
      </c>
      <c r="E33" s="480"/>
      <c r="F33" s="480"/>
      <c r="G33" s="90">
        <v>1</v>
      </c>
      <c r="H33" s="438" t="str">
        <f>VLOOKUP(C33,'Sales Master'!$B$3:$E$590,4,0)</f>
        <v>-</v>
      </c>
      <c r="I33" s="512" t="str">
        <f>VLOOKUP(C33,'Sales Master'!$B$3:F$590,5,0)</f>
        <v>1 kg</v>
      </c>
      <c r="J33" s="512"/>
      <c r="K33" s="139">
        <f>VLOOKUP(C33,'Sales Master'!B$3:I$581,8,0)</f>
        <v>2.8</v>
      </c>
      <c r="L33" s="99">
        <f t="shared" si="12"/>
        <v>2.8</v>
      </c>
      <c r="M33" s="78"/>
      <c r="N33" s="225">
        <f>VLOOKUP(C33,'Sales Master'!$B$3:$DA$3038,104,0)</f>
        <v>1.9</v>
      </c>
      <c r="O33" s="225">
        <f t="shared" si="13"/>
        <v>0.89999999999999991</v>
      </c>
      <c r="P33" s="225">
        <f t="shared" si="14"/>
        <v>0.89999999999999991</v>
      </c>
    </row>
    <row r="34" spans="2:17" ht="20.149999999999999" customHeight="1" x14ac:dyDescent="0.45">
      <c r="B34" s="70"/>
      <c r="C34" s="22"/>
      <c r="D34" s="230"/>
      <c r="E34" s="230"/>
      <c r="F34" s="230"/>
      <c r="G34" s="90"/>
      <c r="H34" s="389"/>
      <c r="I34" s="389"/>
      <c r="J34" s="389"/>
      <c r="K34" s="139"/>
      <c r="L34" s="99"/>
      <c r="M34" s="78"/>
      <c r="N34" s="225"/>
      <c r="O34" s="225"/>
      <c r="P34" s="225"/>
    </row>
    <row r="35" spans="2:17" ht="20.149999999999999" customHeight="1" x14ac:dyDescent="0.45">
      <c r="B35" s="70"/>
      <c r="C35" s="22"/>
      <c r="D35" s="480"/>
      <c r="E35" s="480"/>
      <c r="F35" s="480"/>
      <c r="G35" s="90"/>
      <c r="H35" s="68"/>
      <c r="I35" s="481"/>
      <c r="J35" s="481"/>
      <c r="K35" s="139"/>
      <c r="L35" s="99"/>
      <c r="M35" s="78"/>
      <c r="N35" s="225"/>
      <c r="O35" s="225"/>
      <c r="P35" s="225"/>
    </row>
    <row r="36" spans="2:17" ht="20.149999999999999" customHeight="1" x14ac:dyDescent="0.45">
      <c r="B36" s="186"/>
      <c r="C36" s="156"/>
      <c r="D36" s="50"/>
      <c r="E36" s="50"/>
      <c r="F36" s="50"/>
      <c r="G36" s="156"/>
      <c r="H36" s="189"/>
      <c r="I36" s="189"/>
      <c r="J36" s="189"/>
      <c r="K36" s="163"/>
      <c r="L36" s="158"/>
      <c r="M36" s="159"/>
    </row>
    <row r="37" spans="2:17" ht="20.149999999999999" customHeight="1" thickBot="1" x14ac:dyDescent="0.5">
      <c r="B37" s="41"/>
      <c r="L37" s="42"/>
    </row>
    <row r="38" spans="2:17" ht="20.149999999999999" customHeight="1" x14ac:dyDescent="0.45">
      <c r="B38" s="11" t="s">
        <v>18</v>
      </c>
      <c r="C38" s="7"/>
      <c r="D38" s="7"/>
      <c r="E38" s="7"/>
      <c r="F38" s="7"/>
      <c r="G38" s="7"/>
      <c r="H38" s="7"/>
      <c r="I38" s="7"/>
      <c r="J38" s="510" t="s">
        <v>15</v>
      </c>
      <c r="K38" s="511"/>
      <c r="L38" s="43">
        <f>SUM(L17:L36)</f>
        <v>314.60000000000002</v>
      </c>
      <c r="M38" s="76">
        <f>SUM(P18:P32)</f>
        <v>102.68533333333333</v>
      </c>
      <c r="N38" s="201">
        <f>M38/L38</f>
        <v>0.32639966094511547</v>
      </c>
      <c r="Q38" s="76">
        <f>SUM(Q18:Q37)</f>
        <v>0</v>
      </c>
    </row>
    <row r="39" spans="2:17" ht="20.149999999999999" customHeight="1" x14ac:dyDescent="0.45">
      <c r="B39" s="11" t="s">
        <v>19</v>
      </c>
      <c r="C39" s="7"/>
      <c r="D39" s="7"/>
      <c r="E39" s="7"/>
      <c r="F39" s="7"/>
      <c r="G39" s="7"/>
      <c r="H39" s="7"/>
      <c r="I39" s="7"/>
      <c r="J39" s="44" t="s">
        <v>22</v>
      </c>
      <c r="K39" s="45"/>
      <c r="L39" s="46">
        <f>L38*K39</f>
        <v>0</v>
      </c>
    </row>
    <row r="40" spans="2:17" ht="20.149999999999999" customHeight="1" x14ac:dyDescent="0.45">
      <c r="B40" s="11" t="s">
        <v>20</v>
      </c>
      <c r="C40" s="7"/>
      <c r="D40" s="7"/>
      <c r="E40" s="7"/>
      <c r="F40" s="7"/>
      <c r="G40" s="7"/>
      <c r="H40" s="7"/>
      <c r="I40" s="7"/>
      <c r="J40" s="486" t="s">
        <v>21</v>
      </c>
      <c r="K40" s="487"/>
      <c r="L40" s="46">
        <f>L38-L39</f>
        <v>314.60000000000002</v>
      </c>
    </row>
    <row r="41" spans="2:17" ht="20.149999999999999" customHeight="1" x14ac:dyDescent="0.45">
      <c r="B41" s="11" t="s">
        <v>24</v>
      </c>
      <c r="C41" s="7"/>
      <c r="D41" s="7"/>
      <c r="E41" s="7"/>
      <c r="F41" s="7"/>
      <c r="G41" s="7"/>
      <c r="H41" s="7"/>
      <c r="I41" s="7"/>
      <c r="J41" s="150" t="s">
        <v>17</v>
      </c>
      <c r="K41" s="151">
        <v>7.0000000000000007E-2</v>
      </c>
      <c r="L41" s="47">
        <f>L40*K41</f>
        <v>22.022000000000002</v>
      </c>
    </row>
    <row r="42" spans="2:17" ht="20.149999999999999" customHeight="1" thickBot="1" x14ac:dyDescent="0.5">
      <c r="B42" s="11" t="s">
        <v>1400</v>
      </c>
      <c r="C42" s="7"/>
      <c r="D42" s="7"/>
      <c r="E42" s="7"/>
      <c r="F42" s="7"/>
      <c r="G42" s="7"/>
      <c r="H42" s="7"/>
      <c r="I42" s="7"/>
      <c r="J42" s="574" t="s">
        <v>23</v>
      </c>
      <c r="K42" s="575"/>
      <c r="L42" s="48">
        <f>L40+L41</f>
        <v>336.62200000000001</v>
      </c>
      <c r="N42" s="373"/>
      <c r="Q42" s="201"/>
    </row>
    <row r="43" spans="2:17" ht="20.149999999999999" customHeight="1" x14ac:dyDescent="0.45">
      <c r="B43" s="11" t="s">
        <v>26</v>
      </c>
      <c r="C43" s="7"/>
      <c r="D43" s="7"/>
      <c r="E43" s="7"/>
      <c r="F43" s="7"/>
      <c r="G43" s="7"/>
      <c r="H43" s="7"/>
      <c r="I43" s="7"/>
      <c r="K43" s="24" t="s">
        <v>720</v>
      </c>
      <c r="L43" s="42"/>
      <c r="Q43" s="201"/>
    </row>
    <row r="44" spans="2:17" ht="20.149999999999999" customHeight="1" x14ac:dyDescent="0.45">
      <c r="B44" s="224" t="s">
        <v>1379</v>
      </c>
      <c r="L44" s="42"/>
      <c r="Q44" s="201"/>
    </row>
    <row r="45" spans="2:17" ht="20.149999999999999" customHeight="1" x14ac:dyDescent="0.45">
      <c r="B45" s="224"/>
      <c r="L45" s="42"/>
      <c r="Q45" s="201"/>
    </row>
    <row r="46" spans="2:17" ht="20.149999999999999" customHeight="1" x14ac:dyDescent="0.45">
      <c r="B46" s="224"/>
      <c r="L46" s="42"/>
      <c r="Q46" s="201"/>
    </row>
    <row r="47" spans="2:17" ht="20.149999999999999" customHeight="1" x14ac:dyDescent="0.45">
      <c r="B47" s="41"/>
      <c r="F47" s="404"/>
      <c r="L47" s="42"/>
      <c r="Q47" s="201"/>
    </row>
    <row r="48" spans="2:17" ht="20.149999999999999" customHeight="1" x14ac:dyDescent="0.45">
      <c r="B48" s="49"/>
      <c r="C48" s="50"/>
      <c r="D48" s="50"/>
      <c r="J48" s="50"/>
      <c r="K48" s="50"/>
      <c r="L48" s="51"/>
      <c r="Q48" s="201"/>
    </row>
    <row r="49" spans="2:17" ht="20.149999999999999" customHeight="1" x14ac:dyDescent="0.45">
      <c r="B49" s="41" t="s">
        <v>27</v>
      </c>
      <c r="J49" s="24" t="s">
        <v>28</v>
      </c>
      <c r="L49" s="42"/>
      <c r="Q49" s="201"/>
    </row>
    <row r="50" spans="2:17" ht="19" thickBot="1" x14ac:dyDescent="0.5">
      <c r="B50" s="52"/>
      <c r="C50" s="53"/>
      <c r="D50" s="53"/>
      <c r="E50" s="53"/>
      <c r="F50" s="53"/>
      <c r="G50" s="53"/>
      <c r="H50" s="53"/>
      <c r="I50" s="53"/>
      <c r="J50" s="53"/>
      <c r="K50" s="53"/>
      <c r="L50" s="54"/>
      <c r="Q50" s="201"/>
    </row>
    <row r="51" spans="2:17" ht="20.5" x14ac:dyDescent="0.45">
      <c r="F51" s="426"/>
      <c r="Q51" s="201"/>
    </row>
    <row r="52" spans="2:17" x14ac:dyDescent="0.45">
      <c r="Q52" s="201"/>
    </row>
    <row r="53" spans="2:17" x14ac:dyDescent="0.45">
      <c r="Q53" s="201"/>
    </row>
    <row r="54" spans="2:17" x14ac:dyDescent="0.45">
      <c r="Q54" s="201"/>
    </row>
    <row r="55" spans="2:17" x14ac:dyDescent="0.45">
      <c r="Q55" s="201"/>
    </row>
    <row r="56" spans="2:17" x14ac:dyDescent="0.45">
      <c r="Q56" s="201"/>
    </row>
    <row r="57" spans="2:17" x14ac:dyDescent="0.45">
      <c r="Q57" s="201"/>
    </row>
    <row r="58" spans="2:17" x14ac:dyDescent="0.45">
      <c r="Q58" s="201"/>
    </row>
  </sheetData>
  <mergeCells count="52">
    <mergeCell ref="J42:K42"/>
    <mergeCell ref="J40:K40"/>
    <mergeCell ref="J38:K38"/>
    <mergeCell ref="D35:F35"/>
    <mergeCell ref="I35:J35"/>
    <mergeCell ref="D32:F32"/>
    <mergeCell ref="D33:F33"/>
    <mergeCell ref="I26:J26"/>
    <mergeCell ref="I32:J32"/>
    <mergeCell ref="I33:J33"/>
    <mergeCell ref="D26:F26"/>
    <mergeCell ref="D27:F27"/>
    <mergeCell ref="D30:F30"/>
    <mergeCell ref="D31:F31"/>
    <mergeCell ref="I27:J27"/>
    <mergeCell ref="I30:J30"/>
    <mergeCell ref="I31:J31"/>
    <mergeCell ref="B1:L8"/>
    <mergeCell ref="K10:L10"/>
    <mergeCell ref="K11:L11"/>
    <mergeCell ref="K12:L12"/>
    <mergeCell ref="K13:L13"/>
    <mergeCell ref="B11:D11"/>
    <mergeCell ref="F11:H15"/>
    <mergeCell ref="B12:D12"/>
    <mergeCell ref="B13:D13"/>
    <mergeCell ref="B15:D15"/>
    <mergeCell ref="B14:D14"/>
    <mergeCell ref="K14:L14"/>
    <mergeCell ref="K15:L15"/>
    <mergeCell ref="D18:F18"/>
    <mergeCell ref="D24:F24"/>
    <mergeCell ref="D28:F28"/>
    <mergeCell ref="I17:J17"/>
    <mergeCell ref="I18:J18"/>
    <mergeCell ref="I19:J19"/>
    <mergeCell ref="I20:J20"/>
    <mergeCell ref="I28:J28"/>
    <mergeCell ref="I23:J23"/>
    <mergeCell ref="I24:J24"/>
    <mergeCell ref="D19:F19"/>
    <mergeCell ref="D20:F20"/>
    <mergeCell ref="D22:F22"/>
    <mergeCell ref="D23:F23"/>
    <mergeCell ref="D21:F21"/>
    <mergeCell ref="D17:F17"/>
    <mergeCell ref="I25:J25"/>
    <mergeCell ref="D25:F25"/>
    <mergeCell ref="I29:J29"/>
    <mergeCell ref="D29:F29"/>
    <mergeCell ref="I21:J21"/>
    <mergeCell ref="I22:J22"/>
  </mergeCells>
  <hyperlinks>
    <hyperlink ref="B15" r:id="rId1" xr:uid="{59C7327E-85DF-4263-ABA2-AABFA30D09E9}"/>
  </hyperlinks>
  <printOptions horizontalCentered="1" verticalCentered="1"/>
  <pageMargins left="0.51181102362204722" right="0.51181102362204722" top="0.51181102362204722" bottom="0.51181102362204722" header="0.31496062992125984" footer="0.31496062992125984"/>
  <pageSetup paperSize="9" scale="77" orientation="portrait" horizontalDpi="300" verticalDpi="300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70AB79-0721-4F50-94C6-066112EA6FC1}">
  <sheetPr>
    <tabColor theme="9" tint="0.39997558519241921"/>
    <pageSetUpPr fitToPage="1"/>
  </sheetPr>
  <dimension ref="B1:P42"/>
  <sheetViews>
    <sheetView topLeftCell="A22" workbookViewId="0">
      <selection activeCell="M30" sqref="M30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8.36328125" style="24" customWidth="1"/>
    <col min="7" max="7" width="8.54296875" style="24" customWidth="1"/>
    <col min="8" max="8" width="15.7265625" style="24" customWidth="1"/>
    <col min="9" max="9" width="0.7265625" style="24" customWidth="1"/>
    <col min="10" max="10" width="20.26953125" style="24" customWidth="1"/>
    <col min="11" max="11" width="10.54296875" style="24" customWidth="1"/>
    <col min="12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2379</v>
      </c>
      <c r="J10" s="29" t="s">
        <v>29</v>
      </c>
      <c r="K10" s="452">
        <v>202210043</v>
      </c>
      <c r="L10" s="453"/>
    </row>
    <row r="11" spans="2:12" ht="20.149999999999999" customHeight="1" x14ac:dyDescent="0.45">
      <c r="B11" s="454" t="s">
        <v>2302</v>
      </c>
      <c r="C11" s="455"/>
      <c r="D11" s="456"/>
      <c r="E11" s="30"/>
      <c r="F11" s="457" t="str">
        <f>VLOOKUP(H10,'Delivery Location'!A$4:N$416,2,0)</f>
        <v>R&amp;B Tea Singapore                                                         TAMPINES MRT,                                             20 TAMPINES CENTRAL #01-18. TAMPINES MRT SINGAPORE 528833</v>
      </c>
      <c r="G11" s="458"/>
      <c r="H11" s="459"/>
      <c r="J11" s="31" t="s">
        <v>11</v>
      </c>
      <c r="K11" s="466">
        <v>44837</v>
      </c>
      <c r="L11" s="467"/>
    </row>
    <row r="12" spans="2:12" ht="20.149999999999999" customHeight="1" x14ac:dyDescent="0.45">
      <c r="B12" s="468" t="s">
        <v>2303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533</v>
      </c>
      <c r="L12" s="472"/>
    </row>
    <row r="13" spans="2:12" ht="20.149999999999999" customHeight="1" x14ac:dyDescent="0.45">
      <c r="B13" s="468" t="s">
        <v>2024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14</v>
      </c>
      <c r="L13" s="472"/>
    </row>
    <row r="14" spans="2:12" ht="20.149999999999999" customHeight="1" x14ac:dyDescent="0.45">
      <c r="B14" s="468" t="s">
        <v>2025</v>
      </c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463" t="s">
        <v>2026</v>
      </c>
      <c r="C15" s="464"/>
      <c r="D15" s="465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16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16" ht="20.149999999999999" customHeight="1" x14ac:dyDescent="0.45">
      <c r="B18" s="34"/>
      <c r="C18" s="22" t="s">
        <v>2305</v>
      </c>
      <c r="D18" s="508" t="str">
        <f>VLOOKUP(C18,'Sales Master'!B$3:D$499,2,)</f>
        <v>Passion Fruit Puree 百香果浆</v>
      </c>
      <c r="E18" s="508"/>
      <c r="F18" s="508"/>
      <c r="G18" s="90">
        <v>5</v>
      </c>
      <c r="H18" s="389" t="str">
        <f>VLOOKUP(C18,'Sales Master'!$B$3:$F$3247,5,0)</f>
        <v>1 KG/BOX</v>
      </c>
      <c r="I18" s="482" t="str">
        <f>VLOOKUP(C18,'Sales Master'!$B$3:$E$3247,4,0)</f>
        <v>-</v>
      </c>
      <c r="J18" s="482"/>
      <c r="K18" s="35">
        <f>VLOOKUP(C18,'Sales Master'!B$3:AD$498,29,0)</f>
        <v>8.5</v>
      </c>
      <c r="L18" s="77">
        <f>K18*G18</f>
        <v>42.5</v>
      </c>
      <c r="M18" s="78"/>
      <c r="N18" s="225">
        <f>VLOOKUP(C18,'Sales Master'!$B$3:$DA$3038,104,0)</f>
        <v>4.4000000000000004</v>
      </c>
      <c r="O18" s="225">
        <f>K18-N18</f>
        <v>4.0999999999999996</v>
      </c>
      <c r="P18" s="225">
        <f>O18*G18</f>
        <v>20.5</v>
      </c>
    </row>
    <row r="19" spans="2:16" ht="20.149999999999999" customHeight="1" x14ac:dyDescent="0.45">
      <c r="B19" s="34"/>
      <c r="C19" s="22"/>
      <c r="D19" s="508"/>
      <c r="E19" s="508"/>
      <c r="F19" s="508"/>
      <c r="G19" s="90"/>
      <c r="H19" s="389"/>
      <c r="I19" s="482"/>
      <c r="J19" s="482"/>
      <c r="K19" s="35"/>
      <c r="L19" s="77"/>
      <c r="M19" s="78"/>
      <c r="N19" s="225"/>
      <c r="O19" s="225"/>
      <c r="P19" s="225"/>
    </row>
    <row r="20" spans="2:16" ht="20.149999999999999" customHeight="1" x14ac:dyDescent="0.45">
      <c r="B20" s="34"/>
      <c r="C20" s="22"/>
      <c r="D20" s="508"/>
      <c r="E20" s="508"/>
      <c r="F20" s="508"/>
      <c r="G20" s="90"/>
      <c r="H20" s="68"/>
      <c r="I20" s="481"/>
      <c r="J20" s="481"/>
      <c r="K20" s="35"/>
      <c r="L20" s="77"/>
      <c r="M20" s="78"/>
      <c r="N20" s="225"/>
      <c r="O20" s="225"/>
      <c r="P20" s="225"/>
    </row>
    <row r="21" spans="2:16" ht="20.149999999999999" customHeight="1" x14ac:dyDescent="0.45">
      <c r="B21" s="34"/>
      <c r="C21" s="22"/>
      <c r="D21" s="508"/>
      <c r="E21" s="508"/>
      <c r="F21" s="508"/>
      <c r="G21" s="90"/>
      <c r="H21" s="68"/>
      <c r="I21" s="481"/>
      <c r="J21" s="481"/>
      <c r="K21" s="35"/>
      <c r="L21" s="77"/>
      <c r="M21" s="78"/>
      <c r="N21" s="225"/>
      <c r="O21" s="225"/>
      <c r="P21" s="225"/>
    </row>
    <row r="22" spans="2:16" ht="20.149999999999999" customHeight="1" x14ac:dyDescent="0.45">
      <c r="B22" s="34"/>
      <c r="C22" s="22"/>
      <c r="D22" s="508"/>
      <c r="E22" s="508"/>
      <c r="F22" s="508"/>
      <c r="G22" s="90"/>
      <c r="H22" s="68"/>
      <c r="I22" s="481"/>
      <c r="J22" s="481"/>
      <c r="K22" s="35"/>
      <c r="L22" s="77"/>
      <c r="M22" s="78"/>
      <c r="N22" s="225"/>
      <c r="O22" s="225"/>
      <c r="P22" s="225"/>
    </row>
    <row r="23" spans="2:16" ht="20.149999999999999" customHeight="1" x14ac:dyDescent="0.45">
      <c r="B23" s="34"/>
      <c r="C23" s="22"/>
      <c r="D23" s="508"/>
      <c r="E23" s="508"/>
      <c r="F23" s="508"/>
      <c r="G23" s="90"/>
      <c r="H23" s="68"/>
      <c r="I23" s="481"/>
      <c r="J23" s="481"/>
      <c r="K23" s="35"/>
      <c r="L23" s="77"/>
      <c r="M23" s="78"/>
      <c r="N23" s="225"/>
      <c r="O23" s="225"/>
      <c r="P23" s="225"/>
    </row>
    <row r="24" spans="2:16" ht="20.149999999999999" customHeight="1" x14ac:dyDescent="0.45">
      <c r="B24" s="34"/>
      <c r="C24" s="22"/>
      <c r="D24" s="508"/>
      <c r="E24" s="508"/>
      <c r="F24" s="508"/>
      <c r="G24" s="90"/>
      <c r="H24" s="68"/>
      <c r="I24" s="481"/>
      <c r="J24" s="481"/>
      <c r="K24" s="35"/>
      <c r="L24" s="77"/>
      <c r="M24" s="78"/>
      <c r="N24" s="225"/>
      <c r="O24" s="225"/>
      <c r="P24" s="225"/>
    </row>
    <row r="25" spans="2:16" ht="20.149999999999999" customHeight="1" x14ac:dyDescent="0.45">
      <c r="B25" s="34"/>
      <c r="C25" s="22"/>
      <c r="D25" s="508"/>
      <c r="E25" s="508"/>
      <c r="F25" s="508"/>
      <c r="G25" s="90"/>
      <c r="H25" s="68"/>
      <c r="I25" s="481"/>
      <c r="J25" s="481"/>
      <c r="K25" s="35"/>
      <c r="L25" s="77"/>
      <c r="M25" s="78"/>
      <c r="N25" s="225"/>
      <c r="O25" s="225"/>
      <c r="P25" s="225"/>
    </row>
    <row r="26" spans="2:16" ht="20.149999999999999" customHeight="1" x14ac:dyDescent="0.45">
      <c r="B26" s="34"/>
      <c r="C26" s="22"/>
      <c r="D26" s="508"/>
      <c r="E26" s="508"/>
      <c r="F26" s="508"/>
      <c r="G26" s="90"/>
      <c r="H26" s="346"/>
      <c r="I26" s="481"/>
      <c r="J26" s="481"/>
      <c r="K26" s="35"/>
      <c r="L26" s="77"/>
      <c r="M26" s="78"/>
      <c r="N26" s="225"/>
      <c r="O26" s="225"/>
      <c r="P26" s="225"/>
    </row>
    <row r="27" spans="2:16" ht="20.149999999999999" customHeight="1" x14ac:dyDescent="0.45">
      <c r="B27" s="34"/>
      <c r="C27" s="22"/>
      <c r="G27" s="90"/>
      <c r="H27" s="346"/>
      <c r="I27" s="68"/>
      <c r="J27" s="68"/>
      <c r="K27" s="35"/>
      <c r="L27" s="77"/>
      <c r="M27" s="78"/>
      <c r="N27" s="225"/>
      <c r="O27" s="225"/>
      <c r="P27" s="225"/>
    </row>
    <row r="28" spans="2:16" ht="20.149999999999999" customHeight="1" thickBot="1" x14ac:dyDescent="0.5">
      <c r="B28" s="37"/>
      <c r="C28" s="38"/>
      <c r="D28" s="509"/>
      <c r="E28" s="509"/>
      <c r="F28" s="509"/>
      <c r="G28" s="38"/>
      <c r="H28" s="69"/>
      <c r="I28" s="451"/>
      <c r="J28" s="451"/>
      <c r="K28" s="39"/>
      <c r="L28" s="40"/>
    </row>
    <row r="29" spans="2:16" ht="20.149999999999999" customHeight="1" thickBot="1" x14ac:dyDescent="0.5">
      <c r="B29" s="41"/>
      <c r="L29" s="42"/>
    </row>
    <row r="30" spans="2:16" ht="20.149999999999999" customHeight="1" x14ac:dyDescent="0.45">
      <c r="B30" s="11" t="s">
        <v>18</v>
      </c>
      <c r="C30" s="7"/>
      <c r="D30" s="7"/>
      <c r="E30" s="7"/>
      <c r="F30" s="7"/>
      <c r="G30" s="7"/>
      <c r="H30" s="7"/>
      <c r="I30" s="7"/>
      <c r="J30" s="510" t="s">
        <v>15</v>
      </c>
      <c r="K30" s="511"/>
      <c r="L30" s="43">
        <f>SUM(L14:L26)</f>
        <v>42.5</v>
      </c>
      <c r="M30" s="76">
        <f>SUM(P18:P26)</f>
        <v>20.5</v>
      </c>
      <c r="N30" s="201">
        <f>M30/L30</f>
        <v>0.4823529411764706</v>
      </c>
    </row>
    <row r="31" spans="2:16" ht="20.149999999999999" customHeight="1" x14ac:dyDescent="0.45">
      <c r="B31" s="11" t="s">
        <v>19</v>
      </c>
      <c r="C31" s="7"/>
      <c r="D31" s="7"/>
      <c r="E31" s="7"/>
      <c r="F31" s="7"/>
      <c r="G31" s="7"/>
      <c r="H31" s="7"/>
      <c r="I31" s="7"/>
      <c r="J31" s="44" t="s">
        <v>22</v>
      </c>
      <c r="K31" s="45"/>
      <c r="L31" s="46">
        <f>L30*K31</f>
        <v>0</v>
      </c>
    </row>
    <row r="32" spans="2:16" ht="20.149999999999999" customHeight="1" x14ac:dyDescent="0.45">
      <c r="B32" s="11" t="s">
        <v>20</v>
      </c>
      <c r="C32" s="7"/>
      <c r="D32" s="7"/>
      <c r="E32" s="7"/>
      <c r="F32" s="7"/>
      <c r="G32" s="7"/>
      <c r="H32" s="7"/>
      <c r="I32" s="7"/>
      <c r="J32" s="486" t="s">
        <v>21</v>
      </c>
      <c r="K32" s="487"/>
      <c r="L32" s="46">
        <f>L30-L31</f>
        <v>42.5</v>
      </c>
    </row>
    <row r="33" spans="2:12" ht="20.149999999999999" customHeight="1" x14ac:dyDescent="0.45">
      <c r="B33" s="11" t="s">
        <v>24</v>
      </c>
      <c r="C33" s="7"/>
      <c r="D33" s="7"/>
      <c r="E33" s="7"/>
      <c r="F33" s="7"/>
      <c r="G33" s="7"/>
      <c r="H33" s="7"/>
      <c r="I33" s="7"/>
      <c r="J33" s="150" t="s">
        <v>17</v>
      </c>
      <c r="K33" s="151">
        <v>7.0000000000000007E-2</v>
      </c>
      <c r="L33" s="47">
        <f>L32*K33</f>
        <v>2.9750000000000001</v>
      </c>
    </row>
    <row r="34" spans="2:12" ht="20.149999999999999" customHeight="1" thickBot="1" x14ac:dyDescent="0.5">
      <c r="B34" s="11" t="s">
        <v>25</v>
      </c>
      <c r="C34" s="7"/>
      <c r="D34" s="7"/>
      <c r="E34" s="7"/>
      <c r="F34" s="7"/>
      <c r="G34" s="7"/>
      <c r="H34" s="7"/>
      <c r="I34" s="7"/>
      <c r="J34" s="488" t="s">
        <v>23</v>
      </c>
      <c r="K34" s="489"/>
      <c r="L34" s="48">
        <f>L32+L33</f>
        <v>45.475000000000001</v>
      </c>
    </row>
    <row r="35" spans="2:12" ht="20.149999999999999" customHeight="1" x14ac:dyDescent="0.45">
      <c r="B35" s="11" t="s">
        <v>26</v>
      </c>
      <c r="C35" s="7"/>
      <c r="D35" s="7"/>
      <c r="E35" s="7"/>
      <c r="F35" s="7"/>
      <c r="G35" s="7"/>
      <c r="H35" s="7"/>
      <c r="I35" s="7"/>
      <c r="L35" s="42"/>
    </row>
    <row r="36" spans="2:12" ht="20.149999999999999" customHeight="1" x14ac:dyDescent="0.45">
      <c r="B36" s="41"/>
      <c r="L36" s="42"/>
    </row>
    <row r="37" spans="2:12" x14ac:dyDescent="0.45">
      <c r="B37" s="41"/>
      <c r="L37" s="42"/>
    </row>
    <row r="38" spans="2:12" ht="20.149999999999999" customHeight="1" x14ac:dyDescent="0.45">
      <c r="B38" s="41"/>
      <c r="L38" s="42"/>
    </row>
    <row r="39" spans="2:12" ht="20.149999999999999" customHeight="1" x14ac:dyDescent="0.45">
      <c r="B39" s="41"/>
      <c r="L39" s="42"/>
    </row>
    <row r="40" spans="2:12" x14ac:dyDescent="0.45">
      <c r="B40" s="49"/>
      <c r="C40" s="50"/>
      <c r="D40" s="50"/>
      <c r="J40" s="50"/>
      <c r="K40" s="50"/>
      <c r="L40" s="51"/>
    </row>
    <row r="41" spans="2:12" ht="20.149999999999999" customHeight="1" x14ac:dyDescent="0.45">
      <c r="B41" s="41" t="s">
        <v>27</v>
      </c>
      <c r="J41" s="24" t="s">
        <v>28</v>
      </c>
      <c r="L41" s="42"/>
    </row>
    <row r="42" spans="2:12" ht="19" thickBot="1" x14ac:dyDescent="0.5">
      <c r="B42" s="52"/>
      <c r="C42" s="53"/>
      <c r="D42" s="53"/>
      <c r="E42" s="53"/>
      <c r="F42" s="53"/>
      <c r="G42" s="53"/>
      <c r="H42" s="53"/>
      <c r="I42" s="53"/>
      <c r="J42" s="53"/>
      <c r="K42" s="53"/>
      <c r="L42" s="54"/>
    </row>
  </sheetData>
  <mergeCells count="38">
    <mergeCell ref="D28:F28"/>
    <mergeCell ref="I28:J28"/>
    <mergeCell ref="J30:K30"/>
    <mergeCell ref="J32:K32"/>
    <mergeCell ref="J34:K34"/>
    <mergeCell ref="D21:F21"/>
    <mergeCell ref="I21:J21"/>
    <mergeCell ref="D26:F26"/>
    <mergeCell ref="I26:J26"/>
    <mergeCell ref="D25:F25"/>
    <mergeCell ref="I25:J25"/>
    <mergeCell ref="D22:F22"/>
    <mergeCell ref="I22:J22"/>
    <mergeCell ref="D23:F23"/>
    <mergeCell ref="I23:J23"/>
    <mergeCell ref="D24:F24"/>
    <mergeCell ref="I24:J24"/>
    <mergeCell ref="I17:J17"/>
    <mergeCell ref="D19:F19"/>
    <mergeCell ref="I19:J19"/>
    <mergeCell ref="D20:F20"/>
    <mergeCell ref="I20:J20"/>
    <mergeCell ref="D18:F18"/>
    <mergeCell ref="I18:J18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</mergeCells>
  <pageMargins left="0.70866141732283472" right="0.31496062992125984" top="0.59055118110236227" bottom="0" header="0.31496062992125984" footer="0.31496062992125984"/>
  <pageSetup paperSize="9" scale="74" orientation="portrait" horizontalDpi="300" verticalDpi="300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B03907-CF5B-4D2C-828C-E948AE342BBF}">
  <sheetPr codeName="Sheet175">
    <tabColor rgb="FF92D050"/>
    <pageSetUpPr fitToPage="1"/>
  </sheetPr>
  <dimension ref="B1:P41"/>
  <sheetViews>
    <sheetView topLeftCell="A24" workbookViewId="0">
      <selection activeCell="K35" sqref="K35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4.54296875" style="24" customWidth="1"/>
    <col min="7" max="7" width="8.54296875" style="24" customWidth="1"/>
    <col min="8" max="8" width="15.54296875" style="24" customWidth="1"/>
    <col min="9" max="9" width="2.54296875" style="24" customWidth="1"/>
    <col min="10" max="10" width="15.54296875" style="24" customWidth="1"/>
    <col min="11" max="11" width="10.54296875" style="24" customWidth="1"/>
    <col min="12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8.5" customHeight="1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251</v>
      </c>
      <c r="J10" s="29" t="s">
        <v>29</v>
      </c>
      <c r="K10" s="452">
        <v>202210009</v>
      </c>
      <c r="L10" s="453"/>
    </row>
    <row r="11" spans="2:12" ht="20.149999999999999" customHeight="1" x14ac:dyDescent="0.45">
      <c r="B11" s="454" t="s">
        <v>132</v>
      </c>
      <c r="C11" s="455"/>
      <c r="D11" s="456"/>
      <c r="E11" s="30"/>
      <c r="F11" s="457" t="str">
        <f>VLOOKUP(H10,'Delivery Location'!A$4:N$416,2,0)</f>
        <v>Juice Stall                                                    Jewel Changi Airport. Five Spice, Stall #01. 78, Airport Boulevard. #B2-238/239/240. (819666)</v>
      </c>
      <c r="G11" s="458"/>
      <c r="H11" s="459"/>
      <c r="J11" s="31" t="s">
        <v>11</v>
      </c>
      <c r="K11" s="466">
        <v>44835</v>
      </c>
      <c r="L11" s="467"/>
    </row>
    <row r="12" spans="2:12" ht="20.149999999999999" customHeight="1" x14ac:dyDescent="0.45">
      <c r="B12" s="468" t="s">
        <v>869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2372</v>
      </c>
      <c r="L12" s="472"/>
    </row>
    <row r="13" spans="2:12" ht="20.149999999999999" customHeight="1" x14ac:dyDescent="0.45">
      <c r="B13" s="468" t="s">
        <v>870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14</v>
      </c>
      <c r="L13" s="472"/>
    </row>
    <row r="14" spans="2:12" ht="20.149999999999999" customHeight="1" x14ac:dyDescent="0.45">
      <c r="B14" s="468" t="s">
        <v>871</v>
      </c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473" t="s">
        <v>872</v>
      </c>
      <c r="C15" s="474"/>
      <c r="D15" s="475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16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16" ht="20.149999999999999" customHeight="1" x14ac:dyDescent="0.45">
      <c r="B18" s="70" t="s">
        <v>70</v>
      </c>
      <c r="C18" s="22" t="str">
        <f>VLOOKUP(B18,'Sales Master'!$A$3:$B$647,2,0)</f>
        <v>M1014</v>
      </c>
      <c r="D18" s="573" t="str">
        <f>VLOOKUP(C18,'Sales Master'!B$3:D$499,2,)</f>
        <v>Chendol浆咯</v>
      </c>
      <c r="E18" s="573"/>
      <c r="F18" s="573"/>
      <c r="G18" s="90">
        <v>1</v>
      </c>
      <c r="H18" s="438" t="str">
        <f>VLOOKUP(C18,'Sales Master'!$B$3:$E$590,4,0)</f>
        <v>DO!</v>
      </c>
      <c r="I18" s="576" t="str">
        <f>VLOOKUP(C18,'Sales Master'!$B$3:F$590,5,0)</f>
        <v>NW(2.2:0.8) 3 KG/BAG</v>
      </c>
      <c r="J18" s="576"/>
      <c r="K18" s="139">
        <f>VLOOKUP(C18,'Sales Master'!B$3:I$581,8,0)</f>
        <v>6.5</v>
      </c>
      <c r="L18" s="99">
        <f>K18*G18</f>
        <v>6.5</v>
      </c>
      <c r="N18" s="225">
        <f>VLOOKUP(C18,'Sales Master'!$B$3:$DA$3038,104,0)</f>
        <v>1.85</v>
      </c>
      <c r="O18" s="225">
        <f>K18-N18</f>
        <v>4.6500000000000004</v>
      </c>
      <c r="P18" s="225">
        <f>O18*G18</f>
        <v>4.6500000000000004</v>
      </c>
    </row>
    <row r="19" spans="2:16" ht="20.149999999999999" customHeight="1" x14ac:dyDescent="0.45">
      <c r="B19" s="70" t="s">
        <v>63</v>
      </c>
      <c r="C19" s="22" t="str">
        <f>VLOOKUP(B19,'Sales Master'!$A$3:$B$647,2,0)</f>
        <v>P3016A</v>
      </c>
      <c r="D19" s="480" t="str">
        <f>VLOOKUP(C19,'Sales Master'!B$3:D$499,2,)</f>
        <v>Pearl Barley 薏米</v>
      </c>
      <c r="E19" s="480"/>
      <c r="F19" s="480"/>
      <c r="G19" s="22">
        <v>2</v>
      </c>
      <c r="H19" s="438" t="str">
        <f>VLOOKUP(C19,'Sales Master'!$B$3:$E$590,4,0)</f>
        <v>-</v>
      </c>
      <c r="I19" s="512" t="str">
        <f>VLOOKUP(C19,'Sales Master'!$B$3:F$590,5,0)</f>
        <v>5 kgs</v>
      </c>
      <c r="J19" s="512"/>
      <c r="K19" s="139">
        <f>VLOOKUP(C19,'Sales Master'!B$3:I$581,8,0)</f>
        <v>8.5</v>
      </c>
      <c r="L19" s="99">
        <f t="shared" ref="L19:L20" si="0">K19*G19</f>
        <v>17</v>
      </c>
      <c r="N19" s="225">
        <f>VLOOKUP(C19,'Sales Master'!$B$3:$DA$3038,104,0)</f>
        <v>6.8000000000000007</v>
      </c>
      <c r="O19" s="225">
        <f t="shared" ref="O19:O20" si="1">K19-N19</f>
        <v>1.6999999999999993</v>
      </c>
      <c r="P19" s="225">
        <f t="shared" ref="P19:P20" si="2">O19*G19</f>
        <v>3.3999999999999986</v>
      </c>
    </row>
    <row r="20" spans="2:16" ht="20.149999999999999" customHeight="1" x14ac:dyDescent="0.45">
      <c r="B20" s="70" t="s">
        <v>82</v>
      </c>
      <c r="C20" s="22" t="str">
        <f>VLOOKUP(B20,'Sales Master'!$A$3:$B$647,2,0)</f>
        <v>P3019A</v>
      </c>
      <c r="D20" s="480" t="str">
        <f>VLOOKUP(C20,'Sales Master'!B$3:D$499,2,)</f>
        <v>Dried Longan 龙眼干</v>
      </c>
      <c r="E20" s="480"/>
      <c r="F20" s="480"/>
      <c r="G20" s="22">
        <v>2</v>
      </c>
      <c r="H20" s="438" t="str">
        <f>VLOOKUP(C20,'Sales Master'!$B$3:$E$590,4,0)</f>
        <v>TL</v>
      </c>
      <c r="I20" s="512" t="str">
        <f>VLOOKUP(C20,'Sales Master'!$B$3:F$590,5,0)</f>
        <v>1 kg</v>
      </c>
      <c r="J20" s="512"/>
      <c r="K20" s="139">
        <f>VLOOKUP(C20,'Sales Master'!B$3:I$581,8,0)</f>
        <v>12</v>
      </c>
      <c r="L20" s="99">
        <f t="shared" si="0"/>
        <v>24</v>
      </c>
      <c r="N20" s="225">
        <f>VLOOKUP(C20,'Sales Master'!$B$3:$DA$3038,104,0)</f>
        <v>8.5</v>
      </c>
      <c r="O20" s="225">
        <f t="shared" si="1"/>
        <v>3.5</v>
      </c>
      <c r="P20" s="225">
        <f t="shared" si="2"/>
        <v>7</v>
      </c>
    </row>
    <row r="21" spans="2:16" ht="20.149999999999999" customHeight="1" x14ac:dyDescent="0.45">
      <c r="B21" s="70" t="s">
        <v>95</v>
      </c>
      <c r="C21" s="22" t="str">
        <f>VLOOKUP(B21,'Sales Master'!$A$3:$B$647,2,0)</f>
        <v>P4009A</v>
      </c>
      <c r="D21" s="480" t="str">
        <f>VLOOKUP(C21,'Sales Master'!B$3:D$499,2,)</f>
        <v>Lychee in Syrup荔枝</v>
      </c>
      <c r="E21" s="480"/>
      <c r="F21" s="480"/>
      <c r="G21" s="22">
        <v>2</v>
      </c>
      <c r="H21" s="438" t="str">
        <f>VLOOKUP(C21,'Sales Master'!$B$3:$E$590,4,0)</f>
        <v>Golden Champ</v>
      </c>
      <c r="I21" s="512" t="str">
        <f>VLOOKUP(C21,'Sales Master'!$B$3:F$590,5,0)</f>
        <v>(567gm x 12)/箱</v>
      </c>
      <c r="J21" s="512"/>
      <c r="K21" s="139">
        <f>VLOOKUP(C21,'Sales Master'!B$3:I$581,8,0)</f>
        <v>21</v>
      </c>
      <c r="L21" s="99">
        <f t="shared" ref="L21" si="3">K21*G21</f>
        <v>42</v>
      </c>
      <c r="N21" s="225">
        <f>VLOOKUP(C21,'Sales Master'!$B$3:$DA$3038,104,0)</f>
        <v>17.25</v>
      </c>
      <c r="O21" s="225">
        <f t="shared" ref="O21" si="4">K21-N21</f>
        <v>3.75</v>
      </c>
      <c r="P21" s="225">
        <f t="shared" ref="P21" si="5">O21*G21</f>
        <v>7.5</v>
      </c>
    </row>
    <row r="22" spans="2:16" ht="20.149999999999999" customHeight="1" x14ac:dyDescent="0.45">
      <c r="B22" s="70" t="s">
        <v>74</v>
      </c>
      <c r="C22" s="22" t="str">
        <f>VLOOKUP(B22,'Sales Master'!$A$3:$B$647,2,0)</f>
        <v>P6007</v>
      </c>
      <c r="D22" s="480" t="str">
        <f>VLOOKUP(C22,'Sales Master'!B$3:D$499,2,)</f>
        <v>Pandan Leaf 班兰叶</v>
      </c>
      <c r="E22" s="480"/>
      <c r="F22" s="480"/>
      <c r="G22" s="22">
        <v>1</v>
      </c>
      <c r="H22" s="438" t="str">
        <f>VLOOKUP(C22,'Sales Master'!$B$3:$E$590,4,0)</f>
        <v>-</v>
      </c>
      <c r="I22" s="512" t="str">
        <f>VLOOKUP(C22,'Sales Master'!$B$3:F$590,5,0)</f>
        <v>1 kg</v>
      </c>
      <c r="J22" s="512"/>
      <c r="K22" s="139">
        <f>VLOOKUP(C22,'Sales Master'!B$3:I$581,8,0)</f>
        <v>1.8</v>
      </c>
      <c r="L22" s="99">
        <f t="shared" ref="L22" si="6">K22*G22</f>
        <v>1.8</v>
      </c>
      <c r="N22" s="225">
        <f>VLOOKUP(C22,'Sales Master'!$B$3:$DA$3038,104,0)</f>
        <v>1</v>
      </c>
      <c r="O22" s="225">
        <f t="shared" ref="O22" si="7">K22-N22</f>
        <v>0.8</v>
      </c>
      <c r="P22" s="225">
        <f t="shared" ref="P22" si="8">O22*G22</f>
        <v>0.8</v>
      </c>
    </row>
    <row r="23" spans="2:16" ht="20.149999999999999" customHeight="1" x14ac:dyDescent="0.45">
      <c r="B23" s="70"/>
      <c r="C23" s="22"/>
      <c r="D23" s="480"/>
      <c r="E23" s="480"/>
      <c r="F23" s="480"/>
      <c r="G23" s="22"/>
      <c r="H23" s="438"/>
      <c r="I23" s="512"/>
      <c r="J23" s="512"/>
      <c r="K23" s="139"/>
      <c r="L23" s="99"/>
      <c r="N23" s="225"/>
      <c r="O23" s="225"/>
      <c r="P23" s="225"/>
    </row>
    <row r="24" spans="2:16" ht="20.149999999999999" customHeight="1" x14ac:dyDescent="0.45">
      <c r="B24" s="70"/>
      <c r="C24" s="22"/>
      <c r="D24" s="230"/>
      <c r="E24" s="230"/>
      <c r="F24" s="230"/>
      <c r="G24" s="22"/>
      <c r="H24" s="68"/>
      <c r="I24" s="481"/>
      <c r="J24" s="481"/>
      <c r="K24" s="139"/>
      <c r="L24" s="99"/>
      <c r="N24" s="225"/>
      <c r="O24" s="225"/>
      <c r="P24" s="225"/>
    </row>
    <row r="25" spans="2:16" ht="20.149999999999999" customHeight="1" x14ac:dyDescent="0.45">
      <c r="B25" s="70"/>
      <c r="C25" s="22"/>
      <c r="D25" s="230"/>
      <c r="E25" s="230"/>
      <c r="F25" s="230"/>
      <c r="G25" s="22"/>
      <c r="H25" s="68"/>
      <c r="I25" s="481"/>
      <c r="J25" s="481"/>
      <c r="K25" s="139"/>
      <c r="L25" s="99"/>
      <c r="N25" s="225"/>
      <c r="O25" s="225"/>
      <c r="P25" s="225"/>
    </row>
    <row r="26" spans="2:16" ht="20.149999999999999" customHeight="1" x14ac:dyDescent="0.45">
      <c r="B26" s="70"/>
      <c r="C26" s="22"/>
      <c r="D26" s="480"/>
      <c r="E26" s="480"/>
      <c r="F26" s="480"/>
      <c r="G26" s="22"/>
      <c r="H26" s="68"/>
      <c r="I26" s="481"/>
      <c r="J26" s="481"/>
      <c r="K26" s="35"/>
      <c r="L26" s="36"/>
    </row>
    <row r="27" spans="2:16" ht="20.149999999999999" customHeight="1" thickBot="1" x14ac:dyDescent="0.5">
      <c r="B27" s="37"/>
      <c r="C27" s="38"/>
      <c r="D27" s="577"/>
      <c r="E27" s="577"/>
      <c r="F27" s="577"/>
      <c r="G27" s="38"/>
      <c r="H27" s="38"/>
      <c r="I27" s="38"/>
      <c r="J27" s="38"/>
      <c r="K27" s="39"/>
      <c r="L27" s="40"/>
    </row>
    <row r="28" spans="2:16" ht="20.149999999999999" customHeight="1" thickBot="1" x14ac:dyDescent="0.5">
      <c r="B28" s="41"/>
      <c r="D28" s="230"/>
      <c r="E28" s="230"/>
      <c r="F28" s="230"/>
      <c r="L28" s="42"/>
    </row>
    <row r="29" spans="2:16" ht="20.149999999999999" customHeight="1" x14ac:dyDescent="0.45">
      <c r="B29" s="11" t="s">
        <v>18</v>
      </c>
      <c r="C29" s="7"/>
      <c r="D29" s="7"/>
      <c r="E29" s="7"/>
      <c r="F29" s="7"/>
      <c r="G29" s="7"/>
      <c r="H29" s="7"/>
      <c r="I29" s="7"/>
      <c r="J29" s="510" t="s">
        <v>15</v>
      </c>
      <c r="K29" s="511"/>
      <c r="L29" s="43">
        <f>SUM(L16:L26)</f>
        <v>91.3</v>
      </c>
      <c r="M29" s="76">
        <f>SUM(P18:P27)</f>
        <v>23.349999999999998</v>
      </c>
    </row>
    <row r="30" spans="2:16" ht="20.149999999999999" customHeight="1" x14ac:dyDescent="0.45">
      <c r="B30" s="11" t="s">
        <v>19</v>
      </c>
      <c r="C30" s="7"/>
      <c r="D30" s="7"/>
      <c r="E30" s="7"/>
      <c r="F30" s="7"/>
      <c r="G30" s="7"/>
      <c r="H30" s="7"/>
      <c r="I30" s="7"/>
      <c r="J30" s="44" t="s">
        <v>22</v>
      </c>
      <c r="K30" s="45"/>
      <c r="L30" s="46">
        <f>L29*K30</f>
        <v>0</v>
      </c>
    </row>
    <row r="31" spans="2:16" ht="20.149999999999999" customHeight="1" x14ac:dyDescent="0.45">
      <c r="B31" s="11" t="s">
        <v>20</v>
      </c>
      <c r="C31" s="7"/>
      <c r="D31" s="7"/>
      <c r="E31" s="7"/>
      <c r="F31" s="7"/>
      <c r="G31" s="7"/>
      <c r="H31" s="7"/>
      <c r="I31" s="7"/>
      <c r="J31" s="486" t="s">
        <v>21</v>
      </c>
      <c r="K31" s="487"/>
      <c r="L31" s="46">
        <f>L29-L30</f>
        <v>91.3</v>
      </c>
    </row>
    <row r="32" spans="2:16" ht="20.149999999999999" customHeight="1" x14ac:dyDescent="0.45">
      <c r="B32" s="11" t="s">
        <v>24</v>
      </c>
      <c r="C32" s="7"/>
      <c r="D32" s="7"/>
      <c r="E32" s="7"/>
      <c r="F32" s="7"/>
      <c r="G32" s="7"/>
      <c r="H32" s="7"/>
      <c r="I32" s="7"/>
      <c r="J32" s="150" t="s">
        <v>17</v>
      </c>
      <c r="K32" s="151">
        <v>7.0000000000000007E-2</v>
      </c>
      <c r="L32" s="47">
        <f>L31*K32</f>
        <v>6.391</v>
      </c>
    </row>
    <row r="33" spans="2:12" ht="20.149999999999999" customHeight="1" thickBot="1" x14ac:dyDescent="0.5">
      <c r="B33" s="11" t="s">
        <v>25</v>
      </c>
      <c r="C33" s="7"/>
      <c r="D33" s="7"/>
      <c r="E33" s="7"/>
      <c r="F33" s="7"/>
      <c r="G33" s="7"/>
      <c r="H33" s="7"/>
      <c r="I33" s="7"/>
      <c r="J33" s="488" t="s">
        <v>23</v>
      </c>
      <c r="K33" s="489"/>
      <c r="L33" s="48">
        <f>L31+L32</f>
        <v>97.691000000000003</v>
      </c>
    </row>
    <row r="34" spans="2:12" ht="20.149999999999999" customHeight="1" x14ac:dyDescent="0.45">
      <c r="B34" s="11" t="s">
        <v>26</v>
      </c>
      <c r="C34" s="7"/>
      <c r="D34" s="7"/>
      <c r="E34" s="7"/>
      <c r="F34" s="7"/>
      <c r="G34" s="7"/>
      <c r="H34" s="7"/>
      <c r="I34" s="7"/>
      <c r="L34" s="42"/>
    </row>
    <row r="35" spans="2:12" ht="20.149999999999999" customHeight="1" x14ac:dyDescent="0.45">
      <c r="B35" s="41"/>
      <c r="L35" s="42"/>
    </row>
    <row r="36" spans="2:12" ht="20.149999999999999" customHeight="1" x14ac:dyDescent="0.45">
      <c r="B36" s="41"/>
      <c r="L36" s="42"/>
    </row>
    <row r="37" spans="2:12" ht="20.149999999999999" customHeight="1" x14ac:dyDescent="0.45">
      <c r="B37" s="41"/>
      <c r="L37" s="42"/>
    </row>
    <row r="38" spans="2:12" ht="20.149999999999999" customHeight="1" x14ac:dyDescent="0.45">
      <c r="B38" s="41"/>
      <c r="L38" s="42"/>
    </row>
    <row r="39" spans="2:12" ht="20.149999999999999" customHeight="1" x14ac:dyDescent="0.45">
      <c r="B39" s="49"/>
      <c r="C39" s="50"/>
      <c r="D39" s="50"/>
      <c r="J39" s="50"/>
      <c r="K39" s="50"/>
      <c r="L39" s="51"/>
    </row>
    <row r="40" spans="2:12" ht="20.149999999999999" customHeight="1" x14ac:dyDescent="0.45">
      <c r="B40" s="41" t="s">
        <v>27</v>
      </c>
      <c r="J40" s="24" t="s">
        <v>28</v>
      </c>
      <c r="L40" s="42"/>
    </row>
    <row r="41" spans="2:12" ht="19" thickBot="1" x14ac:dyDescent="0.5">
      <c r="B41" s="52"/>
      <c r="C41" s="53"/>
      <c r="D41" s="53"/>
      <c r="E41" s="53"/>
      <c r="F41" s="53"/>
      <c r="G41" s="53"/>
      <c r="H41" s="53"/>
      <c r="I41" s="53"/>
      <c r="J41" s="53"/>
      <c r="K41" s="53"/>
      <c r="L41" s="54"/>
    </row>
  </sheetData>
  <mergeCells count="35">
    <mergeCell ref="I26:J26"/>
    <mergeCell ref="I23:J23"/>
    <mergeCell ref="D19:F19"/>
    <mergeCell ref="D20:F20"/>
    <mergeCell ref="I24:J24"/>
    <mergeCell ref="D22:F22"/>
    <mergeCell ref="J33:K33"/>
    <mergeCell ref="B15:D15"/>
    <mergeCell ref="I18:J18"/>
    <mergeCell ref="I20:J20"/>
    <mergeCell ref="I22:J22"/>
    <mergeCell ref="D27:F27"/>
    <mergeCell ref="J29:K29"/>
    <mergeCell ref="J31:K31"/>
    <mergeCell ref="D17:F17"/>
    <mergeCell ref="I17:J17"/>
    <mergeCell ref="I21:J21"/>
    <mergeCell ref="F11:H15"/>
    <mergeCell ref="K11:L11"/>
    <mergeCell ref="D26:F26"/>
    <mergeCell ref="D23:F23"/>
    <mergeCell ref="D21:F21"/>
    <mergeCell ref="B1:L8"/>
    <mergeCell ref="I19:J19"/>
    <mergeCell ref="I25:J25"/>
    <mergeCell ref="K10:L10"/>
    <mergeCell ref="B11:D11"/>
    <mergeCell ref="K12:L12"/>
    <mergeCell ref="B13:D13"/>
    <mergeCell ref="K13:L13"/>
    <mergeCell ref="B14:D14"/>
    <mergeCell ref="K14:L14"/>
    <mergeCell ref="K15:L15"/>
    <mergeCell ref="D18:F18"/>
    <mergeCell ref="B12:D12"/>
  </mergeCells>
  <hyperlinks>
    <hyperlink ref="B15" r:id="rId1" xr:uid="{D4E3D35B-CFE5-45DF-BF6E-785A83946093}"/>
  </hyperlinks>
  <pageMargins left="0.70866141732283472" right="0.31496062992125984" top="0.6692913385826772" bottom="0" header="0.31496062992125984" footer="0.31496062992125984"/>
  <pageSetup paperSize="9" scale="79" orientation="portrait" horizontalDpi="300" verticalDpi="300" r:id="rId2"/>
  <drawing r:id="rId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5FF6A8-C7DF-4F1B-A5FA-AA80DC0CD74F}">
  <sheetPr codeName="Sheet54">
    <tabColor rgb="FF92D050"/>
    <pageSetUpPr fitToPage="1"/>
  </sheetPr>
  <dimension ref="B1:V46"/>
  <sheetViews>
    <sheetView topLeftCell="B1" workbookViewId="0">
      <selection activeCell="C25" sqref="C25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7.453125" style="24" customWidth="1"/>
    <col min="7" max="7" width="8.54296875" style="24" customWidth="1"/>
    <col min="8" max="8" width="15.54296875" style="24" customWidth="1"/>
    <col min="9" max="9" width="2.54296875" style="24" customWidth="1"/>
    <col min="10" max="10" width="15.54296875" style="24" customWidth="1"/>
    <col min="11" max="11" width="10.54296875" style="24" customWidth="1"/>
    <col min="12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1394</v>
      </c>
      <c r="J10" s="29" t="s">
        <v>29</v>
      </c>
      <c r="K10" s="452">
        <v>202106452</v>
      </c>
      <c r="L10" s="453"/>
    </row>
    <row r="11" spans="2:12" ht="20.149999999999999" customHeight="1" x14ac:dyDescent="0.45">
      <c r="B11" s="454"/>
      <c r="C11" s="455"/>
      <c r="D11" s="456"/>
      <c r="E11" s="30"/>
      <c r="F11" s="457" t="str">
        <f>VLOOKUP(H10,'Delivery Location'!A$4:N$416,2,0)</f>
        <v>Soon Soon Soon Food Holding                 119 Lavender Street, Singapore 338731</v>
      </c>
      <c r="G11" s="458"/>
      <c r="H11" s="459"/>
      <c r="J11" s="31" t="s">
        <v>11</v>
      </c>
      <c r="K11" s="551">
        <v>44377</v>
      </c>
      <c r="L11" s="472"/>
    </row>
    <row r="12" spans="2:12" ht="20.149999999999999" customHeight="1" x14ac:dyDescent="0.45">
      <c r="B12" s="468"/>
      <c r="C12" s="469"/>
      <c r="D12" s="470"/>
      <c r="E12" s="30"/>
      <c r="F12" s="460"/>
      <c r="G12" s="461"/>
      <c r="H12" s="462"/>
      <c r="J12" s="31" t="s">
        <v>171</v>
      </c>
      <c r="K12" s="471" t="s">
        <v>533</v>
      </c>
      <c r="L12" s="472"/>
    </row>
    <row r="13" spans="2:12" ht="20.149999999999999" customHeight="1" x14ac:dyDescent="0.45">
      <c r="B13" s="468"/>
      <c r="C13" s="469"/>
      <c r="D13" s="470"/>
      <c r="E13" s="30"/>
      <c r="F13" s="460"/>
      <c r="G13" s="461"/>
      <c r="H13" s="462"/>
      <c r="J13" s="31" t="s">
        <v>12</v>
      </c>
      <c r="K13" s="471" t="s">
        <v>692</v>
      </c>
      <c r="L13" s="472"/>
    </row>
    <row r="14" spans="2:12" ht="20.149999999999999" customHeight="1" x14ac:dyDescent="0.45">
      <c r="B14" s="468"/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552"/>
      <c r="C15" s="474"/>
      <c r="D15" s="475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22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22" ht="20.149999999999999" customHeight="1" x14ac:dyDescent="0.45">
      <c r="B18" s="70"/>
      <c r="C18" s="22" t="s">
        <v>1736</v>
      </c>
      <c r="D18" s="508" t="str">
        <f>VLOOKUP(C18,'Sales Master'!B$3:D$499,2,)</f>
        <v>Coconut Milk 椰浆</v>
      </c>
      <c r="E18" s="508"/>
      <c r="F18" s="508"/>
      <c r="G18" s="90">
        <v>6</v>
      </c>
      <c r="H18" s="68" t="str">
        <f>VLOOKUP(C18,'Sales Master'!$B$3:$F$3247,5,0)</f>
        <v>(1L x 12bag)/箱</v>
      </c>
      <c r="I18" s="481" t="str">
        <f>VLOOKUP(C18,'Sales Master'!$B$3:$E$3247,4,0)</f>
        <v>Kara UHT</v>
      </c>
      <c r="J18" s="481"/>
      <c r="K18" s="98">
        <f>VLOOKUP(C18,'Sales Master'!B$3:V$581,21,0)</f>
        <v>42</v>
      </c>
      <c r="L18" s="99">
        <f>K18*G18</f>
        <v>252</v>
      </c>
      <c r="M18" s="78"/>
      <c r="N18" s="225">
        <f>VLOOKUP(C18,'Sales Master'!$B$3:$DA$3038,104,0)</f>
        <v>35.5</v>
      </c>
      <c r="O18" s="225">
        <f>K18-N18</f>
        <v>6.5</v>
      </c>
      <c r="P18" s="225">
        <f>O18*G18</f>
        <v>39</v>
      </c>
      <c r="R18" s="24">
        <v>2</v>
      </c>
      <c r="S18" s="24" t="s">
        <v>36</v>
      </c>
      <c r="T18" s="24" t="s">
        <v>34</v>
      </c>
      <c r="V18" s="24">
        <v>6</v>
      </c>
    </row>
    <row r="19" spans="2:22" ht="20.149999999999999" customHeight="1" x14ac:dyDescent="0.45">
      <c r="B19" s="70"/>
      <c r="C19" s="22"/>
      <c r="D19" s="508"/>
      <c r="E19" s="508"/>
      <c r="F19" s="508"/>
      <c r="G19" s="90"/>
      <c r="H19" s="68"/>
      <c r="I19" s="481"/>
      <c r="J19" s="481"/>
      <c r="K19" s="98"/>
      <c r="L19" s="99"/>
      <c r="M19" s="78"/>
      <c r="N19" s="225"/>
      <c r="O19" s="225"/>
      <c r="P19" s="225"/>
      <c r="R19" s="24">
        <v>1</v>
      </c>
      <c r="S19" s="24" t="s">
        <v>64</v>
      </c>
      <c r="T19" s="24" t="s">
        <v>494</v>
      </c>
    </row>
    <row r="20" spans="2:22" ht="20.149999999999999" customHeight="1" x14ac:dyDescent="0.45">
      <c r="B20" s="70"/>
      <c r="C20" s="22"/>
      <c r="D20" s="508"/>
      <c r="E20" s="508"/>
      <c r="F20" s="508"/>
      <c r="G20" s="90"/>
      <c r="H20" s="68"/>
      <c r="I20" s="481"/>
      <c r="J20" s="481"/>
      <c r="K20" s="98"/>
      <c r="L20" s="99"/>
      <c r="M20" s="78"/>
    </row>
    <row r="21" spans="2:22" ht="20.149999999999999" customHeight="1" x14ac:dyDescent="0.45">
      <c r="B21" s="70"/>
      <c r="C21" s="22"/>
      <c r="D21" s="508"/>
      <c r="E21" s="508"/>
      <c r="F21" s="508"/>
      <c r="G21" s="90"/>
      <c r="H21" s="68"/>
      <c r="I21" s="481"/>
      <c r="J21" s="481"/>
      <c r="K21" s="98"/>
      <c r="L21" s="99"/>
      <c r="M21" s="78"/>
    </row>
    <row r="22" spans="2:22" ht="20.149999999999999" customHeight="1" x14ac:dyDescent="0.45">
      <c r="B22" s="70"/>
      <c r="C22" s="22"/>
      <c r="D22" s="508"/>
      <c r="E22" s="508"/>
      <c r="F22" s="508"/>
      <c r="G22" s="90"/>
      <c r="H22" s="68"/>
      <c r="I22" s="481"/>
      <c r="J22" s="481"/>
      <c r="K22" s="98"/>
      <c r="L22" s="99"/>
      <c r="M22" s="78"/>
    </row>
    <row r="23" spans="2:22" ht="20.149999999999999" customHeight="1" x14ac:dyDescent="0.45">
      <c r="B23" s="70"/>
      <c r="C23" s="22"/>
      <c r="D23" s="508"/>
      <c r="E23" s="508"/>
      <c r="F23" s="508"/>
      <c r="G23" s="90"/>
      <c r="H23" s="68"/>
      <c r="I23" s="481"/>
      <c r="J23" s="481"/>
      <c r="K23" s="98"/>
      <c r="L23" s="99"/>
      <c r="M23" s="78"/>
    </row>
    <row r="24" spans="2:22" ht="20.149999999999999" customHeight="1" x14ac:dyDescent="0.45">
      <c r="B24" s="70"/>
      <c r="C24" s="22"/>
      <c r="D24" s="508"/>
      <c r="E24" s="508"/>
      <c r="F24" s="508"/>
      <c r="G24" s="90"/>
      <c r="H24" s="68"/>
      <c r="I24" s="481"/>
      <c r="J24" s="481"/>
      <c r="K24" s="98"/>
      <c r="L24" s="99"/>
      <c r="M24" s="78"/>
    </row>
    <row r="25" spans="2:22" ht="20.149999999999999" customHeight="1" x14ac:dyDescent="0.45">
      <c r="B25" s="70"/>
      <c r="C25" s="285" t="s">
        <v>1852</v>
      </c>
      <c r="G25" s="90"/>
      <c r="H25" s="68"/>
      <c r="I25" s="481"/>
      <c r="J25" s="481"/>
      <c r="K25" s="286"/>
      <c r="L25" s="99"/>
    </row>
    <row r="26" spans="2:22" ht="20.149999999999999" customHeight="1" x14ac:dyDescent="0.45">
      <c r="B26" s="70"/>
      <c r="C26" s="22" t="s">
        <v>1572</v>
      </c>
      <c r="D26" s="480" t="str">
        <f>VLOOKUP(C26,'[1]Sales Master'!B$3:D$573,2,0)</f>
        <v>Red Bean红豆</v>
      </c>
      <c r="E26" s="480"/>
      <c r="F26" s="480"/>
      <c r="G26" s="90">
        <v>1</v>
      </c>
      <c r="H26" s="68" t="str">
        <f>VLOOKUP(C26,'[1]Sales Master'!B$3:F$865,5,0)</f>
        <v>5 kgs</v>
      </c>
      <c r="I26" s="481" t="str">
        <f>VLOOKUP(C26,'[1]Sales Master'!B$3:E$865,4,0)</f>
        <v>-</v>
      </c>
      <c r="J26" s="481"/>
      <c r="K26" s="286">
        <v>19</v>
      </c>
      <c r="L26" s="99"/>
      <c r="M26" s="78"/>
    </row>
    <row r="27" spans="2:22" ht="20.149999999999999" customHeight="1" x14ac:dyDescent="0.45">
      <c r="B27" s="70"/>
      <c r="C27" s="22" t="s">
        <v>1585</v>
      </c>
      <c r="D27" s="480" t="str">
        <f>VLOOKUP(C27,'[1]Sales Master'!B$3:D$573,2,0)</f>
        <v>Green Bean 绿豆</v>
      </c>
      <c r="E27" s="480"/>
      <c r="F27" s="480"/>
      <c r="G27" s="90">
        <v>1</v>
      </c>
      <c r="H27" s="68" t="str">
        <f>VLOOKUP(C27,'[1]Sales Master'!B$3:F$865,5,0)</f>
        <v>5 KGS</v>
      </c>
      <c r="I27" s="481" t="str">
        <f>VLOOKUP(C27,'[1]Sales Master'!B$3:E$865,4,0)</f>
        <v>-</v>
      </c>
      <c r="J27" s="481"/>
      <c r="K27" s="286">
        <v>14.5</v>
      </c>
      <c r="L27" s="99"/>
      <c r="M27" s="78"/>
    </row>
    <row r="28" spans="2:22" ht="20.149999999999999" customHeight="1" x14ac:dyDescent="0.45">
      <c r="B28" s="70"/>
      <c r="C28" s="22"/>
      <c r="D28" s="508"/>
      <c r="E28" s="508"/>
      <c r="F28" s="508"/>
      <c r="G28" s="90"/>
      <c r="H28" s="68"/>
      <c r="I28" s="481"/>
      <c r="J28" s="481"/>
      <c r="K28" s="98"/>
      <c r="L28" s="99"/>
      <c r="M28" s="78"/>
    </row>
    <row r="29" spans="2:22" ht="20.149999999999999" customHeight="1" x14ac:dyDescent="0.45">
      <c r="B29" s="70"/>
      <c r="C29" s="22"/>
      <c r="D29" s="508"/>
      <c r="E29" s="508"/>
      <c r="F29" s="508"/>
      <c r="G29" s="90"/>
      <c r="H29" s="68"/>
      <c r="I29" s="481"/>
      <c r="J29" s="481"/>
      <c r="K29" s="98"/>
      <c r="L29" s="99"/>
      <c r="M29" s="78"/>
    </row>
    <row r="30" spans="2:22" ht="20.149999999999999" customHeight="1" x14ac:dyDescent="0.45">
      <c r="B30" s="70"/>
      <c r="C30" s="22"/>
      <c r="D30" s="508"/>
      <c r="E30" s="508"/>
      <c r="F30" s="508"/>
      <c r="G30" s="90"/>
      <c r="H30" s="68"/>
      <c r="I30" s="481"/>
      <c r="J30" s="481"/>
      <c r="K30" s="98"/>
      <c r="L30" s="99"/>
      <c r="M30" s="78"/>
    </row>
    <row r="31" spans="2:22" ht="20.149999999999999" customHeight="1" x14ac:dyDescent="0.45">
      <c r="B31" s="70"/>
      <c r="C31" s="22"/>
      <c r="D31" s="508"/>
      <c r="E31" s="508"/>
      <c r="F31" s="508"/>
      <c r="G31" s="90"/>
      <c r="H31" s="68"/>
      <c r="I31" s="481"/>
      <c r="J31" s="481"/>
      <c r="K31" s="98"/>
      <c r="L31" s="99"/>
      <c r="M31" s="78"/>
    </row>
    <row r="32" spans="2:22" ht="20.149999999999999" customHeight="1" x14ac:dyDescent="0.45">
      <c r="B32" s="70"/>
      <c r="C32" s="22"/>
      <c r="D32" s="508"/>
      <c r="E32" s="508"/>
      <c r="F32" s="508"/>
      <c r="G32" s="90"/>
      <c r="H32" s="97"/>
      <c r="I32" s="578"/>
      <c r="J32" s="578"/>
      <c r="K32" s="98"/>
      <c r="L32" s="99"/>
    </row>
    <row r="33" spans="2:14" ht="20.149999999999999" customHeight="1" thickBot="1" x14ac:dyDescent="0.5">
      <c r="B33" s="52"/>
      <c r="C33" s="53"/>
      <c r="D33" s="53"/>
      <c r="E33" s="53"/>
      <c r="F33" s="53"/>
      <c r="G33" s="53"/>
      <c r="H33" s="53"/>
      <c r="I33" s="53"/>
      <c r="J33" s="53"/>
      <c r="K33" s="53"/>
      <c r="L33" s="54"/>
    </row>
    <row r="34" spans="2:14" ht="20.149999999999999" customHeight="1" x14ac:dyDescent="0.45">
      <c r="B34" s="11" t="s">
        <v>18</v>
      </c>
      <c r="C34" s="7"/>
      <c r="D34" s="7"/>
      <c r="E34" s="7"/>
      <c r="F34" s="7"/>
      <c r="G34" s="7"/>
      <c r="H34" s="7"/>
      <c r="I34" s="7"/>
      <c r="J34" s="510" t="s">
        <v>15</v>
      </c>
      <c r="K34" s="511"/>
      <c r="L34" s="43">
        <f>SUM(L17:L32)</f>
        <v>252</v>
      </c>
      <c r="M34" s="76">
        <f>SUM(P18:P27)</f>
        <v>39</v>
      </c>
      <c r="N34" s="201">
        <f>M34/L34</f>
        <v>0.15476190476190477</v>
      </c>
    </row>
    <row r="35" spans="2:14" ht="20.149999999999999" customHeight="1" x14ac:dyDescent="0.45">
      <c r="B35" s="11" t="s">
        <v>19</v>
      </c>
      <c r="C35" s="7"/>
      <c r="D35" s="7"/>
      <c r="E35" s="7"/>
      <c r="F35" s="7"/>
      <c r="G35" s="7"/>
      <c r="H35" s="7"/>
      <c r="I35" s="7"/>
      <c r="J35" s="44" t="s">
        <v>22</v>
      </c>
      <c r="K35" s="45"/>
      <c r="L35" s="46">
        <f>L34*K35</f>
        <v>0</v>
      </c>
    </row>
    <row r="36" spans="2:14" ht="20.149999999999999" customHeight="1" x14ac:dyDescent="0.45">
      <c r="B36" s="11" t="s">
        <v>20</v>
      </c>
      <c r="C36" s="7"/>
      <c r="D36" s="7"/>
      <c r="E36" s="7"/>
      <c r="F36" s="7"/>
      <c r="G36" s="7"/>
      <c r="H36" s="7"/>
      <c r="I36" s="7"/>
      <c r="J36" s="486" t="s">
        <v>21</v>
      </c>
      <c r="K36" s="487"/>
      <c r="L36" s="46">
        <f>L34-L35</f>
        <v>252</v>
      </c>
    </row>
    <row r="37" spans="2:14" ht="20.149999999999999" customHeight="1" x14ac:dyDescent="0.45">
      <c r="B37" s="11" t="s">
        <v>24</v>
      </c>
      <c r="C37" s="7"/>
      <c r="D37" s="7"/>
      <c r="E37" s="7"/>
      <c r="F37" s="7"/>
      <c r="G37" s="7"/>
      <c r="H37" s="7"/>
      <c r="I37" s="7"/>
      <c r="J37" s="150" t="s">
        <v>17</v>
      </c>
      <c r="K37" s="151">
        <v>7.0000000000000007E-2</v>
      </c>
      <c r="L37" s="47">
        <f>L36*K37</f>
        <v>17.64</v>
      </c>
    </row>
    <row r="38" spans="2:14" ht="20.149999999999999" customHeight="1" thickBot="1" x14ac:dyDescent="0.5">
      <c r="B38" s="11" t="s">
        <v>1400</v>
      </c>
      <c r="C38" s="7"/>
      <c r="D38" s="7"/>
      <c r="E38" s="7"/>
      <c r="F38" s="7"/>
      <c r="G38" s="7"/>
      <c r="H38" s="7"/>
      <c r="I38" s="7"/>
      <c r="J38" s="488" t="s">
        <v>23</v>
      </c>
      <c r="K38" s="489"/>
      <c r="L38" s="48">
        <f>L36+L37</f>
        <v>269.64</v>
      </c>
    </row>
    <row r="39" spans="2:14" ht="20.149999999999999" customHeight="1" x14ac:dyDescent="0.45">
      <c r="B39" s="11" t="s">
        <v>26</v>
      </c>
      <c r="C39" s="7"/>
      <c r="D39" s="7"/>
      <c r="E39" s="7"/>
      <c r="F39" s="7"/>
      <c r="G39" s="7"/>
      <c r="H39" s="7"/>
      <c r="I39" s="7"/>
      <c r="L39" s="42"/>
    </row>
    <row r="40" spans="2:14" ht="20.149999999999999" customHeight="1" x14ac:dyDescent="0.45">
      <c r="B40" s="224" t="s">
        <v>1379</v>
      </c>
      <c r="L40" s="42"/>
    </row>
    <row r="41" spans="2:14" ht="20.149999999999999" customHeight="1" x14ac:dyDescent="0.45">
      <c r="B41" s="41"/>
      <c r="L41" s="42"/>
    </row>
    <row r="42" spans="2:14" ht="20.149999999999999" customHeight="1" x14ac:dyDescent="0.45">
      <c r="B42" s="41"/>
      <c r="L42" s="42"/>
    </row>
    <row r="43" spans="2:14" ht="20.149999999999999" customHeight="1" x14ac:dyDescent="0.45">
      <c r="B43" s="41"/>
      <c r="L43" s="42"/>
    </row>
    <row r="44" spans="2:14" ht="20.149999999999999" customHeight="1" x14ac:dyDescent="0.45">
      <c r="B44" s="49"/>
      <c r="C44" s="50"/>
      <c r="D44" s="50"/>
      <c r="J44" s="50"/>
      <c r="K44" s="50"/>
      <c r="L44" s="51"/>
    </row>
    <row r="45" spans="2:14" ht="20.149999999999999" customHeight="1" x14ac:dyDescent="0.45">
      <c r="B45" s="41" t="s">
        <v>27</v>
      </c>
      <c r="J45" s="24" t="s">
        <v>28</v>
      </c>
      <c r="L45" s="42"/>
    </row>
    <row r="46" spans="2:14" ht="19" thickBot="1" x14ac:dyDescent="0.5">
      <c r="B46" s="52"/>
      <c r="C46" s="53"/>
      <c r="D46" s="53"/>
      <c r="E46" s="53"/>
      <c r="F46" s="53"/>
      <c r="G46" s="53"/>
      <c r="H46" s="53"/>
      <c r="I46" s="53"/>
      <c r="J46" s="53"/>
      <c r="K46" s="53"/>
      <c r="L46" s="54"/>
    </row>
  </sheetData>
  <mergeCells count="47">
    <mergeCell ref="B1:L8"/>
    <mergeCell ref="J34:K34"/>
    <mergeCell ref="J36:K36"/>
    <mergeCell ref="J38:K38"/>
    <mergeCell ref="D30:F30"/>
    <mergeCell ref="I30:J30"/>
    <mergeCell ref="D31:F31"/>
    <mergeCell ref="I31:J31"/>
    <mergeCell ref="D32:F32"/>
    <mergeCell ref="I32:J32"/>
    <mergeCell ref="D27:F27"/>
    <mergeCell ref="I27:J27"/>
    <mergeCell ref="D28:F28"/>
    <mergeCell ref="I28:J28"/>
    <mergeCell ref="D29:F29"/>
    <mergeCell ref="I29:J29"/>
    <mergeCell ref="D26:F26"/>
    <mergeCell ref="I26:J26"/>
    <mergeCell ref="D20:F20"/>
    <mergeCell ref="I20:J20"/>
    <mergeCell ref="D23:F23"/>
    <mergeCell ref="I23:J23"/>
    <mergeCell ref="D24:F24"/>
    <mergeCell ref="I24:J24"/>
    <mergeCell ref="I25:J25"/>
    <mergeCell ref="D19:F19"/>
    <mergeCell ref="I19:J19"/>
    <mergeCell ref="D21:F21"/>
    <mergeCell ref="I21:J21"/>
    <mergeCell ref="D22:F22"/>
    <mergeCell ref="I22:J22"/>
    <mergeCell ref="D17:F17"/>
    <mergeCell ref="I17:J17"/>
    <mergeCell ref="D18:F18"/>
    <mergeCell ref="I18:J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5" orientation="portrait" verticalDpi="300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ED23F6-4618-4E37-827C-E6894287887F}">
  <sheetPr codeName="Sheet55">
    <tabColor rgb="FF92D050"/>
    <pageSetUpPr fitToPage="1"/>
  </sheetPr>
  <dimension ref="B1:P46"/>
  <sheetViews>
    <sheetView topLeftCell="A12" workbookViewId="0">
      <selection activeCell="B1" sqref="B1:L46"/>
    </sheetView>
  </sheetViews>
  <sheetFormatPr defaultColWidth="12.54296875" defaultRowHeight="18.5" x14ac:dyDescent="0.45"/>
  <cols>
    <col min="1" max="1" width="12.54296875" style="24"/>
    <col min="2" max="3" width="12.54296875" style="24" customWidth="1"/>
    <col min="4" max="4" width="14.7265625" style="24" customWidth="1"/>
    <col min="5" max="5" width="1.54296875" style="24" customWidth="1"/>
    <col min="6" max="6" width="16.54296875" style="24" customWidth="1"/>
    <col min="7" max="7" width="8.54296875" style="24" customWidth="1"/>
    <col min="8" max="8" width="17.7265625" style="24" customWidth="1"/>
    <col min="9" max="9" width="1.26953125" style="24" customWidth="1"/>
    <col min="10" max="10" width="14.26953125" style="24" customWidth="1"/>
    <col min="11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148</v>
      </c>
      <c r="J10" s="29" t="s">
        <v>29</v>
      </c>
      <c r="K10" s="452">
        <v>202209359</v>
      </c>
      <c r="L10" s="453"/>
    </row>
    <row r="11" spans="2:12" ht="20.149999999999999" customHeight="1" x14ac:dyDescent="0.45">
      <c r="B11" s="454" t="s">
        <v>1403</v>
      </c>
      <c r="C11" s="455"/>
      <c r="D11" s="456"/>
      <c r="E11" s="30"/>
      <c r="F11" s="457" t="str">
        <f>VLOOKUP(H10,'Delivery Location'!A$4:N$416,2,0)</f>
        <v>Combined Stalls                                              1 kim Seng Promenade #03-116. Great World City Singapore 237994</v>
      </c>
      <c r="G11" s="458"/>
      <c r="H11" s="459"/>
      <c r="J11" s="31" t="s">
        <v>11</v>
      </c>
      <c r="K11" s="466">
        <v>44827</v>
      </c>
      <c r="L11" s="467"/>
    </row>
    <row r="12" spans="2:12" ht="20.149999999999999" customHeight="1" x14ac:dyDescent="0.45">
      <c r="B12" s="468" t="s">
        <v>869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2322</v>
      </c>
      <c r="L12" s="472"/>
    </row>
    <row r="13" spans="2:12" ht="20.149999999999999" customHeight="1" x14ac:dyDescent="0.45">
      <c r="B13" s="468" t="s">
        <v>870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1166</v>
      </c>
      <c r="L13" s="472"/>
    </row>
    <row r="14" spans="2:12" ht="20.149999999999999" customHeight="1" x14ac:dyDescent="0.45">
      <c r="B14" s="468" t="s">
        <v>871</v>
      </c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473" t="s">
        <v>872</v>
      </c>
      <c r="C15" s="474"/>
      <c r="D15" s="475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16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9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16" ht="20.149999999999999" customHeight="1" x14ac:dyDescent="0.45">
      <c r="B18" s="70" t="s">
        <v>70</v>
      </c>
      <c r="C18" s="22" t="str">
        <f>VLOOKUP(B18,'Sales Master'!A$3:B$581,2,0)</f>
        <v>M1014</v>
      </c>
      <c r="D18" s="508" t="str">
        <f>VLOOKUP(C18,'Sales Master'!B$3:D$499,2,)</f>
        <v>Chendol浆咯</v>
      </c>
      <c r="E18" s="508"/>
      <c r="F18" s="508"/>
      <c r="G18" s="90">
        <v>1</v>
      </c>
      <c r="H18" s="386" t="str">
        <f>VLOOKUP(C18,'Sales Master'!$B$3:$F$3179,5,0)</f>
        <v>NW(2.2:0.8) 3 KG/BAG</v>
      </c>
      <c r="I18" s="513" t="str">
        <f>VLOOKUP(C18,'Sales Master'!$B$3:$E$3179,4,0)</f>
        <v>DO!</v>
      </c>
      <c r="J18" s="513"/>
      <c r="K18" s="94">
        <f>VLOOKUP(C18,'Sales Master'!B$3:I$581,8,0)</f>
        <v>6.5</v>
      </c>
      <c r="L18" s="77">
        <f>G18*K18</f>
        <v>6.5</v>
      </c>
      <c r="M18" s="78"/>
      <c r="N18" s="225">
        <f>VLOOKUP(C18,'Sales Master'!$B$3:$DA$3038,104,0)</f>
        <v>1.85</v>
      </c>
      <c r="O18" s="225">
        <f>K18-N18</f>
        <v>4.6500000000000004</v>
      </c>
      <c r="P18" s="225">
        <f>O18*G18</f>
        <v>4.6500000000000004</v>
      </c>
    </row>
    <row r="19" spans="2:16" ht="20.149999999999999" customHeight="1" x14ac:dyDescent="0.45">
      <c r="B19" s="70" t="s">
        <v>2251</v>
      </c>
      <c r="C19" s="22" t="str">
        <f>VLOOKUP(B19,'Sales Master'!A$3:B$581,2,0)</f>
        <v>P2026A</v>
      </c>
      <c r="D19" s="508" t="str">
        <f>VLOOKUP(C19,'Sales Master'!B$3:D$499,2,)</f>
        <v>Corn Strach 玉蜀黍粉</v>
      </c>
      <c r="E19" s="508"/>
      <c r="F19" s="508"/>
      <c r="G19" s="90">
        <v>2</v>
      </c>
      <c r="H19" s="386" t="str">
        <f>VLOOKUP(C19,'Sales Master'!$B$3:$F$3179,5,0)</f>
        <v>400GM</v>
      </c>
      <c r="I19" s="513">
        <f>VLOOKUP(C19,'Sales Master'!$B$3:$E$3179,4,0)</f>
        <v>0</v>
      </c>
      <c r="J19" s="513"/>
      <c r="K19" s="94">
        <f>VLOOKUP(C19,'Sales Master'!B$3:I$581,8,0)</f>
        <v>0.95</v>
      </c>
      <c r="L19" s="77">
        <f t="shared" ref="L19:L20" si="0">G19*K19</f>
        <v>1.9</v>
      </c>
      <c r="M19" s="78"/>
      <c r="N19" s="225">
        <f>VLOOKUP(C19,'Sales Master'!$B$3:$DA$3038,104,0)</f>
        <v>0.55000000000000004</v>
      </c>
      <c r="O19" s="225">
        <f t="shared" ref="O19:O20" si="1">K19-N19</f>
        <v>0.39999999999999991</v>
      </c>
      <c r="P19" s="225">
        <f t="shared" ref="P19:P20" si="2">O19*G19</f>
        <v>0.79999999999999982</v>
      </c>
    </row>
    <row r="20" spans="2:16" ht="20.149999999999999" customHeight="1" x14ac:dyDescent="0.45">
      <c r="B20" s="70" t="s">
        <v>116</v>
      </c>
      <c r="C20" s="22" t="str">
        <f>VLOOKUP(B20,'Sales Master'!A$3:B$581,2,0)</f>
        <v>P3004A</v>
      </c>
      <c r="D20" s="508" t="str">
        <f>VLOOKUP(C20,'Sales Master'!B$3:D$499,2,)</f>
        <v>GingKo Nut (Peel off)白果仁</v>
      </c>
      <c r="E20" s="508"/>
      <c r="F20" s="508"/>
      <c r="G20" s="90">
        <v>2</v>
      </c>
      <c r="H20" s="386" t="str">
        <f>VLOOKUP(C20,'Sales Master'!$B$3:$F$3179,5,0)</f>
        <v>1 kg (2 X 500GM)</v>
      </c>
      <c r="I20" s="513" t="str">
        <f>VLOOKUP(C20,'Sales Master'!$B$3:$E$3179,4,0)</f>
        <v>-</v>
      </c>
      <c r="J20" s="513"/>
      <c r="K20" s="94">
        <f>VLOOKUP(C20,'Sales Master'!B$3:I$581,8,0)</f>
        <v>5</v>
      </c>
      <c r="L20" s="77">
        <f t="shared" si="0"/>
        <v>10</v>
      </c>
      <c r="M20" s="78"/>
      <c r="N20" s="225">
        <f>VLOOKUP(C20,'Sales Master'!$B$3:$DA$3038,104,0)</f>
        <v>3.1666666666666665</v>
      </c>
      <c r="O20" s="225">
        <f t="shared" si="1"/>
        <v>1.8333333333333335</v>
      </c>
      <c r="P20" s="225">
        <f t="shared" si="2"/>
        <v>3.666666666666667</v>
      </c>
    </row>
    <row r="21" spans="2:16" ht="20.149999999999999" customHeight="1" x14ac:dyDescent="0.45">
      <c r="B21" s="70" t="s">
        <v>93</v>
      </c>
      <c r="C21" s="22" t="str">
        <f>VLOOKUP(B21,'Sales Master'!A$3:B$581,2,0)</f>
        <v>P3005A</v>
      </c>
      <c r="D21" s="508" t="str">
        <f>VLOOKUP(C21,'Sales Master'!B$3:D$499,2,)</f>
        <v>Red Bean红豆 (5.5 mm)</v>
      </c>
      <c r="E21" s="508"/>
      <c r="F21" s="508"/>
      <c r="G21" s="90">
        <v>1</v>
      </c>
      <c r="H21" s="386" t="str">
        <f>VLOOKUP(C21,'Sales Master'!$B$3:$F$3179,5,0)</f>
        <v>5 kgs</v>
      </c>
      <c r="I21" s="513" t="str">
        <f>VLOOKUP(C21,'Sales Master'!$B$3:$E$3179,4,0)</f>
        <v>-</v>
      </c>
      <c r="J21" s="513"/>
      <c r="K21" s="94">
        <f>VLOOKUP(C21,'Sales Master'!B$3:I$581,8,0)</f>
        <v>20</v>
      </c>
      <c r="L21" s="77">
        <f t="shared" ref="L21:L23" si="3">G21*K21</f>
        <v>20</v>
      </c>
      <c r="M21" s="78"/>
      <c r="N21" s="225">
        <f>VLOOKUP(C21,'Sales Master'!$B$3:$DA$3038,104,0)</f>
        <v>17</v>
      </c>
      <c r="O21" s="225">
        <f t="shared" ref="O21:O23" si="4">K21-N21</f>
        <v>3</v>
      </c>
      <c r="P21" s="225">
        <f t="shared" ref="P21:P23" si="5">O21*G21</f>
        <v>3</v>
      </c>
    </row>
    <row r="22" spans="2:16" ht="20.149999999999999" customHeight="1" x14ac:dyDescent="0.45">
      <c r="B22" s="70" t="s">
        <v>83</v>
      </c>
      <c r="C22" s="22" t="str">
        <f>VLOOKUP(B22,'Sales Master'!A$3:B$581,2,0)</f>
        <v>P3009A</v>
      </c>
      <c r="D22" s="508" t="str">
        <f>VLOOKUP(C22,'Sales Master'!B$3:D$499,2,)</f>
        <v>Green Bean 绿豆</v>
      </c>
      <c r="E22" s="508"/>
      <c r="F22" s="508"/>
      <c r="G22" s="90">
        <v>1</v>
      </c>
      <c r="H22" s="386" t="str">
        <f>VLOOKUP(C22,'Sales Master'!$B$3:$F$3179,5,0)</f>
        <v>5 kgs</v>
      </c>
      <c r="I22" s="513" t="str">
        <f>VLOOKUP(C22,'Sales Master'!$B$3:$E$3179,4,0)</f>
        <v>-</v>
      </c>
      <c r="J22" s="513"/>
      <c r="K22" s="94">
        <f>VLOOKUP(C22,'Sales Master'!B$3:I$581,8,0)</f>
        <v>14</v>
      </c>
      <c r="L22" s="77">
        <f t="shared" si="3"/>
        <v>14</v>
      </c>
      <c r="M22" s="78"/>
      <c r="N22" s="225">
        <f>VLOOKUP(C22,'Sales Master'!$B$3:$DA$3038,104,0)</f>
        <v>9.3999999999999986</v>
      </c>
      <c r="O22" s="225">
        <f t="shared" si="4"/>
        <v>4.6000000000000014</v>
      </c>
      <c r="P22" s="225">
        <f t="shared" si="5"/>
        <v>4.6000000000000014</v>
      </c>
    </row>
    <row r="23" spans="2:16" ht="20.149999999999999" customHeight="1" x14ac:dyDescent="0.45">
      <c r="B23" s="70" t="s">
        <v>92</v>
      </c>
      <c r="C23" s="22" t="str">
        <f>VLOOKUP(B23,'Sales Master'!A$3:B$581,2,0)</f>
        <v>P3013A</v>
      </c>
      <c r="D23" s="508" t="str">
        <f>VLOOKUP(C23,'Sales Master'!B$3:D$499,2,)</f>
        <v>Black Glutinous Rice 黑糯米</v>
      </c>
      <c r="E23" s="508"/>
      <c r="F23" s="508"/>
      <c r="G23" s="90">
        <v>1</v>
      </c>
      <c r="H23" s="386" t="str">
        <f>VLOOKUP(C23,'Sales Master'!$B$3:$F$3179,5,0)</f>
        <v>5 kgs</v>
      </c>
      <c r="I23" s="513" t="str">
        <f>VLOOKUP(C23,'Sales Master'!$B$3:$E$3179,4,0)</f>
        <v>-</v>
      </c>
      <c r="J23" s="513"/>
      <c r="K23" s="94">
        <f>VLOOKUP(C23,'Sales Master'!B$3:I$581,8,0)</f>
        <v>18</v>
      </c>
      <c r="L23" s="77">
        <f t="shared" si="3"/>
        <v>18</v>
      </c>
      <c r="M23" s="78"/>
      <c r="N23" s="225">
        <f>VLOOKUP(C23,'Sales Master'!$B$3:$DA$3038,104,0)</f>
        <v>12</v>
      </c>
      <c r="O23" s="225">
        <f t="shared" si="4"/>
        <v>6</v>
      </c>
      <c r="P23" s="225">
        <f t="shared" si="5"/>
        <v>6</v>
      </c>
    </row>
    <row r="24" spans="2:16" ht="20.149999999999999" customHeight="1" x14ac:dyDescent="0.45">
      <c r="B24" s="70" t="s">
        <v>63</v>
      </c>
      <c r="C24" s="22" t="str">
        <f>VLOOKUP(B24,'Sales Master'!A$3:B$581,2,0)</f>
        <v>P3016A</v>
      </c>
      <c r="D24" s="508" t="str">
        <f>VLOOKUP(C24,'Sales Master'!B$3:D$499,2,)</f>
        <v>Pearl Barley 薏米</v>
      </c>
      <c r="E24" s="508"/>
      <c r="F24" s="508"/>
      <c r="G24" s="90">
        <v>1</v>
      </c>
      <c r="H24" s="386" t="str">
        <f>VLOOKUP(C24,'Sales Master'!$B$3:$F$3179,5,0)</f>
        <v>5 kgs</v>
      </c>
      <c r="I24" s="513" t="str">
        <f>VLOOKUP(C24,'Sales Master'!$B$3:$E$3179,4,0)</f>
        <v>-</v>
      </c>
      <c r="J24" s="513"/>
      <c r="K24" s="94">
        <f>VLOOKUP(C24,'Sales Master'!B$3:I$581,8,0)</f>
        <v>8.5</v>
      </c>
      <c r="L24" s="77">
        <f t="shared" ref="L24:L25" si="6">G24*K24</f>
        <v>8.5</v>
      </c>
      <c r="M24" s="78"/>
      <c r="N24" s="225">
        <f>VLOOKUP(C24,'Sales Master'!$B$3:$DA$3038,104,0)</f>
        <v>6.8000000000000007</v>
      </c>
      <c r="O24" s="225">
        <f t="shared" ref="O24:O25" si="7">K24-N24</f>
        <v>1.6999999999999993</v>
      </c>
      <c r="P24" s="225">
        <f t="shared" ref="P24:P25" si="8">O24*G24</f>
        <v>1.6999999999999993</v>
      </c>
    </row>
    <row r="25" spans="2:16" ht="20.149999999999999" customHeight="1" x14ac:dyDescent="0.45">
      <c r="B25" s="70" t="s">
        <v>82</v>
      </c>
      <c r="C25" s="22" t="str">
        <f>VLOOKUP(B25,'Sales Master'!A$3:B$581,2,0)</f>
        <v>P3019A</v>
      </c>
      <c r="D25" s="508" t="str">
        <f>VLOOKUP(C25,'Sales Master'!B$3:D$499,2,)</f>
        <v>Dried Longan 龙眼干</v>
      </c>
      <c r="E25" s="508"/>
      <c r="F25" s="508"/>
      <c r="G25" s="90">
        <v>1</v>
      </c>
      <c r="H25" s="386" t="str">
        <f>VLOOKUP(C25,'Sales Master'!$B$3:$F$3179,5,0)</f>
        <v>1 kg</v>
      </c>
      <c r="I25" s="513" t="str">
        <f>VLOOKUP(C25,'Sales Master'!$B$3:$E$3179,4,0)</f>
        <v>TL</v>
      </c>
      <c r="J25" s="513"/>
      <c r="K25" s="94">
        <f>VLOOKUP(C25,'Sales Master'!B$3:I$581,8,0)</f>
        <v>12</v>
      </c>
      <c r="L25" s="77">
        <f t="shared" si="6"/>
        <v>12</v>
      </c>
      <c r="M25" s="78"/>
      <c r="N25" s="225">
        <f>VLOOKUP(C25,'Sales Master'!$B$3:$DA$3038,104,0)</f>
        <v>8.5</v>
      </c>
      <c r="O25" s="225">
        <f t="shared" si="7"/>
        <v>3.5</v>
      </c>
      <c r="P25" s="225">
        <f t="shared" si="8"/>
        <v>3.5</v>
      </c>
    </row>
    <row r="26" spans="2:16" ht="20.149999999999999" customHeight="1" x14ac:dyDescent="0.45">
      <c r="B26" s="70" t="s">
        <v>124</v>
      </c>
      <c r="C26" s="22" t="str">
        <f>VLOOKUP(B26,'Sales Master'!A$3:B$581,2,0)</f>
        <v>P3023</v>
      </c>
      <c r="D26" s="508" t="str">
        <f>VLOOKUP(C26,'Sales Master'!B$3:D$499,2,)</f>
        <v>Fungus黄 木耳朵</v>
      </c>
      <c r="E26" s="508"/>
      <c r="F26" s="508"/>
      <c r="G26" s="90">
        <v>1</v>
      </c>
      <c r="H26" s="386" t="str">
        <f>VLOOKUP(C26,'Sales Master'!$B$3:$F$3179,5,0)</f>
        <v>1 kg</v>
      </c>
      <c r="I26" s="513" t="str">
        <f>VLOOKUP(C26,'Sales Master'!$B$3:$E$3179,4,0)</f>
        <v>黄</v>
      </c>
      <c r="J26" s="513"/>
      <c r="K26" s="94">
        <f>VLOOKUP(C26,'Sales Master'!B$3:I$581,8,0)</f>
        <v>16</v>
      </c>
      <c r="L26" s="77">
        <f t="shared" ref="L26:L30" si="9">G26*K26</f>
        <v>16</v>
      </c>
      <c r="M26" s="78"/>
      <c r="N26" s="225">
        <f>VLOOKUP(C26,'Sales Master'!$B$3:$DA$3038,104,0)</f>
        <v>11</v>
      </c>
      <c r="O26" s="225">
        <f t="shared" ref="O26:O30" si="10">K26-N26</f>
        <v>5</v>
      </c>
      <c r="P26" s="225">
        <f t="shared" ref="P26:P30" si="11">O26*G26</f>
        <v>5</v>
      </c>
    </row>
    <row r="27" spans="2:16" ht="20.149999999999999" customHeight="1" x14ac:dyDescent="0.45">
      <c r="B27" s="70" t="s">
        <v>95</v>
      </c>
      <c r="C27" s="22" t="str">
        <f>VLOOKUP(B27,'Sales Master'!A$3:B$581,2,0)</f>
        <v>P4009A</v>
      </c>
      <c r="D27" s="508" t="str">
        <f>VLOOKUP(C27,'Sales Master'!B$3:D$499,2,)</f>
        <v>Lychee in Syrup荔枝</v>
      </c>
      <c r="E27" s="508"/>
      <c r="F27" s="508"/>
      <c r="G27" s="90">
        <v>1</v>
      </c>
      <c r="H27" s="386" t="str">
        <f>VLOOKUP(C27,'Sales Master'!$B$3:$F$3179,5,0)</f>
        <v>(567gm x 12)/箱</v>
      </c>
      <c r="I27" s="513" t="str">
        <f>VLOOKUP(C27,'Sales Master'!$B$3:$E$3179,4,0)</f>
        <v>Golden Champ</v>
      </c>
      <c r="J27" s="513"/>
      <c r="K27" s="94">
        <f>VLOOKUP(C27,'Sales Master'!B$3:I$581,8,0)</f>
        <v>21</v>
      </c>
      <c r="L27" s="77">
        <f t="shared" si="9"/>
        <v>21</v>
      </c>
      <c r="M27" s="78"/>
      <c r="N27" s="225">
        <f>VLOOKUP(C27,'Sales Master'!$B$3:$DA$3038,104,0)</f>
        <v>17.25</v>
      </c>
      <c r="O27" s="225">
        <f t="shared" si="10"/>
        <v>3.75</v>
      </c>
      <c r="P27" s="225">
        <f t="shared" si="11"/>
        <v>3.75</v>
      </c>
    </row>
    <row r="28" spans="2:16" ht="20.149999999999999" customHeight="1" x14ac:dyDescent="0.45">
      <c r="B28" s="70" t="s">
        <v>78</v>
      </c>
      <c r="C28" s="22" t="str">
        <f>VLOOKUP(B28,'Sales Master'!A$3:B$581,2,0)</f>
        <v>P6014</v>
      </c>
      <c r="D28" s="508" t="str">
        <f>VLOOKUP(C28,'Sales Master'!B$3:D$499,2,)</f>
        <v>Yu Tiao 油条</v>
      </c>
      <c r="E28" s="508"/>
      <c r="F28" s="508"/>
      <c r="G28" s="90">
        <v>10</v>
      </c>
      <c r="H28" s="386" t="str">
        <f>VLOOKUP(C28,'Sales Master'!$B$3:$F$3179,5,0)</f>
        <v>1 pc</v>
      </c>
      <c r="I28" s="513" t="str">
        <f>VLOOKUP(C28,'Sales Master'!$B$3:$E$3179,4,0)</f>
        <v>-</v>
      </c>
      <c r="J28" s="513"/>
      <c r="K28" s="94">
        <f>VLOOKUP(C28,'Sales Master'!B$3:I$581,8,0)</f>
        <v>0.5</v>
      </c>
      <c r="L28" s="77">
        <f t="shared" si="9"/>
        <v>5</v>
      </c>
      <c r="M28" s="78"/>
      <c r="N28" s="225">
        <f>VLOOKUP(C28,'Sales Master'!$B$3:$DA$3038,104,0)</f>
        <v>0.4</v>
      </c>
      <c r="O28" s="225">
        <f t="shared" si="10"/>
        <v>9.9999999999999978E-2</v>
      </c>
      <c r="P28" s="225">
        <f t="shared" si="11"/>
        <v>0.99999999999999978</v>
      </c>
    </row>
    <row r="29" spans="2:16" ht="20.149999999999999" customHeight="1" x14ac:dyDescent="0.45">
      <c r="B29" s="70" t="s">
        <v>2068</v>
      </c>
      <c r="C29" s="22" t="str">
        <f>VLOOKUP(B29,'Sales Master'!A$3:B$581,2,0)</f>
        <v>P3062</v>
      </c>
      <c r="D29" s="508" t="str">
        <f>VLOOKUP(C29,'Sales Master'!B$3:D$499,2,)</f>
        <v xml:space="preserve">DRIED ROSELLE </v>
      </c>
      <c r="E29" s="508"/>
      <c r="F29" s="508"/>
      <c r="G29" s="90">
        <v>1</v>
      </c>
      <c r="H29" s="386" t="str">
        <f>VLOOKUP(C29,'Sales Master'!$B$3:$F$3179,5,0)</f>
        <v>1 KG</v>
      </c>
      <c r="I29" s="513" t="str">
        <f>VLOOKUP(C29,'Sales Master'!$B$3:$E$3179,4,0)</f>
        <v>China</v>
      </c>
      <c r="J29" s="513"/>
      <c r="K29" s="94">
        <f>VLOOKUP(C29,'Sales Master'!B$3:I$581,8,0)</f>
        <v>20</v>
      </c>
      <c r="L29" s="77">
        <f t="shared" si="9"/>
        <v>20</v>
      </c>
      <c r="M29" s="78"/>
      <c r="N29" s="225">
        <f>VLOOKUP(C29,'Sales Master'!$B$3:$DA$3038,104,0)</f>
        <v>13.5</v>
      </c>
      <c r="O29" s="225">
        <f t="shared" si="10"/>
        <v>6.5</v>
      </c>
      <c r="P29" s="225">
        <f t="shared" si="11"/>
        <v>6.5</v>
      </c>
    </row>
    <row r="30" spans="2:16" ht="20.149999999999999" customHeight="1" x14ac:dyDescent="0.45">
      <c r="B30" s="70" t="s">
        <v>2193</v>
      </c>
      <c r="C30" s="22" t="str">
        <f>VLOOKUP(B30,'Sales Master'!A$3:B$581,2,0)</f>
        <v>M1037A</v>
      </c>
      <c r="D30" s="508" t="str">
        <f>VLOOKUP(C30,'Sales Master'!B$3:D$499,2,)</f>
        <v>ROCK SUGAR SYRUP</v>
      </c>
      <c r="E30" s="508"/>
      <c r="F30" s="508"/>
      <c r="G30" s="90">
        <v>5</v>
      </c>
      <c r="H30" s="386" t="str">
        <f>VLOOKUP(C30,'Sales Master'!$B$3:$F$3179,5,0)</f>
        <v>5 KG</v>
      </c>
      <c r="I30" s="513" t="str">
        <f>VLOOKUP(C30,'Sales Master'!$B$3:$E$3179,4,0)</f>
        <v>DO!</v>
      </c>
      <c r="J30" s="513"/>
      <c r="K30" s="94">
        <f>VLOOKUP(C30,'Sales Master'!B$3:I$581,8,0)</f>
        <v>8.5</v>
      </c>
      <c r="L30" s="77">
        <f t="shared" si="9"/>
        <v>42.5</v>
      </c>
      <c r="M30" s="78"/>
      <c r="N30" s="225">
        <f>VLOOKUP(C30,'Sales Master'!$B$3:$DA$3038,104,0)</f>
        <v>5.5</v>
      </c>
      <c r="O30" s="225">
        <f t="shared" si="10"/>
        <v>3</v>
      </c>
      <c r="P30" s="225">
        <f t="shared" si="11"/>
        <v>15</v>
      </c>
    </row>
    <row r="31" spans="2:16" ht="20.149999999999999" customHeight="1" x14ac:dyDescent="0.45">
      <c r="B31" s="70"/>
      <c r="C31" s="22"/>
      <c r="D31" s="508"/>
      <c r="E31" s="508"/>
      <c r="F31" s="508"/>
      <c r="G31" s="90"/>
      <c r="H31" s="97"/>
      <c r="I31" s="506"/>
      <c r="J31" s="506"/>
      <c r="K31" s="94"/>
      <c r="L31" s="77"/>
      <c r="M31" s="78"/>
      <c r="N31" s="225"/>
      <c r="O31" s="225"/>
      <c r="P31" s="225"/>
    </row>
    <row r="32" spans="2:16" ht="20.149999999999999" customHeight="1" thickBot="1" x14ac:dyDescent="0.5">
      <c r="B32" s="101"/>
      <c r="C32" s="38"/>
      <c r="D32" s="509"/>
      <c r="E32" s="509"/>
      <c r="F32" s="509"/>
      <c r="G32" s="38"/>
      <c r="H32" s="69"/>
      <c r="I32" s="557"/>
      <c r="J32" s="557"/>
      <c r="K32" s="39"/>
      <c r="L32" s="89"/>
    </row>
    <row r="33" spans="2:14" ht="20.149999999999999" customHeight="1" thickBot="1" x14ac:dyDescent="0.5">
      <c r="B33" s="41"/>
      <c r="L33" s="42"/>
    </row>
    <row r="34" spans="2:14" ht="20.149999999999999" customHeight="1" x14ac:dyDescent="0.45">
      <c r="B34" s="11" t="s">
        <v>18</v>
      </c>
      <c r="C34" s="7"/>
      <c r="D34" s="7"/>
      <c r="E34" s="7"/>
      <c r="F34" s="7"/>
      <c r="G34" s="7"/>
      <c r="H34" s="7"/>
      <c r="I34" s="7"/>
      <c r="J34" s="510" t="s">
        <v>15</v>
      </c>
      <c r="K34" s="511"/>
      <c r="L34" s="43">
        <f>SUM(L17:L32)</f>
        <v>195.4</v>
      </c>
      <c r="M34" s="76">
        <f>SUM(P18:P31)</f>
        <v>59.166666666666671</v>
      </c>
      <c r="N34" s="201">
        <f>M34/L34</f>
        <v>0.30279767997270557</v>
      </c>
    </row>
    <row r="35" spans="2:14" ht="20.149999999999999" customHeight="1" x14ac:dyDescent="0.45">
      <c r="B35" s="11" t="s">
        <v>19</v>
      </c>
      <c r="C35" s="7"/>
      <c r="D35" s="7"/>
      <c r="E35" s="7"/>
      <c r="F35" s="7"/>
      <c r="G35" s="7"/>
      <c r="H35" s="7"/>
      <c r="I35" s="7"/>
      <c r="J35" s="44" t="s">
        <v>22</v>
      </c>
      <c r="K35" s="45"/>
      <c r="L35" s="46">
        <f>L34*K35</f>
        <v>0</v>
      </c>
    </row>
    <row r="36" spans="2:14" ht="20.149999999999999" customHeight="1" x14ac:dyDescent="0.45">
      <c r="B36" s="11" t="s">
        <v>20</v>
      </c>
      <c r="C36" s="7"/>
      <c r="D36" s="7"/>
      <c r="E36" s="7"/>
      <c r="F36" s="7"/>
      <c r="G36" s="7"/>
      <c r="H36" s="7"/>
      <c r="I36" s="7"/>
      <c r="J36" s="486" t="s">
        <v>21</v>
      </c>
      <c r="K36" s="487"/>
      <c r="L36" s="46">
        <f>L34-L35</f>
        <v>195.4</v>
      </c>
    </row>
    <row r="37" spans="2:14" ht="20.149999999999999" customHeight="1" x14ac:dyDescent="0.45">
      <c r="B37" s="11" t="s">
        <v>24</v>
      </c>
      <c r="C37" s="7"/>
      <c r="D37" s="7"/>
      <c r="E37" s="7"/>
      <c r="F37" s="7"/>
      <c r="G37" s="7"/>
      <c r="H37" s="7"/>
      <c r="I37" s="7"/>
      <c r="J37" s="150" t="s">
        <v>17</v>
      </c>
      <c r="K37" s="151">
        <v>7.0000000000000007E-2</v>
      </c>
      <c r="L37" s="47">
        <f>L36*K37</f>
        <v>13.678000000000001</v>
      </c>
    </row>
    <row r="38" spans="2:14" ht="20.149999999999999" customHeight="1" thickBot="1" x14ac:dyDescent="0.5">
      <c r="B38" s="11" t="s">
        <v>25</v>
      </c>
      <c r="C38" s="7"/>
      <c r="D38" s="7"/>
      <c r="E38" s="7"/>
      <c r="F38" s="7"/>
      <c r="G38" s="7"/>
      <c r="H38" s="7"/>
      <c r="I38" s="7"/>
      <c r="J38" s="488" t="s">
        <v>23</v>
      </c>
      <c r="K38" s="489"/>
      <c r="L38" s="48">
        <f>L36+L37</f>
        <v>209.078</v>
      </c>
    </row>
    <row r="39" spans="2:14" ht="20.149999999999999" customHeight="1" x14ac:dyDescent="0.45">
      <c r="B39" s="11" t="s">
        <v>26</v>
      </c>
      <c r="C39" s="7"/>
      <c r="D39" s="7"/>
      <c r="E39" s="7"/>
      <c r="F39" s="7"/>
      <c r="G39" s="7"/>
      <c r="H39" s="7"/>
      <c r="I39" s="7"/>
      <c r="L39" s="42"/>
    </row>
    <row r="40" spans="2:14" ht="20.149999999999999" customHeight="1" x14ac:dyDescent="0.45">
      <c r="B40" s="41"/>
      <c r="L40" s="42"/>
    </row>
    <row r="41" spans="2:14" ht="20.149999999999999" customHeight="1" x14ac:dyDescent="0.45">
      <c r="B41" s="41"/>
      <c r="L41" s="42"/>
    </row>
    <row r="42" spans="2:14" ht="20.149999999999999" customHeight="1" x14ac:dyDescent="0.45">
      <c r="B42" s="41"/>
      <c r="L42" s="42"/>
    </row>
    <row r="43" spans="2:14" ht="20.149999999999999" customHeight="1" x14ac:dyDescent="0.45">
      <c r="B43" s="41"/>
      <c r="L43" s="42"/>
    </row>
    <row r="44" spans="2:14" ht="20.149999999999999" customHeight="1" x14ac:dyDescent="0.45">
      <c r="B44" s="49"/>
      <c r="C44" s="50"/>
      <c r="D44" s="50"/>
      <c r="J44" s="50"/>
      <c r="K44" s="50"/>
      <c r="L44" s="51"/>
    </row>
    <row r="45" spans="2:14" ht="20.149999999999999" customHeight="1" x14ac:dyDescent="0.45">
      <c r="B45" s="41" t="s">
        <v>27</v>
      </c>
      <c r="J45" s="24" t="s">
        <v>28</v>
      </c>
      <c r="L45" s="42"/>
    </row>
    <row r="46" spans="2:14" ht="19" thickBot="1" x14ac:dyDescent="0.5">
      <c r="B46" s="52"/>
      <c r="C46" s="53"/>
      <c r="D46" s="53"/>
      <c r="E46" s="53"/>
      <c r="F46" s="53"/>
      <c r="G46" s="53"/>
      <c r="H46" s="53"/>
      <c r="I46" s="53"/>
      <c r="J46" s="53"/>
      <c r="K46" s="53"/>
      <c r="L46" s="54"/>
    </row>
  </sheetData>
  <mergeCells count="48">
    <mergeCell ref="I22:J22"/>
    <mergeCell ref="I23:J23"/>
    <mergeCell ref="I26:J26"/>
    <mergeCell ref="I24:J24"/>
    <mergeCell ref="I25:J25"/>
    <mergeCell ref="J38:K38"/>
    <mergeCell ref="J36:K36"/>
    <mergeCell ref="D32:F32"/>
    <mergeCell ref="J34:K34"/>
    <mergeCell ref="I32:J32"/>
    <mergeCell ref="B1:L8"/>
    <mergeCell ref="D17:F17"/>
    <mergeCell ref="I17:J17"/>
    <mergeCell ref="K13:L13"/>
    <mergeCell ref="B14:D14"/>
    <mergeCell ref="K14:L14"/>
    <mergeCell ref="B15:D15"/>
    <mergeCell ref="K15:L15"/>
    <mergeCell ref="F11:H15"/>
    <mergeCell ref="K11:L11"/>
    <mergeCell ref="B12:D12"/>
    <mergeCell ref="K12:L12"/>
    <mergeCell ref="B11:D11"/>
    <mergeCell ref="K10:L10"/>
    <mergeCell ref="B13:D13"/>
    <mergeCell ref="D21:F21"/>
    <mergeCell ref="I21:J21"/>
    <mergeCell ref="D18:F18"/>
    <mergeCell ref="I18:J18"/>
    <mergeCell ref="D20:F20"/>
    <mergeCell ref="I20:J20"/>
    <mergeCell ref="D19:F19"/>
    <mergeCell ref="I19:J19"/>
    <mergeCell ref="D22:F22"/>
    <mergeCell ref="D23:F23"/>
    <mergeCell ref="D26:F26"/>
    <mergeCell ref="D24:F24"/>
    <mergeCell ref="D25:F25"/>
    <mergeCell ref="D27:F27"/>
    <mergeCell ref="I27:J27"/>
    <mergeCell ref="D28:F28"/>
    <mergeCell ref="I28:J28"/>
    <mergeCell ref="D31:F31"/>
    <mergeCell ref="I31:J31"/>
    <mergeCell ref="D30:F30"/>
    <mergeCell ref="I30:J30"/>
    <mergeCell ref="D29:F29"/>
    <mergeCell ref="I29:J29"/>
  </mergeCells>
  <hyperlinks>
    <hyperlink ref="B15" r:id="rId1" xr:uid="{BF418F54-EAC9-4340-8E6F-CB26B59385FA}"/>
  </hyperlinks>
  <pageMargins left="0.70866141732283472" right="0.31496062992125984" top="0.59055118110236227" bottom="0" header="0.31496062992125984" footer="0.31496062992125984"/>
  <pageSetup paperSize="9" scale="75" orientation="portrait" horizontalDpi="300" verticalDpi="300" r:id="rId2"/>
  <drawing r:id="rId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7AA13F-350A-4262-9930-D57874DB6545}">
  <sheetPr codeName="Sheet110">
    <tabColor rgb="FFFFC000"/>
    <pageSetUpPr fitToPage="1"/>
  </sheetPr>
  <dimension ref="B1:P40"/>
  <sheetViews>
    <sheetView topLeftCell="B1" workbookViewId="0">
      <selection activeCell="F11" sqref="F11:H15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6.54296875" style="24" customWidth="1"/>
    <col min="7" max="7" width="8.54296875" style="24" customWidth="1"/>
    <col min="8" max="8" width="17.1796875" style="24" customWidth="1"/>
    <col min="9" max="9" width="1.81640625" style="24" customWidth="1"/>
    <col min="10" max="10" width="15.54296875" style="24" customWidth="1"/>
    <col min="11" max="11" width="10.54296875" style="24" customWidth="1"/>
    <col min="12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765</v>
      </c>
      <c r="J10" s="29" t="s">
        <v>29</v>
      </c>
      <c r="K10" s="452">
        <v>202209221</v>
      </c>
      <c r="L10" s="453"/>
    </row>
    <row r="11" spans="2:12" ht="20.149999999999999" customHeight="1" x14ac:dyDescent="0.45">
      <c r="B11" s="454" t="s">
        <v>2037</v>
      </c>
      <c r="C11" s="455"/>
      <c r="D11" s="456"/>
      <c r="E11" s="30"/>
      <c r="F11" s="457" t="str">
        <f>VLOOKUP(H10,'Delivery Location'!A$4:N$416,2,0)</f>
        <v>Koufu -喜多福                                                 Blk 267 Compassvale Link                           #01-02 Singapore 540267</v>
      </c>
      <c r="G11" s="458"/>
      <c r="H11" s="459"/>
      <c r="J11" s="31" t="s">
        <v>11</v>
      </c>
      <c r="K11" s="466">
        <v>44818</v>
      </c>
      <c r="L11" s="467"/>
    </row>
    <row r="12" spans="2:12" ht="20.149999999999999" customHeight="1" x14ac:dyDescent="0.45">
      <c r="B12" s="468" t="s">
        <v>2139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533</v>
      </c>
      <c r="L12" s="472"/>
    </row>
    <row r="13" spans="2:12" ht="20.149999999999999" customHeight="1" x14ac:dyDescent="0.45">
      <c r="B13" s="468" t="s">
        <v>2024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14</v>
      </c>
      <c r="L13" s="472"/>
    </row>
    <row r="14" spans="2:12" ht="20.149999999999999" customHeight="1" x14ac:dyDescent="0.45">
      <c r="B14" s="468" t="s">
        <v>2025</v>
      </c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463" t="s">
        <v>2026</v>
      </c>
      <c r="C15" s="464"/>
      <c r="D15" s="465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16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16" ht="20.149999999999999" customHeight="1" x14ac:dyDescent="0.45">
      <c r="B18" s="34"/>
      <c r="C18" s="22" t="s">
        <v>1530</v>
      </c>
      <c r="D18" s="508" t="str">
        <f>VLOOKUP(C18,'Sales Master'!B$3:D$499,2,)</f>
        <v>Sweet Potato Powder番薯粉</v>
      </c>
      <c r="E18" s="508"/>
      <c r="F18" s="508"/>
      <c r="G18" s="22">
        <v>1</v>
      </c>
      <c r="H18" s="389" t="str">
        <f>VLOOKUP(C18,'Sales Master'!B$3:F$3183,5,0)</f>
        <v>3 kgs</v>
      </c>
      <c r="I18" s="512" t="str">
        <f>VLOOKUP(C18,'Sales Master'!B$3:E$3183,4,0)</f>
        <v>RE-PACK</v>
      </c>
      <c r="J18" s="512"/>
      <c r="K18" s="35">
        <f>VLOOKUP(C18,'Sales Master'!B$3:BL$499,54,0)</f>
        <v>9.5</v>
      </c>
      <c r="L18" s="77">
        <f>K18*G18</f>
        <v>9.5</v>
      </c>
      <c r="M18" s="78"/>
      <c r="N18" s="225">
        <f>VLOOKUP(C18,'Sales Master'!$B$3:$DA$3038,104,0)</f>
        <v>7.4399999999999995</v>
      </c>
      <c r="O18" s="225">
        <f>K18-N18</f>
        <v>2.0600000000000005</v>
      </c>
      <c r="P18" s="225">
        <f>O18*G18</f>
        <v>2.0600000000000005</v>
      </c>
    </row>
    <row r="19" spans="2:16" ht="20.149999999999999" customHeight="1" x14ac:dyDescent="0.45">
      <c r="B19" s="34"/>
      <c r="C19" s="22" t="s">
        <v>1585</v>
      </c>
      <c r="D19" s="508" t="str">
        <f>VLOOKUP(C19,'Sales Master'!B$3:D$499,2,)</f>
        <v>Green Bean 绿豆</v>
      </c>
      <c r="E19" s="508"/>
      <c r="F19" s="508"/>
      <c r="G19" s="22">
        <v>3</v>
      </c>
      <c r="H19" s="389" t="str">
        <f>VLOOKUP(C19,'Sales Master'!B$3:F$3183,5,0)</f>
        <v>5 kgs</v>
      </c>
      <c r="I19" s="512" t="str">
        <f>VLOOKUP(C19,'Sales Master'!B$3:E$3183,4,0)</f>
        <v>-</v>
      </c>
      <c r="J19" s="512"/>
      <c r="K19" s="35">
        <f>VLOOKUP(C19,'Sales Master'!B$3:BL$499,54,0)</f>
        <v>13</v>
      </c>
      <c r="L19" s="77">
        <f>K19*G19</f>
        <v>39</v>
      </c>
      <c r="M19" s="78"/>
      <c r="N19" s="225">
        <f>VLOOKUP(C19,'Sales Master'!$B$3:$DA$3038,104,0)</f>
        <v>9.3999999999999986</v>
      </c>
      <c r="O19" s="225">
        <f>K19-N19</f>
        <v>3.6000000000000014</v>
      </c>
      <c r="P19" s="225">
        <f>O19*G19</f>
        <v>10.800000000000004</v>
      </c>
    </row>
    <row r="20" spans="2:16" ht="20.149999999999999" customHeight="1" x14ac:dyDescent="0.45">
      <c r="B20" s="34"/>
      <c r="C20" s="22" t="s">
        <v>1599</v>
      </c>
      <c r="D20" s="508" t="str">
        <f>VLOOKUP(C20,'Sales Master'!B$3:D$499,2,)</f>
        <v>Black Glutinous Rice 黑糯米</v>
      </c>
      <c r="E20" s="508"/>
      <c r="F20" s="508"/>
      <c r="G20" s="22">
        <v>2</v>
      </c>
      <c r="H20" s="389" t="str">
        <f>VLOOKUP(C20,'Sales Master'!B$3:F$3183,5,0)</f>
        <v>5 kgs</v>
      </c>
      <c r="I20" s="512" t="str">
        <f>VLOOKUP(C20,'Sales Master'!B$3:E$3183,4,0)</f>
        <v>-</v>
      </c>
      <c r="J20" s="512"/>
      <c r="K20" s="35">
        <f>VLOOKUP(C20,'Sales Master'!B$3:BL$499,54,0)</f>
        <v>18</v>
      </c>
      <c r="L20" s="77">
        <f>K20*G20</f>
        <v>36</v>
      </c>
      <c r="M20" s="78"/>
      <c r="N20" s="225">
        <f>VLOOKUP(C20,'Sales Master'!$B$3:$DA$3038,104,0)</f>
        <v>12</v>
      </c>
      <c r="O20" s="225">
        <f>K20-N20</f>
        <v>6</v>
      </c>
      <c r="P20" s="225">
        <f>O20*G20</f>
        <v>12</v>
      </c>
    </row>
    <row r="21" spans="2:16" ht="20.149999999999999" customHeight="1" x14ac:dyDescent="0.45">
      <c r="B21" s="34"/>
      <c r="C21" s="22"/>
      <c r="D21" s="508"/>
      <c r="E21" s="508"/>
      <c r="F21" s="508"/>
      <c r="G21" s="22"/>
      <c r="H21" s="68"/>
      <c r="I21" s="481"/>
      <c r="J21" s="481"/>
      <c r="K21" s="35"/>
      <c r="L21" s="77"/>
      <c r="M21" s="78"/>
      <c r="N21" s="225"/>
      <c r="O21" s="225"/>
      <c r="P21" s="225"/>
    </row>
    <row r="22" spans="2:16" ht="20.149999999999999" customHeight="1" x14ac:dyDescent="0.45">
      <c r="B22" s="34"/>
      <c r="C22" s="230"/>
      <c r="G22" s="22"/>
      <c r="H22" s="68"/>
      <c r="I22" s="481"/>
      <c r="J22" s="481"/>
      <c r="K22" s="35"/>
      <c r="L22" s="77"/>
      <c r="M22" s="78"/>
    </row>
    <row r="23" spans="2:16" ht="20.149999999999999" customHeight="1" x14ac:dyDescent="0.45">
      <c r="B23" s="34"/>
      <c r="C23" s="230"/>
      <c r="G23" s="22"/>
      <c r="H23" s="68"/>
      <c r="I23" s="68"/>
      <c r="J23" s="68"/>
      <c r="K23" s="35"/>
      <c r="L23" s="77"/>
      <c r="M23" s="78"/>
    </row>
    <row r="24" spans="2:16" ht="20.149999999999999" customHeight="1" x14ac:dyDescent="0.45">
      <c r="B24" s="34"/>
      <c r="C24" s="230"/>
      <c r="G24" s="22"/>
      <c r="H24" s="68"/>
      <c r="I24" s="68"/>
      <c r="J24" s="68"/>
      <c r="K24" s="35"/>
      <c r="L24" s="77"/>
      <c r="M24" s="78"/>
    </row>
    <row r="25" spans="2:16" ht="20.149999999999999" customHeight="1" x14ac:dyDescent="0.45">
      <c r="B25" s="34"/>
      <c r="C25" s="22"/>
      <c r="D25" s="508"/>
      <c r="E25" s="508"/>
      <c r="F25" s="508"/>
      <c r="G25" s="22"/>
      <c r="H25" s="68"/>
      <c r="I25" s="481"/>
      <c r="J25" s="481"/>
      <c r="K25" s="35"/>
      <c r="L25" s="77"/>
      <c r="M25" s="78"/>
      <c r="N25" s="125"/>
    </row>
    <row r="26" spans="2:16" ht="20.149999999999999" customHeight="1" thickBot="1" x14ac:dyDescent="0.5">
      <c r="B26" s="37"/>
      <c r="C26" s="38"/>
      <c r="D26" s="509"/>
      <c r="E26" s="509"/>
      <c r="F26" s="509"/>
      <c r="G26" s="38"/>
      <c r="H26" s="69"/>
      <c r="I26" s="451"/>
      <c r="J26" s="451"/>
      <c r="K26" s="39"/>
      <c r="L26" s="40"/>
    </row>
    <row r="27" spans="2:16" ht="20.149999999999999" customHeight="1" thickBot="1" x14ac:dyDescent="0.5">
      <c r="B27" s="41"/>
      <c r="L27" s="42"/>
    </row>
    <row r="28" spans="2:16" ht="20.149999999999999" customHeight="1" x14ac:dyDescent="0.45">
      <c r="B28" s="11" t="s">
        <v>18</v>
      </c>
      <c r="C28" s="7"/>
      <c r="D28" s="7"/>
      <c r="E28" s="7"/>
      <c r="F28" s="7"/>
      <c r="G28" s="7"/>
      <c r="H28" s="7"/>
      <c r="I28" s="7"/>
      <c r="J28" s="510" t="s">
        <v>15</v>
      </c>
      <c r="K28" s="511"/>
      <c r="L28" s="43">
        <f>SUM(L17:L26)</f>
        <v>84.5</v>
      </c>
      <c r="M28" s="76">
        <f>SUM(P18:P26)-L28*0.02</f>
        <v>23.170000000000005</v>
      </c>
    </row>
    <row r="29" spans="2:16" ht="20.149999999999999" customHeight="1" x14ac:dyDescent="0.45">
      <c r="B29" s="11" t="s">
        <v>19</v>
      </c>
      <c r="C29" s="7"/>
      <c r="D29" s="7"/>
      <c r="E29" s="7"/>
      <c r="F29" s="7"/>
      <c r="G29" s="7"/>
      <c r="H29" s="7"/>
      <c r="I29" s="7"/>
      <c r="J29" s="44" t="s">
        <v>22</v>
      </c>
      <c r="K29" s="45"/>
      <c r="L29" s="46">
        <f>L28*K29</f>
        <v>0</v>
      </c>
    </row>
    <row r="30" spans="2:16" ht="20.149999999999999" customHeight="1" x14ac:dyDescent="0.45">
      <c r="B30" s="11" t="s">
        <v>20</v>
      </c>
      <c r="C30" s="7"/>
      <c r="D30" s="7"/>
      <c r="E30" s="7"/>
      <c r="F30" s="7"/>
      <c r="G30" s="7"/>
      <c r="H30" s="7"/>
      <c r="I30" s="7"/>
      <c r="J30" s="486" t="s">
        <v>21</v>
      </c>
      <c r="K30" s="487"/>
      <c r="L30" s="46">
        <f>L28-L29</f>
        <v>84.5</v>
      </c>
    </row>
    <row r="31" spans="2:16" ht="20.149999999999999" customHeight="1" x14ac:dyDescent="0.45">
      <c r="B31" s="11" t="s">
        <v>24</v>
      </c>
      <c r="C31" s="7"/>
      <c r="D31" s="7"/>
      <c r="E31" s="7"/>
      <c r="F31" s="7"/>
      <c r="G31" s="7"/>
      <c r="H31" s="7"/>
      <c r="I31" s="7"/>
      <c r="J31" s="150" t="s">
        <v>17</v>
      </c>
      <c r="K31" s="151">
        <v>7.0000000000000007E-2</v>
      </c>
      <c r="L31" s="47">
        <f>L30*K31</f>
        <v>5.9150000000000009</v>
      </c>
    </row>
    <row r="32" spans="2:16" ht="20.149999999999999" customHeight="1" thickBot="1" x14ac:dyDescent="0.5">
      <c r="B32" s="11" t="s">
        <v>25</v>
      </c>
      <c r="C32" s="7"/>
      <c r="D32" s="7"/>
      <c r="E32" s="7"/>
      <c r="F32" s="7"/>
      <c r="G32" s="7"/>
      <c r="H32" s="7"/>
      <c r="I32" s="7"/>
      <c r="J32" s="488" t="s">
        <v>23</v>
      </c>
      <c r="K32" s="489"/>
      <c r="L32" s="48">
        <f>L30+L31</f>
        <v>90.415000000000006</v>
      </c>
    </row>
    <row r="33" spans="2:12" ht="20.149999999999999" customHeight="1" x14ac:dyDescent="0.45">
      <c r="B33" s="11" t="s">
        <v>26</v>
      </c>
      <c r="C33" s="7"/>
      <c r="D33" s="7"/>
      <c r="E33" s="7"/>
      <c r="F33" s="7"/>
      <c r="G33" s="7"/>
      <c r="H33" s="7"/>
      <c r="I33" s="7"/>
      <c r="L33" s="42"/>
    </row>
    <row r="34" spans="2:12" ht="20.149999999999999" customHeight="1" x14ac:dyDescent="0.45">
      <c r="B34" s="41"/>
      <c r="L34" s="42"/>
    </row>
    <row r="35" spans="2:12" ht="20.149999999999999" customHeight="1" x14ac:dyDescent="0.45">
      <c r="B35" s="41"/>
      <c r="L35" s="42"/>
    </row>
    <row r="36" spans="2:12" ht="20.149999999999999" customHeight="1" x14ac:dyDescent="0.45">
      <c r="B36" s="41"/>
      <c r="L36" s="42"/>
    </row>
    <row r="37" spans="2:12" ht="20.149999999999999" customHeight="1" x14ac:dyDescent="0.45">
      <c r="B37" s="41"/>
      <c r="L37" s="42"/>
    </row>
    <row r="38" spans="2:12" ht="20.149999999999999" customHeight="1" x14ac:dyDescent="0.45">
      <c r="B38" s="49"/>
      <c r="C38" s="50"/>
      <c r="D38" s="50"/>
      <c r="J38" s="50"/>
      <c r="K38" s="50"/>
      <c r="L38" s="51"/>
    </row>
    <row r="39" spans="2:12" ht="20.149999999999999" customHeight="1" x14ac:dyDescent="0.45">
      <c r="B39" s="41" t="s">
        <v>27</v>
      </c>
      <c r="J39" s="24" t="s">
        <v>28</v>
      </c>
      <c r="L39" s="42"/>
    </row>
    <row r="40" spans="2:12" ht="19" thickBot="1" x14ac:dyDescent="0.5">
      <c r="B40" s="52"/>
      <c r="C40" s="53"/>
      <c r="D40" s="53"/>
      <c r="E40" s="53"/>
      <c r="F40" s="53"/>
      <c r="G40" s="53"/>
      <c r="H40" s="53"/>
      <c r="I40" s="53"/>
      <c r="J40" s="53"/>
      <c r="K40" s="53"/>
      <c r="L40" s="54"/>
    </row>
  </sheetData>
  <mergeCells count="31">
    <mergeCell ref="B1:L8"/>
    <mergeCell ref="D17:F17"/>
    <mergeCell ref="I17:J1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  <mergeCell ref="D19:F19"/>
    <mergeCell ref="I19:J19"/>
    <mergeCell ref="I22:J22"/>
    <mergeCell ref="D18:F18"/>
    <mergeCell ref="I18:J18"/>
    <mergeCell ref="D20:F20"/>
    <mergeCell ref="I20:J20"/>
    <mergeCell ref="D21:F21"/>
    <mergeCell ref="I21:J21"/>
    <mergeCell ref="J30:K30"/>
    <mergeCell ref="J32:K32"/>
    <mergeCell ref="D26:F26"/>
    <mergeCell ref="I26:J26"/>
    <mergeCell ref="D25:F25"/>
    <mergeCell ref="I25:J25"/>
    <mergeCell ref="J28:K28"/>
  </mergeCells>
  <pageMargins left="0.70866141732283472" right="0.31496062992125984" top="0.59055118110236227" bottom="0" header="0.31496062992125984" footer="0.31496062992125984"/>
  <pageSetup paperSize="9" scale="75" orientation="portrait" horizontalDpi="300" verticalDpi="300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57D5C3-88E8-4665-9295-14D8729A97FA}">
  <sheetPr codeName="Sheet56">
    <tabColor rgb="FF92D050"/>
    <pageSetUpPr fitToPage="1"/>
  </sheetPr>
  <dimension ref="B1:P45"/>
  <sheetViews>
    <sheetView workbookViewId="0">
      <selection activeCell="N17" sqref="N17:Q18"/>
    </sheetView>
  </sheetViews>
  <sheetFormatPr defaultColWidth="12.54296875" defaultRowHeight="18.5" x14ac:dyDescent="0.45"/>
  <cols>
    <col min="1" max="1" width="12.54296875" style="24"/>
    <col min="2" max="3" width="12.54296875" style="24" customWidth="1"/>
    <col min="4" max="4" width="13.453125" style="24" customWidth="1"/>
    <col min="5" max="5" width="1.54296875" style="24" customWidth="1"/>
    <col min="6" max="6" width="16.54296875" style="24" customWidth="1"/>
    <col min="7" max="7" width="8.54296875" style="24" customWidth="1"/>
    <col min="8" max="8" width="16.81640625" style="24" customWidth="1"/>
    <col min="9" max="9" width="1.54296875" style="24" customWidth="1"/>
    <col min="10" max="10" width="15.54296875" style="24" customWidth="1"/>
    <col min="11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161</v>
      </c>
      <c r="J10" s="29" t="s">
        <v>29</v>
      </c>
      <c r="K10" s="452">
        <v>202104386</v>
      </c>
      <c r="L10" s="453"/>
    </row>
    <row r="11" spans="2:12" ht="20.149999999999999" customHeight="1" x14ac:dyDescent="0.45">
      <c r="B11" s="454" t="s">
        <v>1403</v>
      </c>
      <c r="C11" s="455"/>
      <c r="D11" s="456"/>
      <c r="E11" s="30"/>
      <c r="F11" s="457" t="str">
        <f>VLOOKUP(H10,'Delivery Location'!A$4:N$416,2,0)</f>
        <v>Combined Stalls                                          No 1 Harbourfont Centre, Maritime Centre #03-01/04 Singapore 099253</v>
      </c>
      <c r="G11" s="458"/>
      <c r="H11" s="459"/>
      <c r="J11" s="31" t="s">
        <v>11</v>
      </c>
      <c r="K11" s="551">
        <v>44307</v>
      </c>
      <c r="L11" s="472"/>
    </row>
    <row r="12" spans="2:12" ht="20.149999999999999" customHeight="1" x14ac:dyDescent="0.45">
      <c r="B12" s="468" t="s">
        <v>869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1873</v>
      </c>
      <c r="L12" s="472"/>
    </row>
    <row r="13" spans="2:12" ht="20.149999999999999" customHeight="1" x14ac:dyDescent="0.45">
      <c r="B13" s="468" t="s">
        <v>870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1166</v>
      </c>
      <c r="L13" s="472"/>
    </row>
    <row r="14" spans="2:12" ht="20.149999999999999" customHeight="1" x14ac:dyDescent="0.45">
      <c r="B14" s="468" t="s">
        <v>871</v>
      </c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473" t="s">
        <v>872</v>
      </c>
      <c r="C15" s="474"/>
      <c r="D15" s="475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16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16" ht="20.149999999999999" customHeight="1" x14ac:dyDescent="0.45">
      <c r="B18" s="70" t="s">
        <v>79</v>
      </c>
      <c r="C18" s="22" t="str">
        <f>VLOOKUP(B18,'Sales Master'!A$3:B$581,2,0)</f>
        <v>P3001B</v>
      </c>
      <c r="D18" s="508" t="str">
        <f>VLOOKUP(C18,'Sales Master'!B$3:D$499,2,)</f>
        <v>Atap Seeds in Syrup亚嗒子</v>
      </c>
      <c r="E18" s="508"/>
      <c r="F18" s="508"/>
      <c r="G18" s="91">
        <v>1</v>
      </c>
      <c r="H18" s="68" t="str">
        <f>VLOOKUP(C18,'Sales Master'!$B$3:$F$3247,5,0)</f>
        <v>NW (1.6:0.6) 2.2 kgs</v>
      </c>
      <c r="I18" s="481" t="str">
        <f>VLOOKUP(C18,'Sales Master'!$B$3:$E$3247,4,0)</f>
        <v>DO!</v>
      </c>
      <c r="J18" s="481"/>
      <c r="K18" s="35">
        <f>VLOOKUP(C18,'Sales Master'!B$3:I$581,8,0)</f>
        <v>10</v>
      </c>
      <c r="L18" s="123">
        <f>K18*G18</f>
        <v>10</v>
      </c>
      <c r="M18" s="78"/>
      <c r="N18" s="225">
        <f>VLOOKUP(C18,'Sales Master'!$B$3:$DA$3038,104,0)</f>
        <v>4.8240000000000007</v>
      </c>
      <c r="O18" s="225">
        <f>K18-N18</f>
        <v>5.1759999999999993</v>
      </c>
      <c r="P18" s="225">
        <f>O18*G18</f>
        <v>5.1759999999999993</v>
      </c>
    </row>
    <row r="19" spans="2:16" ht="20.149999999999999" customHeight="1" x14ac:dyDescent="0.45">
      <c r="B19" s="70" t="s">
        <v>69</v>
      </c>
      <c r="C19" s="22" t="str">
        <f>VLOOKUP(B19,'Sales Master'!A$3:B$581,2,0)</f>
        <v>P3002</v>
      </c>
      <c r="D19" s="508" t="str">
        <f>VLOOKUP(C19,'Sales Master'!B$3:D$499,2,)</f>
        <v>Chin Chow  仙草</v>
      </c>
      <c r="E19" s="508"/>
      <c r="F19" s="508"/>
      <c r="G19" s="91">
        <v>2</v>
      </c>
      <c r="H19" s="68" t="str">
        <f>VLOOKUP(C19,'Sales Master'!$B$3:$F$3247,5,0)</f>
        <v>5KGS/PKT</v>
      </c>
      <c r="I19" s="481" t="str">
        <f>VLOOKUP(C19,'Sales Master'!$B$3:$E$3247,4,0)</f>
        <v>TSM</v>
      </c>
      <c r="J19" s="481"/>
      <c r="K19" s="35">
        <f>VLOOKUP(C19,'Sales Master'!B$3:I$581,8,0)</f>
        <v>4.5</v>
      </c>
      <c r="L19" s="123">
        <f>K19*G19</f>
        <v>9</v>
      </c>
      <c r="M19" s="78"/>
      <c r="N19" s="225">
        <f>VLOOKUP(C19,'Sales Master'!$B$3:$DA$3038,104,0)</f>
        <v>4</v>
      </c>
      <c r="O19" s="225">
        <f>K19-N19</f>
        <v>0.5</v>
      </c>
      <c r="P19" s="225">
        <f>O19*G19</f>
        <v>1</v>
      </c>
    </row>
    <row r="20" spans="2:16" ht="20.149999999999999" customHeight="1" x14ac:dyDescent="0.45">
      <c r="B20" s="70" t="s">
        <v>70</v>
      </c>
      <c r="C20" s="22" t="str">
        <f>VLOOKUP(B20,'Sales Master'!A$3:B$581,2,0)</f>
        <v>M1014</v>
      </c>
      <c r="D20" s="508" t="str">
        <f>VLOOKUP(C20,'Sales Master'!B$3:D$499,2,)</f>
        <v>Chendol浆咯</v>
      </c>
      <c r="E20" s="508"/>
      <c r="F20" s="508"/>
      <c r="G20" s="91">
        <v>1</v>
      </c>
      <c r="H20" s="68" t="str">
        <f>VLOOKUP(C20,'Sales Master'!$B$3:$F$3247,5,0)</f>
        <v>NW(2.2:0.8) 3 KG/BAG</v>
      </c>
      <c r="I20" s="481" t="str">
        <f>VLOOKUP(C20,'Sales Master'!$B$3:$E$3247,4,0)</f>
        <v>DO!</v>
      </c>
      <c r="J20" s="481"/>
      <c r="K20" s="35">
        <f>VLOOKUP(C20,'Sales Master'!B$3:I$581,8,0)</f>
        <v>6.5</v>
      </c>
      <c r="L20" s="77">
        <f>K20*G20</f>
        <v>6.5</v>
      </c>
      <c r="M20" s="78"/>
      <c r="N20" s="225">
        <f>VLOOKUP(C20,'Sales Master'!$B$3:$DA$3038,104,0)</f>
        <v>1.85</v>
      </c>
      <c r="O20" s="225">
        <f>K20-N20</f>
        <v>4.6500000000000004</v>
      </c>
      <c r="P20" s="225">
        <f>O20*G20</f>
        <v>4.6500000000000004</v>
      </c>
    </row>
    <row r="21" spans="2:16" ht="20.149999999999999" customHeight="1" x14ac:dyDescent="0.45">
      <c r="B21" s="70" t="s">
        <v>80</v>
      </c>
      <c r="C21" s="22" t="e">
        <f>VLOOKUP(B21,'Sales Master'!A$3:B$581,2,0)</f>
        <v>#N/A</v>
      </c>
      <c r="D21" s="508" t="e">
        <f>VLOOKUP(C21,'Sales Master'!B$3:D$499,2,)</f>
        <v>#N/A</v>
      </c>
      <c r="E21" s="508"/>
      <c r="F21" s="508"/>
      <c r="G21" s="91">
        <v>1</v>
      </c>
      <c r="H21" s="68" t="e">
        <f>VLOOKUP(C21,'Sales Master'!$B$3:$F$3247,5,0)</f>
        <v>#N/A</v>
      </c>
      <c r="I21" s="481" t="e">
        <f>VLOOKUP(C21,'Sales Master'!$B$3:$E$3247,4,0)</f>
        <v>#N/A</v>
      </c>
      <c r="J21" s="481"/>
      <c r="K21" s="35" t="e">
        <f>VLOOKUP(C21,'Sales Master'!B$3:I$581,8,0)</f>
        <v>#N/A</v>
      </c>
      <c r="L21" s="77" t="e">
        <f>K21*G21</f>
        <v>#N/A</v>
      </c>
      <c r="M21" s="78"/>
      <c r="N21" s="225" t="e">
        <f>VLOOKUP(C21,'Sales Master'!$B$3:$DA$3038,104,0)</f>
        <v>#N/A</v>
      </c>
      <c r="O21" s="225" t="e">
        <f>K21-N21</f>
        <v>#N/A</v>
      </c>
      <c r="P21" s="225" t="e">
        <f>O21*G21</f>
        <v>#N/A</v>
      </c>
    </row>
    <row r="22" spans="2:16" ht="20.149999999999999" customHeight="1" x14ac:dyDescent="0.45">
      <c r="B22" s="70" t="s">
        <v>104</v>
      </c>
      <c r="C22" s="22" t="str">
        <f>VLOOKUP(B22,'Sales Master'!A$3:B$581,2,0)</f>
        <v>P5008</v>
      </c>
      <c r="D22" s="508" t="str">
        <f>VLOOKUP(C22,'Sales Master'!B$3:D$499,2,)</f>
        <v>Coconut Sugar椰糖</v>
      </c>
      <c r="E22" s="508"/>
      <c r="F22" s="508"/>
      <c r="G22" s="91">
        <v>1</v>
      </c>
      <c r="H22" s="68" t="str">
        <f>VLOOKUP(C22,'Sales Master'!$B$3:$F$3247,5,0)</f>
        <v>10kgs/ctn</v>
      </c>
      <c r="I22" s="481" t="str">
        <f>VLOOKUP(C22,'Sales Master'!$B$3:$E$3247,4,0)</f>
        <v>BL BRAND</v>
      </c>
      <c r="J22" s="481"/>
      <c r="K22" s="35">
        <f>VLOOKUP(C22,'Sales Master'!B$3:I$581,8,0)</f>
        <v>32</v>
      </c>
      <c r="L22" s="77">
        <f>K22*G22</f>
        <v>32</v>
      </c>
      <c r="M22" s="78"/>
      <c r="N22" s="225">
        <f>VLOOKUP(C22,'Sales Master'!$B$3:$DA$3038,104,0)</f>
        <v>28</v>
      </c>
      <c r="O22" s="225">
        <f>K22-N22</f>
        <v>4</v>
      </c>
      <c r="P22" s="225">
        <f>O22*G22</f>
        <v>4</v>
      </c>
    </row>
    <row r="23" spans="2:16" ht="20.149999999999999" customHeight="1" x14ac:dyDescent="0.45">
      <c r="B23" s="70"/>
      <c r="C23" s="22"/>
      <c r="D23" s="508"/>
      <c r="E23" s="508"/>
      <c r="F23" s="508"/>
      <c r="G23" s="91"/>
      <c r="H23" s="68"/>
      <c r="I23" s="481"/>
      <c r="J23" s="481"/>
      <c r="K23" s="35"/>
      <c r="L23" s="123"/>
      <c r="M23" s="78"/>
    </row>
    <row r="24" spans="2:16" ht="20.149999999999999" customHeight="1" x14ac:dyDescent="0.45">
      <c r="B24" s="70"/>
      <c r="C24" s="22"/>
      <c r="D24" s="508"/>
      <c r="E24" s="508"/>
      <c r="F24" s="508"/>
      <c r="G24" s="91"/>
      <c r="H24" s="68"/>
      <c r="I24" s="481"/>
      <c r="J24" s="481"/>
      <c r="K24" s="35"/>
      <c r="L24" s="123"/>
      <c r="M24" s="78"/>
    </row>
    <row r="25" spans="2:16" ht="20.149999999999999" customHeight="1" x14ac:dyDescent="0.45">
      <c r="B25" s="70"/>
      <c r="C25" s="22"/>
      <c r="D25" s="508"/>
      <c r="E25" s="508"/>
      <c r="F25" s="508"/>
      <c r="G25" s="91"/>
      <c r="H25" s="68"/>
      <c r="I25" s="481"/>
      <c r="J25" s="481"/>
      <c r="K25" s="35"/>
      <c r="L25" s="123"/>
      <c r="M25" s="78"/>
    </row>
    <row r="26" spans="2:16" ht="20.149999999999999" customHeight="1" x14ac:dyDescent="0.45">
      <c r="B26" s="70"/>
      <c r="C26" s="22"/>
      <c r="D26" s="508"/>
      <c r="E26" s="508"/>
      <c r="F26" s="508"/>
      <c r="G26" s="91"/>
      <c r="H26" s="68"/>
      <c r="I26" s="481"/>
      <c r="J26" s="481"/>
      <c r="K26" s="35"/>
      <c r="L26" s="77"/>
      <c r="M26" s="78"/>
    </row>
    <row r="27" spans="2:16" ht="20.149999999999999" customHeight="1" x14ac:dyDescent="0.45">
      <c r="B27" s="70"/>
      <c r="C27" s="22"/>
      <c r="D27" s="508"/>
      <c r="E27" s="508"/>
      <c r="F27" s="508"/>
      <c r="G27" s="91"/>
      <c r="H27" s="68"/>
      <c r="I27" s="481"/>
      <c r="J27" s="481"/>
      <c r="K27" s="35"/>
      <c r="L27" s="77"/>
    </row>
    <row r="28" spans="2:16" ht="20.149999999999999" customHeight="1" x14ac:dyDescent="0.45">
      <c r="B28" s="70"/>
      <c r="C28" s="22"/>
      <c r="D28" s="508"/>
      <c r="E28" s="508"/>
      <c r="F28" s="508"/>
      <c r="G28" s="91"/>
      <c r="H28" s="68"/>
      <c r="I28" s="481"/>
      <c r="J28" s="481"/>
      <c r="K28" s="35"/>
      <c r="L28" s="77"/>
    </row>
    <row r="29" spans="2:16" ht="20.149999999999999" customHeight="1" x14ac:dyDescent="0.45">
      <c r="B29" s="70"/>
      <c r="C29" s="22"/>
      <c r="D29" s="508"/>
      <c r="E29" s="508"/>
      <c r="F29" s="508"/>
      <c r="G29" s="22"/>
      <c r="H29" s="68"/>
      <c r="I29" s="481"/>
      <c r="J29" s="481"/>
      <c r="K29" s="35"/>
      <c r="L29" s="77"/>
    </row>
    <row r="30" spans="2:16" ht="20.149999999999999" customHeight="1" x14ac:dyDescent="0.45">
      <c r="B30" s="70"/>
      <c r="C30" s="22"/>
      <c r="G30" s="22"/>
      <c r="H30" s="68"/>
      <c r="I30" s="68"/>
      <c r="J30" s="68"/>
      <c r="K30" s="35"/>
      <c r="L30" s="77"/>
    </row>
    <row r="31" spans="2:16" ht="20.149999999999999" customHeight="1" thickBot="1" x14ac:dyDescent="0.5">
      <c r="B31" s="37"/>
      <c r="C31" s="38"/>
      <c r="D31" s="509"/>
      <c r="E31" s="509"/>
      <c r="F31" s="509"/>
      <c r="G31" s="38"/>
      <c r="H31" s="69"/>
      <c r="I31" s="557"/>
      <c r="J31" s="557"/>
      <c r="K31" s="39"/>
      <c r="L31" s="40"/>
    </row>
    <row r="32" spans="2:16" ht="20.149999999999999" customHeight="1" thickBot="1" x14ac:dyDescent="0.5">
      <c r="B32" s="41"/>
      <c r="L32" s="42"/>
    </row>
    <row r="33" spans="2:14" ht="20.149999999999999" customHeight="1" x14ac:dyDescent="0.45">
      <c r="B33" s="11" t="s">
        <v>18</v>
      </c>
      <c r="C33" s="7"/>
      <c r="D33" s="7" t="s">
        <v>720</v>
      </c>
      <c r="E33" s="7"/>
      <c r="F33" s="7"/>
      <c r="G33" s="7"/>
      <c r="H33" s="7"/>
      <c r="I33" s="7"/>
      <c r="J33" s="510" t="s">
        <v>15</v>
      </c>
      <c r="K33" s="511"/>
      <c r="L33" s="43" t="e">
        <f>SUM(L18:L30)</f>
        <v>#N/A</v>
      </c>
      <c r="M33" s="76" t="e">
        <f>SUM(P18:P31)</f>
        <v>#N/A</v>
      </c>
      <c r="N33" s="201" t="e">
        <f>M33/L33</f>
        <v>#N/A</v>
      </c>
    </row>
    <row r="34" spans="2:14" ht="20.149999999999999" customHeight="1" x14ac:dyDescent="0.45">
      <c r="B34" s="11" t="s">
        <v>19</v>
      </c>
      <c r="C34" s="7"/>
      <c r="D34" s="7"/>
      <c r="E34" s="7"/>
      <c r="F34" s="7"/>
      <c r="G34" s="7"/>
      <c r="H34" s="7"/>
      <c r="I34" s="7"/>
      <c r="J34" s="44" t="s">
        <v>22</v>
      </c>
      <c r="K34" s="45"/>
      <c r="L34" s="46" t="e">
        <f>L33*K34</f>
        <v>#N/A</v>
      </c>
    </row>
    <row r="35" spans="2:14" ht="20.149999999999999" customHeight="1" x14ac:dyDescent="0.45">
      <c r="B35" s="11" t="s">
        <v>20</v>
      </c>
      <c r="C35" s="7"/>
      <c r="D35" s="7"/>
      <c r="E35" s="7"/>
      <c r="F35" s="7"/>
      <c r="G35" s="7"/>
      <c r="H35" s="7"/>
      <c r="I35" s="7"/>
      <c r="J35" s="486" t="s">
        <v>21</v>
      </c>
      <c r="K35" s="487"/>
      <c r="L35" s="46" t="e">
        <f>L33-L34</f>
        <v>#N/A</v>
      </c>
    </row>
    <row r="36" spans="2:14" ht="20.149999999999999" customHeight="1" x14ac:dyDescent="0.45">
      <c r="B36" s="11" t="s">
        <v>24</v>
      </c>
      <c r="C36" s="7"/>
      <c r="D36" s="7"/>
      <c r="E36" s="7"/>
      <c r="F36" s="7"/>
      <c r="G36" s="7"/>
      <c r="H36" s="7"/>
      <c r="I36" s="7"/>
      <c r="J36" s="150" t="s">
        <v>17</v>
      </c>
      <c r="K36" s="151">
        <v>7.0000000000000007E-2</v>
      </c>
      <c r="L36" s="47" t="e">
        <f>L35*K36</f>
        <v>#N/A</v>
      </c>
    </row>
    <row r="37" spans="2:14" ht="20.149999999999999" customHeight="1" thickBot="1" x14ac:dyDescent="0.5">
      <c r="B37" s="11" t="s">
        <v>25</v>
      </c>
      <c r="C37" s="7"/>
      <c r="D37" s="7"/>
      <c r="E37" s="7"/>
      <c r="F37" s="7"/>
      <c r="G37" s="7"/>
      <c r="H37" s="7"/>
      <c r="I37" s="7"/>
      <c r="J37" s="488" t="s">
        <v>23</v>
      </c>
      <c r="K37" s="489"/>
      <c r="L37" s="48" t="e">
        <f>L35+L36</f>
        <v>#N/A</v>
      </c>
    </row>
    <row r="38" spans="2:14" ht="20.149999999999999" customHeight="1" x14ac:dyDescent="0.45">
      <c r="B38" s="11" t="s">
        <v>26</v>
      </c>
      <c r="C38" s="7"/>
      <c r="D38" s="7"/>
      <c r="E38" s="7"/>
      <c r="F38" s="7"/>
      <c r="G38" s="7"/>
      <c r="H38" s="7"/>
      <c r="I38" s="7"/>
      <c r="L38" s="42"/>
    </row>
    <row r="39" spans="2:14" ht="20.149999999999999" customHeight="1" x14ac:dyDescent="0.45">
      <c r="B39" s="41"/>
      <c r="L39" s="42"/>
    </row>
    <row r="40" spans="2:14" ht="20.149999999999999" customHeight="1" x14ac:dyDescent="0.45">
      <c r="B40" s="41"/>
      <c r="L40" s="42"/>
    </row>
    <row r="41" spans="2:14" ht="20.149999999999999" customHeight="1" x14ac:dyDescent="0.45">
      <c r="B41" s="41"/>
      <c r="L41" s="42"/>
    </row>
    <row r="42" spans="2:14" ht="20.149999999999999" customHeight="1" x14ac:dyDescent="0.45">
      <c r="B42" s="41"/>
      <c r="L42" s="42"/>
    </row>
    <row r="43" spans="2:14" ht="20.149999999999999" customHeight="1" x14ac:dyDescent="0.45">
      <c r="B43" s="49"/>
      <c r="C43" s="50"/>
      <c r="D43" s="50"/>
      <c r="J43" s="50"/>
      <c r="K43" s="50"/>
      <c r="L43" s="51"/>
    </row>
    <row r="44" spans="2:14" ht="20.149999999999999" customHeight="1" x14ac:dyDescent="0.45">
      <c r="B44" s="41" t="s">
        <v>27</v>
      </c>
      <c r="J44" s="24" t="s">
        <v>28</v>
      </c>
      <c r="L44" s="42"/>
    </row>
    <row r="45" spans="2:14" ht="19" thickBot="1" x14ac:dyDescent="0.5">
      <c r="B45" s="52"/>
      <c r="C45" s="53"/>
      <c r="D45" s="53"/>
      <c r="E45" s="53"/>
      <c r="F45" s="53"/>
      <c r="G45" s="53"/>
      <c r="H45" s="53"/>
      <c r="I45" s="53"/>
      <c r="J45" s="53"/>
      <c r="K45" s="53"/>
      <c r="L45" s="54"/>
    </row>
  </sheetData>
  <mergeCells count="44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I17:J17"/>
    <mergeCell ref="D20:F20"/>
    <mergeCell ref="I20:J20"/>
    <mergeCell ref="D18:F18"/>
    <mergeCell ref="I19:J19"/>
    <mergeCell ref="D19:F19"/>
    <mergeCell ref="I18:J18"/>
    <mergeCell ref="I27:J27"/>
    <mergeCell ref="D29:F29"/>
    <mergeCell ref="I29:J29"/>
    <mergeCell ref="D27:F27"/>
    <mergeCell ref="D28:F28"/>
    <mergeCell ref="I28:J28"/>
    <mergeCell ref="J37:K37"/>
    <mergeCell ref="J33:K33"/>
    <mergeCell ref="J35:K35"/>
    <mergeCell ref="D31:F31"/>
    <mergeCell ref="I31:J31"/>
    <mergeCell ref="D26:F26"/>
    <mergeCell ref="D23:F23"/>
    <mergeCell ref="I23:J23"/>
    <mergeCell ref="D21:F21"/>
    <mergeCell ref="I21:J21"/>
    <mergeCell ref="I26:J26"/>
    <mergeCell ref="D22:F22"/>
    <mergeCell ref="I22:J22"/>
    <mergeCell ref="D24:F24"/>
    <mergeCell ref="I24:J24"/>
    <mergeCell ref="D25:F25"/>
    <mergeCell ref="I25:J25"/>
  </mergeCells>
  <hyperlinks>
    <hyperlink ref="B15" r:id="rId1" xr:uid="{9E261805-A805-4C9F-A72C-31B7F95719B3}"/>
  </hyperlinks>
  <pageMargins left="0.70866141732283472" right="0.31496062992125984" top="0.59055118110236227" bottom="0" header="0.31496062992125984" footer="0.31496062992125984"/>
  <pageSetup paperSize="9" scale="73" orientation="portrait" verticalDpi="300" r:id="rId2"/>
  <drawing r:id="rId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DB0032-A5C2-4332-9071-3C72CC23F145}">
  <sheetPr codeName="Sheet57">
    <tabColor rgb="FF92D050"/>
    <pageSetUpPr fitToPage="1"/>
  </sheetPr>
  <dimension ref="B1:Q49"/>
  <sheetViews>
    <sheetView workbookViewId="0">
      <selection activeCell="B1" sqref="B1:L49"/>
    </sheetView>
  </sheetViews>
  <sheetFormatPr defaultColWidth="12.54296875" defaultRowHeight="18.5" x14ac:dyDescent="0.45"/>
  <cols>
    <col min="1" max="1" width="12.54296875" style="24"/>
    <col min="2" max="3" width="12.54296875" style="24" customWidth="1"/>
    <col min="4" max="4" width="14.26953125" style="24" customWidth="1"/>
    <col min="5" max="5" width="1.54296875" style="24" customWidth="1"/>
    <col min="6" max="6" width="17.453125" style="24" customWidth="1"/>
    <col min="7" max="7" width="8.54296875" style="24" customWidth="1"/>
    <col min="8" max="8" width="17.1796875" style="24" customWidth="1"/>
    <col min="9" max="9" width="2.54296875" style="24" customWidth="1"/>
    <col min="10" max="10" width="15.54296875" style="24" customWidth="1"/>
    <col min="11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168</v>
      </c>
      <c r="J10" s="29" t="s">
        <v>29</v>
      </c>
      <c r="K10" s="452">
        <v>202209454</v>
      </c>
      <c r="L10" s="453"/>
    </row>
    <row r="11" spans="2:12" ht="20.149999999999999" customHeight="1" x14ac:dyDescent="0.45">
      <c r="B11" s="454" t="s">
        <v>1404</v>
      </c>
      <c r="C11" s="455"/>
      <c r="D11" s="456"/>
      <c r="E11" s="30"/>
      <c r="F11" s="457" t="str">
        <f>VLOOKUP(H10,'Delivery Location'!A$4:N$416,2,0)</f>
        <v>Combined Stalls                                    Junction 8. 9 Bishan Place                            #04-01. Junction 8 Shopping Centre. Singapore 579837</v>
      </c>
      <c r="G11" s="458"/>
      <c r="H11" s="459"/>
      <c r="J11" s="31" t="s">
        <v>11</v>
      </c>
      <c r="K11" s="466">
        <v>44833</v>
      </c>
      <c r="L11" s="467"/>
    </row>
    <row r="12" spans="2:12" ht="20.149999999999999" customHeight="1" x14ac:dyDescent="0.45">
      <c r="B12" s="468" t="s">
        <v>869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2340</v>
      </c>
      <c r="L12" s="472"/>
    </row>
    <row r="13" spans="2:12" ht="20.149999999999999" customHeight="1" x14ac:dyDescent="0.45">
      <c r="B13" s="468" t="s">
        <v>870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1149</v>
      </c>
      <c r="L13" s="472"/>
    </row>
    <row r="14" spans="2:12" ht="20.149999999999999" customHeight="1" x14ac:dyDescent="0.45">
      <c r="B14" s="468" t="s">
        <v>871</v>
      </c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473" t="s">
        <v>872</v>
      </c>
      <c r="C15" s="474"/>
      <c r="D15" s="475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16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16" ht="20.149999999999999" customHeight="1" x14ac:dyDescent="0.45">
      <c r="B18" s="70" t="s">
        <v>70</v>
      </c>
      <c r="C18" s="22" t="str">
        <f>VLOOKUP(B18,'Sales Master'!A$3:B$581,2,0)</f>
        <v>M1014</v>
      </c>
      <c r="D18" s="480" t="str">
        <f>VLOOKUP(C18,'Sales Master'!B$3:D$499,2,)</f>
        <v>Chendol浆咯</v>
      </c>
      <c r="E18" s="480"/>
      <c r="F18" s="480"/>
      <c r="G18" s="90">
        <v>3</v>
      </c>
      <c r="H18" s="429" t="str">
        <f>VLOOKUP(C18,'Sales Master'!$B$3:$F$3179,5,0)</f>
        <v>NW(2.2:0.8) 3 KG/BAG</v>
      </c>
      <c r="I18" s="482" t="str">
        <f>VLOOKUP(C18,'Sales Master'!$B$3:$E$3179,4,0)</f>
        <v>DO!</v>
      </c>
      <c r="J18" s="482"/>
      <c r="K18" s="98">
        <f>VLOOKUP(C18,'Sales Master'!B$3:I$581,8,0)</f>
        <v>6.5</v>
      </c>
      <c r="L18" s="99">
        <f t="shared" ref="L18:L23" si="0">K18*G18</f>
        <v>19.5</v>
      </c>
      <c r="M18" s="78"/>
      <c r="N18" s="225">
        <f>VLOOKUP(C18,'Sales Master'!$B$3:$DA$3038,104,0)</f>
        <v>1.85</v>
      </c>
      <c r="O18" s="225">
        <f t="shared" ref="O18:O23" si="1">K18-N18</f>
        <v>4.6500000000000004</v>
      </c>
      <c r="P18" s="225">
        <f t="shared" ref="P18:P23" si="2">O18*G18</f>
        <v>13.950000000000001</v>
      </c>
    </row>
    <row r="19" spans="2:16" ht="20.149999999999999" customHeight="1" x14ac:dyDescent="0.45">
      <c r="B19" s="70" t="s">
        <v>79</v>
      </c>
      <c r="C19" s="22" t="str">
        <f>VLOOKUP(B19,'Sales Master'!A$3:B$581,2,0)</f>
        <v>P3001B</v>
      </c>
      <c r="D19" s="480" t="str">
        <f>VLOOKUP(C19,'Sales Master'!B$3:D$499,2,)</f>
        <v>Atap Seeds in Syrup亚嗒子</v>
      </c>
      <c r="E19" s="480"/>
      <c r="F19" s="480"/>
      <c r="G19" s="90">
        <v>3</v>
      </c>
      <c r="H19" s="389" t="str">
        <f>VLOOKUP(C19,'Sales Master'!$B$3:$F$3179,5,0)</f>
        <v>NW (1.6:0.6) 2.2 kgs</v>
      </c>
      <c r="I19" s="482" t="str">
        <f>VLOOKUP(C19,'Sales Master'!$B$3:$E$3179,4,0)</f>
        <v>DO!</v>
      </c>
      <c r="J19" s="482"/>
      <c r="K19" s="98">
        <f>VLOOKUP(C19,'Sales Master'!B$3:I$581,8,0)</f>
        <v>10</v>
      </c>
      <c r="L19" s="99">
        <f t="shared" si="0"/>
        <v>30</v>
      </c>
      <c r="M19" s="78"/>
      <c r="N19" s="225">
        <f>VLOOKUP(C19,'Sales Master'!$B$3:$DA$3038,104,0)</f>
        <v>4.8240000000000007</v>
      </c>
      <c r="O19" s="225">
        <f t="shared" si="1"/>
        <v>5.1759999999999993</v>
      </c>
      <c r="P19" s="225">
        <f t="shared" si="2"/>
        <v>15.527999999999999</v>
      </c>
    </row>
    <row r="20" spans="2:16" ht="20.149999999999999" customHeight="1" x14ac:dyDescent="0.45">
      <c r="B20" s="70" t="s">
        <v>69</v>
      </c>
      <c r="C20" s="22" t="str">
        <f>VLOOKUP(B20,'Sales Master'!A$3:B$581,2,0)</f>
        <v>P3002</v>
      </c>
      <c r="D20" s="480" t="str">
        <f>VLOOKUP(C20,'Sales Master'!B$3:D$499,2,)</f>
        <v>Chin Chow  仙草</v>
      </c>
      <c r="E20" s="480"/>
      <c r="F20" s="480"/>
      <c r="G20" s="90">
        <v>2</v>
      </c>
      <c r="H20" s="391" t="str">
        <f>VLOOKUP(C20,'Sales Master'!$B$3:$F$3179,5,0)</f>
        <v>5KGS/PKT</v>
      </c>
      <c r="I20" s="482" t="str">
        <f>VLOOKUP(C20,'Sales Master'!$B$3:$E$3179,4,0)</f>
        <v>TSM</v>
      </c>
      <c r="J20" s="482"/>
      <c r="K20" s="98">
        <f>VLOOKUP(C20,'Sales Master'!B$3:I$581,8,0)</f>
        <v>4.5</v>
      </c>
      <c r="L20" s="99">
        <f t="shared" si="0"/>
        <v>9</v>
      </c>
      <c r="M20" s="78"/>
      <c r="N20" s="225">
        <f>VLOOKUP(C20,'Sales Master'!$B$3:$DA$3038,104,0)</f>
        <v>4</v>
      </c>
      <c r="O20" s="225">
        <f t="shared" si="1"/>
        <v>0.5</v>
      </c>
      <c r="P20" s="225">
        <f t="shared" si="2"/>
        <v>1</v>
      </c>
    </row>
    <row r="21" spans="2:16" ht="20.149999999999999" customHeight="1" x14ac:dyDescent="0.45">
      <c r="B21" s="70" t="s">
        <v>93</v>
      </c>
      <c r="C21" s="22" t="str">
        <f>VLOOKUP(B21,'Sales Master'!A$3:B$581,2,0)</f>
        <v>P3005A</v>
      </c>
      <c r="D21" s="480" t="str">
        <f>VLOOKUP(C21,'Sales Master'!B$3:D$499,2,)</f>
        <v>Red Bean红豆 (5.5 mm)</v>
      </c>
      <c r="E21" s="480"/>
      <c r="F21" s="480"/>
      <c r="G21" s="90">
        <v>2</v>
      </c>
      <c r="H21" s="389" t="str">
        <f>VLOOKUP(C21,'Sales Master'!$B$3:$F$3179,5,0)</f>
        <v>5 kgs</v>
      </c>
      <c r="I21" s="482" t="str">
        <f>VLOOKUP(C21,'Sales Master'!$B$3:$E$3179,4,0)</f>
        <v>-</v>
      </c>
      <c r="J21" s="482"/>
      <c r="K21" s="98">
        <f>VLOOKUP(C21,'Sales Master'!B$3:I$581,8,0)</f>
        <v>20</v>
      </c>
      <c r="L21" s="99">
        <f t="shared" si="0"/>
        <v>40</v>
      </c>
      <c r="M21" s="78"/>
      <c r="N21" s="225">
        <f>VLOOKUP(C21,'Sales Master'!$B$3:$DA$3038,104,0)</f>
        <v>17</v>
      </c>
      <c r="O21" s="225">
        <f t="shared" si="1"/>
        <v>3</v>
      </c>
      <c r="P21" s="225">
        <f t="shared" si="2"/>
        <v>6</v>
      </c>
    </row>
    <row r="22" spans="2:16" ht="20.149999999999999" customHeight="1" x14ac:dyDescent="0.45">
      <c r="B22" s="70" t="s">
        <v>83</v>
      </c>
      <c r="C22" s="22" t="str">
        <f>VLOOKUP(B22,'Sales Master'!A$3:B$581,2,0)</f>
        <v>P3009A</v>
      </c>
      <c r="D22" s="480" t="str">
        <f>VLOOKUP(C22,'Sales Master'!B$3:D$499,2,)</f>
        <v>Green Bean 绿豆</v>
      </c>
      <c r="E22" s="480"/>
      <c r="F22" s="480"/>
      <c r="G22" s="90">
        <v>2</v>
      </c>
      <c r="H22" s="389" t="str">
        <f>VLOOKUP(C22,'Sales Master'!$B$3:$F$3179,5,0)</f>
        <v>5 kgs</v>
      </c>
      <c r="I22" s="482" t="str">
        <f>VLOOKUP(C22,'Sales Master'!$B$3:$E$3179,4,0)</f>
        <v>-</v>
      </c>
      <c r="J22" s="482"/>
      <c r="K22" s="98">
        <f>VLOOKUP(C22,'Sales Master'!B$3:I$581,8,0)</f>
        <v>14</v>
      </c>
      <c r="L22" s="99">
        <f t="shared" si="0"/>
        <v>28</v>
      </c>
      <c r="M22" s="78"/>
      <c r="N22" s="225">
        <f>VLOOKUP(C22,'Sales Master'!$B$3:$DA$3038,104,0)</f>
        <v>9.3999999999999986</v>
      </c>
      <c r="O22" s="225">
        <f t="shared" si="1"/>
        <v>4.6000000000000014</v>
      </c>
      <c r="P22" s="225">
        <f t="shared" si="2"/>
        <v>9.2000000000000028</v>
      </c>
    </row>
    <row r="23" spans="2:16" ht="20.149999999999999" customHeight="1" x14ac:dyDescent="0.45">
      <c r="B23" s="70" t="s">
        <v>92</v>
      </c>
      <c r="C23" s="22" t="str">
        <f>VLOOKUP(B23,'Sales Master'!A$3:B$581,2,0)</f>
        <v>P3013A</v>
      </c>
      <c r="D23" s="480" t="str">
        <f>VLOOKUP(C23,'Sales Master'!B$3:D$499,2,)</f>
        <v>Black Glutinous Rice 黑糯米</v>
      </c>
      <c r="E23" s="480"/>
      <c r="F23" s="480"/>
      <c r="G23" s="90">
        <v>1</v>
      </c>
      <c r="H23" s="389" t="str">
        <f>VLOOKUP(C23,'Sales Master'!$B$3:$F$3179,5,0)</f>
        <v>5 kgs</v>
      </c>
      <c r="I23" s="482" t="str">
        <f>VLOOKUP(C23,'Sales Master'!$B$3:$E$3179,4,0)</f>
        <v>-</v>
      </c>
      <c r="J23" s="482"/>
      <c r="K23" s="98">
        <f>VLOOKUP(C23,'Sales Master'!B$3:I$581,8,0)</f>
        <v>18</v>
      </c>
      <c r="L23" s="99">
        <f t="shared" si="0"/>
        <v>18</v>
      </c>
      <c r="M23" s="78"/>
      <c r="N23" s="225">
        <f>VLOOKUP(C23,'Sales Master'!$B$3:$DA$3038,104,0)</f>
        <v>12</v>
      </c>
      <c r="O23" s="225">
        <f t="shared" si="1"/>
        <v>6</v>
      </c>
      <c r="P23" s="225">
        <f t="shared" si="2"/>
        <v>6</v>
      </c>
    </row>
    <row r="24" spans="2:16" ht="20.149999999999999" customHeight="1" x14ac:dyDescent="0.45">
      <c r="B24" s="70" t="s">
        <v>63</v>
      </c>
      <c r="C24" s="22" t="str">
        <f>VLOOKUP(B24,'Sales Master'!A$3:B$581,2,0)</f>
        <v>P3016A</v>
      </c>
      <c r="D24" s="480" t="str">
        <f>VLOOKUP(C24,'Sales Master'!B$3:D$499,2,)</f>
        <v>Pearl Barley 薏米</v>
      </c>
      <c r="E24" s="480"/>
      <c r="F24" s="480"/>
      <c r="G24" s="90">
        <v>1</v>
      </c>
      <c r="H24" s="389" t="str">
        <f>VLOOKUP(C24,'Sales Master'!$B$3:$F$3179,5,0)</f>
        <v>5 kgs</v>
      </c>
      <c r="I24" s="482" t="str">
        <f>VLOOKUP(C24,'Sales Master'!$B$3:$E$3179,4,0)</f>
        <v>-</v>
      </c>
      <c r="J24" s="482"/>
      <c r="K24" s="98">
        <f>VLOOKUP(C24,'Sales Master'!B$3:I$581,8,0)</f>
        <v>8.5</v>
      </c>
      <c r="L24" s="99">
        <f t="shared" ref="L24" si="3">K24*G24</f>
        <v>8.5</v>
      </c>
      <c r="M24" s="78"/>
      <c r="N24" s="225">
        <f>VLOOKUP(C24,'Sales Master'!$B$3:$DA$3038,104,0)</f>
        <v>6.8000000000000007</v>
      </c>
      <c r="O24" s="225">
        <f t="shared" ref="O24" si="4">K24-N24</f>
        <v>1.6999999999999993</v>
      </c>
      <c r="P24" s="225">
        <f t="shared" ref="P24" si="5">O24*G24</f>
        <v>1.6999999999999993</v>
      </c>
    </row>
    <row r="25" spans="2:16" ht="20.149999999999999" customHeight="1" x14ac:dyDescent="0.45">
      <c r="B25" s="70" t="s">
        <v>82</v>
      </c>
      <c r="C25" s="22" t="str">
        <f>VLOOKUP(B25,'Sales Master'!A$3:B$581,2,0)</f>
        <v>P3019A</v>
      </c>
      <c r="D25" s="480" t="str">
        <f>VLOOKUP(C25,'Sales Master'!B$3:D$499,2,)</f>
        <v>Dried Longan 龙眼干</v>
      </c>
      <c r="E25" s="480"/>
      <c r="F25" s="480"/>
      <c r="G25" s="90">
        <v>2</v>
      </c>
      <c r="H25" s="389" t="str">
        <f>VLOOKUP(C25,'Sales Master'!$B$3:$F$3179,5,0)</f>
        <v>1 kg</v>
      </c>
      <c r="I25" s="482" t="str">
        <f>VLOOKUP(C25,'Sales Master'!$B$3:$E$3179,4,0)</f>
        <v>TL</v>
      </c>
      <c r="J25" s="482"/>
      <c r="K25" s="98">
        <f>VLOOKUP(C25,'Sales Master'!B$3:I$581,8,0)</f>
        <v>12</v>
      </c>
      <c r="L25" s="99">
        <f t="shared" ref="L25:L28" si="6">K25*G25</f>
        <v>24</v>
      </c>
      <c r="M25" s="78"/>
      <c r="N25" s="225">
        <f>VLOOKUP(C25,'Sales Master'!$B$3:$DA$3038,104,0)</f>
        <v>8.5</v>
      </c>
      <c r="O25" s="225">
        <f t="shared" ref="O25:O28" si="7">K25-N25</f>
        <v>3.5</v>
      </c>
      <c r="P25" s="225">
        <f t="shared" ref="P25:P28" si="8">O25*G25</f>
        <v>7</v>
      </c>
    </row>
    <row r="26" spans="2:16" ht="20.149999999999999" customHeight="1" x14ac:dyDescent="0.45">
      <c r="B26" s="70" t="s">
        <v>84</v>
      </c>
      <c r="C26" s="22" t="str">
        <f>VLOOKUP(B26,'Sales Master'!A$3:B$581,2,0)</f>
        <v>P4007</v>
      </c>
      <c r="D26" s="480" t="str">
        <f>VLOOKUP(C26,'Sales Master'!B$3:D$499,2,)</f>
        <v>Longan in Syrup龙眼</v>
      </c>
      <c r="E26" s="480"/>
      <c r="F26" s="480"/>
      <c r="G26" s="90">
        <v>1</v>
      </c>
      <c r="H26" s="389" t="str">
        <f>VLOOKUP(C26,'Sales Master'!$B$3:$F$3179,5,0)</f>
        <v>(565gm x 12)/箱</v>
      </c>
      <c r="I26" s="482" t="str">
        <f>VLOOKUP(C26,'Sales Master'!$B$3:$E$3179,4,0)</f>
        <v>YiFong</v>
      </c>
      <c r="J26" s="482"/>
      <c r="K26" s="98">
        <f>VLOOKUP(C26,'Sales Master'!B$3:I$581,8,0)</f>
        <v>23</v>
      </c>
      <c r="L26" s="99">
        <f t="shared" si="6"/>
        <v>23</v>
      </c>
      <c r="M26" s="78"/>
      <c r="N26" s="225">
        <f>VLOOKUP(C26,'Sales Master'!$B$3:$DA$3038,104,0)</f>
        <v>18.055555555555557</v>
      </c>
      <c r="O26" s="225">
        <f t="shared" si="7"/>
        <v>4.9444444444444429</v>
      </c>
      <c r="P26" s="225">
        <f t="shared" si="8"/>
        <v>4.9444444444444429</v>
      </c>
    </row>
    <row r="27" spans="2:16" ht="20.149999999999999" customHeight="1" x14ac:dyDescent="0.45">
      <c r="B27" s="70" t="s">
        <v>62</v>
      </c>
      <c r="C27" s="22" t="str">
        <f>VLOOKUP(B27,'Sales Master'!A$3:B$581,2,0)</f>
        <v>P5002B</v>
      </c>
      <c r="D27" s="480" t="str">
        <f>VLOOKUP(C27,'Sales Master'!B$3:D$499,2,)</f>
        <v>Brown Sugar 黑糖</v>
      </c>
      <c r="E27" s="480"/>
      <c r="F27" s="480"/>
      <c r="G27" s="90">
        <v>1</v>
      </c>
      <c r="H27" s="389" t="str">
        <f>VLOOKUP(C27,'Sales Master'!$B$3:$F$3179,5,0)</f>
        <v>6 kgs</v>
      </c>
      <c r="I27" s="482" t="str">
        <f>VLOOKUP(C27,'Sales Master'!$B$3:$E$3179,4,0)</f>
        <v>Thailand</v>
      </c>
      <c r="J27" s="482"/>
      <c r="K27" s="98">
        <f>VLOOKUP(C27,'Sales Master'!B$3:I$581,8,0)</f>
        <v>13</v>
      </c>
      <c r="L27" s="99">
        <f t="shared" si="6"/>
        <v>13</v>
      </c>
      <c r="M27" s="78"/>
      <c r="N27" s="225">
        <f>VLOOKUP(C27,'Sales Master'!$B$3:$DA$3038,104,0)</f>
        <v>11.2</v>
      </c>
      <c r="O27" s="225">
        <f t="shared" si="7"/>
        <v>1.8000000000000007</v>
      </c>
      <c r="P27" s="225">
        <f t="shared" si="8"/>
        <v>1.8000000000000007</v>
      </c>
    </row>
    <row r="28" spans="2:16" ht="20.149999999999999" customHeight="1" x14ac:dyDescent="0.45">
      <c r="B28" s="70" t="s">
        <v>76</v>
      </c>
      <c r="C28" s="22" t="str">
        <f>VLOOKUP(B28,'Sales Master'!A$3:B$581,2,0)</f>
        <v>P6002</v>
      </c>
      <c r="D28" s="480" t="str">
        <f>VLOOKUP(C28,'Sales Master'!B$3:D$499,2,)</f>
        <v>Sweet Potato 番薯</v>
      </c>
      <c r="E28" s="480"/>
      <c r="F28" s="480"/>
      <c r="G28" s="90">
        <v>20</v>
      </c>
      <c r="H28" s="389" t="str">
        <f>VLOOKUP(C28,'Sales Master'!$B$3:$F$3179,5,0)</f>
        <v>1 KG</v>
      </c>
      <c r="I28" s="482" t="str">
        <f>VLOOKUP(C28,'Sales Master'!$B$3:$E$3179,4,0)</f>
        <v>Malaysia</v>
      </c>
      <c r="J28" s="482"/>
      <c r="K28" s="98">
        <f>VLOOKUP(C28,'Sales Master'!B$3:I$581,8,0)</f>
        <v>2.2000000000000002</v>
      </c>
      <c r="L28" s="99">
        <f t="shared" si="6"/>
        <v>44</v>
      </c>
      <c r="M28" s="78"/>
      <c r="N28" s="225">
        <f>VLOOKUP(C28,'Sales Master'!$B$3:$DA$3038,104,0)</f>
        <v>1.8666666666666665</v>
      </c>
      <c r="O28" s="225">
        <f t="shared" si="7"/>
        <v>0.3333333333333337</v>
      </c>
      <c r="P28" s="225">
        <f t="shared" si="8"/>
        <v>6.6666666666666741</v>
      </c>
    </row>
    <row r="29" spans="2:16" ht="20.149999999999999" customHeight="1" x14ac:dyDescent="0.45">
      <c r="B29" s="70" t="s">
        <v>77</v>
      </c>
      <c r="C29" s="22" t="str">
        <f>VLOOKUP(B29,'Sales Master'!A$3:B$581,2,0)</f>
        <v>P6005</v>
      </c>
      <c r="D29" s="480" t="str">
        <f>VLOOKUP(C29,'Sales Master'!B$3:D$499,2,)</f>
        <v>Yam 芋头</v>
      </c>
      <c r="E29" s="480"/>
      <c r="F29" s="480"/>
      <c r="G29" s="90">
        <v>3</v>
      </c>
      <c r="H29" s="389" t="str">
        <f>VLOOKUP(C29,'Sales Master'!$B$3:$F$3179,5,0)</f>
        <v>1 KG</v>
      </c>
      <c r="I29" s="482" t="str">
        <f>VLOOKUP(C29,'Sales Master'!$B$3:$E$3179,4,0)</f>
        <v>Malaysia</v>
      </c>
      <c r="J29" s="482"/>
      <c r="K29" s="98">
        <f>VLOOKUP(C29,'Sales Master'!B$3:I$581,8,0)</f>
        <v>4</v>
      </c>
      <c r="L29" s="99">
        <f t="shared" ref="L29:L30" si="9">K29*G29</f>
        <v>12</v>
      </c>
      <c r="M29" s="78"/>
      <c r="N29" s="225">
        <f>VLOOKUP(C29,'Sales Master'!$B$3:$DA$3038,104,0)</f>
        <v>1.8</v>
      </c>
      <c r="O29" s="225">
        <f t="shared" ref="O29:O30" si="10">K29-N29</f>
        <v>2.2000000000000002</v>
      </c>
      <c r="P29" s="225">
        <f t="shared" ref="P29:P30" si="11">O29*G29</f>
        <v>6.6000000000000005</v>
      </c>
    </row>
    <row r="30" spans="2:16" ht="20.149999999999999" customHeight="1" x14ac:dyDescent="0.45">
      <c r="B30" s="70" t="s">
        <v>74</v>
      </c>
      <c r="C30" s="22" t="str">
        <f>VLOOKUP(B30,'Sales Master'!A$3:B$581,2,0)</f>
        <v>P6007</v>
      </c>
      <c r="D30" s="480" t="str">
        <f>VLOOKUP(C30,'Sales Master'!B$3:D$499,2,)</f>
        <v>Pandan Leaf 班兰叶</v>
      </c>
      <c r="E30" s="480"/>
      <c r="F30" s="480"/>
      <c r="G30" s="90">
        <v>1</v>
      </c>
      <c r="H30" s="389" t="str">
        <f>VLOOKUP(C30,'Sales Master'!$B$3:$F$3179,5,0)</f>
        <v>1 kg</v>
      </c>
      <c r="I30" s="482" t="str">
        <f>VLOOKUP(C30,'Sales Master'!$B$3:$E$3179,4,0)</f>
        <v>-</v>
      </c>
      <c r="J30" s="482"/>
      <c r="K30" s="98">
        <f>VLOOKUP(C30,'Sales Master'!B$3:I$581,8,0)</f>
        <v>1.8</v>
      </c>
      <c r="L30" s="99">
        <f t="shared" si="9"/>
        <v>1.8</v>
      </c>
      <c r="M30" s="78"/>
      <c r="N30" s="225">
        <f>VLOOKUP(C30,'Sales Master'!$B$3:$DA$3038,104,0)</f>
        <v>1</v>
      </c>
      <c r="O30" s="225">
        <f t="shared" si="10"/>
        <v>0.8</v>
      </c>
      <c r="P30" s="225">
        <f t="shared" si="11"/>
        <v>0.8</v>
      </c>
    </row>
    <row r="31" spans="2:16" ht="20.149999999999999" customHeight="1" x14ac:dyDescent="0.45">
      <c r="B31" s="70" t="s">
        <v>78</v>
      </c>
      <c r="C31" s="22" t="str">
        <f>VLOOKUP(B31,'Sales Master'!A$3:B$581,2,0)</f>
        <v>P6014</v>
      </c>
      <c r="D31" s="480" t="str">
        <f>VLOOKUP(C31,'Sales Master'!B$3:D$499,2,)</f>
        <v>Yu Tiao 油条</v>
      </c>
      <c r="E31" s="480"/>
      <c r="F31" s="480"/>
      <c r="G31" s="90">
        <v>20</v>
      </c>
      <c r="H31" s="389" t="str">
        <f>VLOOKUP(C31,'Sales Master'!$B$3:$F$3179,5,0)</f>
        <v>1 pc</v>
      </c>
      <c r="I31" s="482" t="str">
        <f>VLOOKUP(C31,'Sales Master'!$B$3:$E$3179,4,0)</f>
        <v>-</v>
      </c>
      <c r="J31" s="482"/>
      <c r="K31" s="98">
        <f>VLOOKUP(C31,'Sales Master'!B$3:I$581,8,0)</f>
        <v>0.5</v>
      </c>
      <c r="L31" s="99">
        <f t="shared" ref="L31" si="12">K31*G31</f>
        <v>10</v>
      </c>
      <c r="M31" s="78"/>
      <c r="N31" s="225">
        <f>VLOOKUP(C31,'Sales Master'!$B$3:$DA$3038,104,0)</f>
        <v>0.4</v>
      </c>
      <c r="O31" s="225">
        <f t="shared" ref="O31" si="13">K31-N31</f>
        <v>9.9999999999999978E-2</v>
      </c>
      <c r="P31" s="225">
        <f t="shared" ref="P31" si="14">O31*G31</f>
        <v>1.9999999999999996</v>
      </c>
    </row>
    <row r="32" spans="2:16" ht="20.149999999999999" customHeight="1" x14ac:dyDescent="0.45">
      <c r="B32" s="70"/>
      <c r="C32" s="22"/>
      <c r="D32" s="480"/>
      <c r="E32" s="480"/>
      <c r="F32" s="480"/>
      <c r="G32" s="90"/>
      <c r="H32" s="389"/>
      <c r="I32" s="482"/>
      <c r="J32" s="482"/>
      <c r="K32" s="98"/>
      <c r="L32" s="99"/>
      <c r="M32" s="78"/>
      <c r="N32" s="225"/>
      <c r="O32" s="225"/>
      <c r="P32" s="225"/>
    </row>
    <row r="33" spans="2:17" ht="20.149999999999999" customHeight="1" x14ac:dyDescent="0.45">
      <c r="B33" s="70"/>
      <c r="C33" s="22"/>
      <c r="D33" s="480"/>
      <c r="E33" s="480"/>
      <c r="F33" s="480"/>
      <c r="G33" s="90"/>
      <c r="H33" s="389"/>
      <c r="I33" s="482"/>
      <c r="J33" s="482"/>
      <c r="K33" s="98"/>
      <c r="L33" s="99"/>
      <c r="M33" s="78"/>
      <c r="N33" s="225"/>
      <c r="O33" s="225"/>
      <c r="P33" s="225"/>
    </row>
    <row r="34" spans="2:17" ht="20.149999999999999" customHeight="1" x14ac:dyDescent="0.45">
      <c r="B34" s="70"/>
      <c r="C34" s="22"/>
      <c r="D34" s="230"/>
      <c r="E34" s="230"/>
      <c r="F34" s="230"/>
      <c r="G34" s="90"/>
      <c r="H34" s="389"/>
      <c r="I34" s="389"/>
      <c r="J34" s="389"/>
      <c r="K34" s="98"/>
      <c r="L34" s="99"/>
      <c r="M34" s="159"/>
      <c r="N34" s="225"/>
      <c r="O34" s="225"/>
      <c r="P34" s="225"/>
    </row>
    <row r="35" spans="2:17" ht="20.149999999999999" customHeight="1" x14ac:dyDescent="0.45">
      <c r="B35" s="186"/>
      <c r="C35" s="156"/>
      <c r="D35" s="490"/>
      <c r="E35" s="490"/>
      <c r="F35" s="490"/>
      <c r="G35" s="134"/>
      <c r="H35" s="189"/>
      <c r="I35" s="491"/>
      <c r="J35" s="491"/>
      <c r="K35" s="128"/>
      <c r="L35" s="137"/>
    </row>
    <row r="36" spans="2:17" ht="20.149999999999999" customHeight="1" x14ac:dyDescent="0.45">
      <c r="B36" s="11" t="s">
        <v>18</v>
      </c>
      <c r="C36" s="7"/>
      <c r="D36" s="7"/>
      <c r="E36" s="7"/>
      <c r="F36" s="7"/>
      <c r="G36" s="7"/>
      <c r="H36" s="7"/>
      <c r="I36" s="7"/>
      <c r="J36" s="484" t="s">
        <v>15</v>
      </c>
      <c r="K36" s="485"/>
      <c r="L36" s="185">
        <f>SUM(L17:L35)</f>
        <v>280.8</v>
      </c>
      <c r="M36" s="76">
        <f>SUM(P18:P35)</f>
        <v>83.189111111111103</v>
      </c>
      <c r="N36" s="201">
        <f>M36/L36</f>
        <v>0.29625751820196261</v>
      </c>
      <c r="Q36" s="201"/>
    </row>
    <row r="37" spans="2:17" ht="20.149999999999999" customHeight="1" x14ac:dyDescent="0.45">
      <c r="B37" s="11" t="s">
        <v>19</v>
      </c>
      <c r="C37" s="7"/>
      <c r="D37" s="7"/>
      <c r="E37" s="7"/>
      <c r="F37" s="7"/>
      <c r="G37" s="7"/>
      <c r="H37" s="7"/>
      <c r="I37" s="7"/>
      <c r="J37" s="44" t="s">
        <v>22</v>
      </c>
      <c r="K37" s="45"/>
      <c r="L37" s="46">
        <f>L36*K37</f>
        <v>0</v>
      </c>
      <c r="M37" s="76"/>
    </row>
    <row r="38" spans="2:17" ht="20.149999999999999" customHeight="1" x14ac:dyDescent="0.45">
      <c r="B38" s="11" t="s">
        <v>20</v>
      </c>
      <c r="C38" s="7"/>
      <c r="D38" s="7"/>
      <c r="E38" s="7"/>
      <c r="F38" s="7"/>
      <c r="G38" s="7"/>
      <c r="H38" s="7"/>
      <c r="I38" s="7"/>
      <c r="J38" s="486" t="s">
        <v>21</v>
      </c>
      <c r="K38" s="487"/>
      <c r="L38" s="46">
        <f>L36-L37</f>
        <v>280.8</v>
      </c>
    </row>
    <row r="39" spans="2:17" ht="20.149999999999999" customHeight="1" x14ac:dyDescent="0.45">
      <c r="B39" s="11" t="s">
        <v>24</v>
      </c>
      <c r="C39" s="7"/>
      <c r="D39" s="7"/>
      <c r="E39" s="7"/>
      <c r="F39" s="7"/>
      <c r="G39" s="7"/>
      <c r="H39" s="7"/>
      <c r="I39" s="7"/>
      <c r="J39" s="150" t="s">
        <v>17</v>
      </c>
      <c r="K39" s="151">
        <v>7.0000000000000007E-2</v>
      </c>
      <c r="L39" s="47">
        <f>L38*K39</f>
        <v>19.656000000000002</v>
      </c>
    </row>
    <row r="40" spans="2:17" ht="20.149999999999999" customHeight="1" thickBot="1" x14ac:dyDescent="0.5">
      <c r="B40" s="11" t="s">
        <v>1400</v>
      </c>
      <c r="C40" s="7"/>
      <c r="D40" s="7"/>
      <c r="E40" s="7"/>
      <c r="F40" s="7"/>
      <c r="G40" s="7"/>
      <c r="H40" s="7"/>
      <c r="I40" s="7"/>
      <c r="J40" s="488" t="s">
        <v>23</v>
      </c>
      <c r="K40" s="489"/>
      <c r="L40" s="48">
        <f>L38+L39</f>
        <v>300.45600000000002</v>
      </c>
    </row>
    <row r="41" spans="2:17" ht="20.149999999999999" customHeight="1" x14ac:dyDescent="0.45">
      <c r="B41" s="11" t="s">
        <v>26</v>
      </c>
      <c r="C41" s="7"/>
      <c r="D41" s="7"/>
      <c r="E41" s="7"/>
      <c r="F41" s="7"/>
      <c r="G41" s="7"/>
      <c r="H41" s="7"/>
      <c r="I41" s="7"/>
      <c r="L41" s="42"/>
      <c r="N41" s="362">
        <v>44641</v>
      </c>
      <c r="O41" s="24">
        <v>196.3</v>
      </c>
      <c r="P41" s="24">
        <v>40.590000000000003</v>
      </c>
      <c r="Q41" s="201">
        <f>P41/O41</f>
        <v>0.20677534386143659</v>
      </c>
    </row>
    <row r="42" spans="2:17" ht="20.149999999999999" customHeight="1" x14ac:dyDescent="0.45">
      <c r="B42" s="224" t="s">
        <v>1379</v>
      </c>
      <c r="L42" s="42"/>
    </row>
    <row r="43" spans="2:17" ht="20.149999999999999" customHeight="1" x14ac:dyDescent="0.45">
      <c r="B43" s="41"/>
      <c r="L43" s="42"/>
    </row>
    <row r="44" spans="2:17" ht="20.149999999999999" customHeight="1" x14ac:dyDescent="0.45">
      <c r="B44" s="41"/>
      <c r="L44" s="42"/>
    </row>
    <row r="45" spans="2:17" ht="20.149999999999999" customHeight="1" x14ac:dyDescent="0.45">
      <c r="B45" s="41"/>
      <c r="L45" s="42"/>
    </row>
    <row r="46" spans="2:17" ht="20.149999999999999" customHeight="1" x14ac:dyDescent="0.45">
      <c r="B46" s="49"/>
      <c r="C46" s="50"/>
      <c r="D46" s="50"/>
      <c r="J46" s="50"/>
      <c r="K46" s="50"/>
      <c r="L46" s="51"/>
    </row>
    <row r="47" spans="2:17" ht="20.149999999999999" customHeight="1" x14ac:dyDescent="0.45">
      <c r="B47" s="41" t="s">
        <v>27</v>
      </c>
      <c r="J47" s="24" t="s">
        <v>28</v>
      </c>
      <c r="L47" s="42"/>
    </row>
    <row r="48" spans="2:17" ht="19" thickBot="1" x14ac:dyDescent="0.5">
      <c r="B48" s="52"/>
      <c r="C48" s="53"/>
      <c r="D48" s="53"/>
      <c r="E48" s="53"/>
      <c r="F48" s="53"/>
      <c r="G48" s="53"/>
      <c r="H48" s="53"/>
      <c r="I48" s="53"/>
      <c r="J48" s="53"/>
      <c r="K48" s="53"/>
      <c r="L48" s="54"/>
    </row>
    <row r="49" spans="6:6" ht="20.5" x14ac:dyDescent="0.45">
      <c r="F49" s="426"/>
    </row>
  </sheetData>
  <mergeCells count="52">
    <mergeCell ref="I19:J19"/>
    <mergeCell ref="I20:J20"/>
    <mergeCell ref="D19:F19"/>
    <mergeCell ref="D20:F20"/>
    <mergeCell ref="D21:F21"/>
    <mergeCell ref="D22:F22"/>
    <mergeCell ref="I22:J22"/>
    <mergeCell ref="I21:J21"/>
    <mergeCell ref="D23:F23"/>
    <mergeCell ref="I23:J23"/>
    <mergeCell ref="K15:L15"/>
    <mergeCell ref="I18:J18"/>
    <mergeCell ref="I17:J17"/>
    <mergeCell ref="D18:F18"/>
    <mergeCell ref="D17:F17"/>
    <mergeCell ref="D33:F33"/>
    <mergeCell ref="I33:J33"/>
    <mergeCell ref="D28:F28"/>
    <mergeCell ref="I28:J28"/>
    <mergeCell ref="B1:L8"/>
    <mergeCell ref="K10:L10"/>
    <mergeCell ref="K11:L11"/>
    <mergeCell ref="K12:L12"/>
    <mergeCell ref="K13:L13"/>
    <mergeCell ref="B12:D12"/>
    <mergeCell ref="B13:D13"/>
    <mergeCell ref="B11:D11"/>
    <mergeCell ref="F11:H15"/>
    <mergeCell ref="B14:D14"/>
    <mergeCell ref="K14:L14"/>
    <mergeCell ref="B15:D15"/>
    <mergeCell ref="J40:K40"/>
    <mergeCell ref="J36:K36"/>
    <mergeCell ref="J38:K38"/>
    <mergeCell ref="I35:J35"/>
    <mergeCell ref="D35:F35"/>
    <mergeCell ref="D24:F24"/>
    <mergeCell ref="I24:J24"/>
    <mergeCell ref="D27:F27"/>
    <mergeCell ref="I27:J27"/>
    <mergeCell ref="D25:F25"/>
    <mergeCell ref="I25:J25"/>
    <mergeCell ref="D26:F26"/>
    <mergeCell ref="I26:J26"/>
    <mergeCell ref="D29:F29"/>
    <mergeCell ref="D30:F30"/>
    <mergeCell ref="D31:F31"/>
    <mergeCell ref="D32:F32"/>
    <mergeCell ref="I29:J29"/>
    <mergeCell ref="I30:J30"/>
    <mergeCell ref="I31:J31"/>
    <mergeCell ref="I32:J32"/>
  </mergeCells>
  <hyperlinks>
    <hyperlink ref="B15" r:id="rId1" xr:uid="{02A44E69-29ED-4906-9E75-A92D07347AF6}"/>
  </hyperlinks>
  <pageMargins left="0.70866141732283472" right="0.31496062992125984" top="0.59055118110236227" bottom="0" header="0.31496062992125984" footer="0.31496062992125984"/>
  <pageSetup paperSize="9" scale="73" orientation="portrait" horizontalDpi="300" verticalDpi="300" r:id="rId2"/>
  <drawing r:id="rId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681657-6D54-4CFA-8EAC-DE44B796C6D7}">
  <sheetPr codeName="Sheet58">
    <tabColor rgb="FF92D050"/>
    <pageSetUpPr fitToPage="1"/>
  </sheetPr>
  <dimension ref="B1:V55"/>
  <sheetViews>
    <sheetView topLeftCell="A9" workbookViewId="0">
      <selection activeCell="B1" sqref="B1:L55"/>
    </sheetView>
  </sheetViews>
  <sheetFormatPr defaultColWidth="12.54296875" defaultRowHeight="18.5" x14ac:dyDescent="0.45"/>
  <cols>
    <col min="1" max="1" width="12.54296875" style="24"/>
    <col min="2" max="3" width="12.54296875" style="24" customWidth="1"/>
    <col min="4" max="4" width="14.26953125" style="24" customWidth="1"/>
    <col min="5" max="5" width="1.54296875" style="24" customWidth="1"/>
    <col min="6" max="6" width="16.81640625" style="24" customWidth="1"/>
    <col min="7" max="7" width="8.54296875" style="24" customWidth="1"/>
    <col min="8" max="8" width="17.453125" style="24" customWidth="1"/>
    <col min="9" max="9" width="1.7265625" style="24" customWidth="1"/>
    <col min="10" max="10" width="15.54296875" style="24" customWidth="1"/>
    <col min="11" max="11" width="10.54296875" style="24" customWidth="1"/>
    <col min="12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213</v>
      </c>
      <c r="J10" s="29" t="s">
        <v>29</v>
      </c>
      <c r="K10" s="452">
        <v>202209471</v>
      </c>
      <c r="L10" s="453"/>
    </row>
    <row r="11" spans="2:12" ht="20.149999999999999" customHeight="1" x14ac:dyDescent="0.45">
      <c r="B11" s="454" t="s">
        <v>1403</v>
      </c>
      <c r="C11" s="455"/>
      <c r="D11" s="456"/>
      <c r="E11" s="30"/>
      <c r="F11" s="457" t="str">
        <f>VLOOKUP(H10,'Delivery Location'!A$4:N$416,2,0)</f>
        <v>Drink &amp; Dessert Stall                                 CCK Lots1 Stall #15.                                   21 Choa Chu Kang Ave 4, #04-15.                 Lot One Shoppers Mall. Singapore 689812</v>
      </c>
      <c r="G11" s="458"/>
      <c r="H11" s="459"/>
      <c r="J11" s="31" t="s">
        <v>11</v>
      </c>
      <c r="K11" s="466">
        <v>44834</v>
      </c>
      <c r="L11" s="467"/>
    </row>
    <row r="12" spans="2:12" ht="20.149999999999999" customHeight="1" x14ac:dyDescent="0.45">
      <c r="B12" s="468" t="s">
        <v>869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2344</v>
      </c>
      <c r="L12" s="472"/>
    </row>
    <row r="13" spans="2:12" ht="20.149999999999999" customHeight="1" x14ac:dyDescent="0.45">
      <c r="B13" s="468" t="s">
        <v>870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1149</v>
      </c>
      <c r="L13" s="472"/>
    </row>
    <row r="14" spans="2:12" ht="20.149999999999999" customHeight="1" x14ac:dyDescent="0.45">
      <c r="B14" s="468" t="s">
        <v>871</v>
      </c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473" t="s">
        <v>872</v>
      </c>
      <c r="C15" s="474"/>
      <c r="D15" s="475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22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22" ht="20.149999999999999" customHeight="1" x14ac:dyDescent="0.45">
      <c r="B18" s="70" t="s">
        <v>79</v>
      </c>
      <c r="C18" s="22" t="str">
        <f>VLOOKUP(B18,'Sales Master'!A$3:B$581,2,0)</f>
        <v>P3001B</v>
      </c>
      <c r="D18" s="508" t="str">
        <f>VLOOKUP(C18,'Sales Master'!B$3:D$499,2,)</f>
        <v>Atap Seeds in Syrup亚嗒子</v>
      </c>
      <c r="E18" s="508"/>
      <c r="F18" s="508"/>
      <c r="G18" s="90">
        <v>4</v>
      </c>
      <c r="H18" s="443" t="str">
        <f>VLOOKUP(C18,'Sales Master'!B$3:F$3183,5,0)</f>
        <v>NW (1.6:0.6) 2.2 kgs</v>
      </c>
      <c r="I18" s="513" t="str">
        <f>VLOOKUP(C18,'Sales Master'!B$3:E$3183,4,0)</f>
        <v>DO!</v>
      </c>
      <c r="J18" s="513"/>
      <c r="K18" s="35">
        <f>VLOOKUP(C18,'Sales Master'!B$3:I$581,8,0)</f>
        <v>10</v>
      </c>
      <c r="L18" s="99">
        <f t="shared" ref="L18" si="0">K18*G18</f>
        <v>40</v>
      </c>
      <c r="N18" s="225">
        <f>VLOOKUP(C18,'Sales Master'!$B$3:$DA$3038,104,0)</f>
        <v>4.8240000000000007</v>
      </c>
      <c r="O18" s="225">
        <f t="shared" ref="O18" si="1">K18-N18</f>
        <v>5.1759999999999993</v>
      </c>
      <c r="P18" s="225">
        <f t="shared" ref="P18" si="2">O18*G18</f>
        <v>20.703999999999997</v>
      </c>
      <c r="R18" s="24">
        <v>1</v>
      </c>
      <c r="S18" s="24" t="s">
        <v>593</v>
      </c>
      <c r="T18" s="24" t="s">
        <v>705</v>
      </c>
      <c r="V18" s="24">
        <v>18</v>
      </c>
    </row>
    <row r="19" spans="2:22" ht="20.149999999999999" customHeight="1" x14ac:dyDescent="0.45">
      <c r="B19" s="70" t="s">
        <v>69</v>
      </c>
      <c r="C19" s="22" t="str">
        <f>VLOOKUP(B19,'Sales Master'!A$3:B$581,2,0)</f>
        <v>P3002</v>
      </c>
      <c r="D19" s="508" t="str">
        <f>VLOOKUP(C19,'Sales Master'!B$3:D$499,2,)</f>
        <v>Chin Chow  仙草</v>
      </c>
      <c r="E19" s="508"/>
      <c r="F19" s="508"/>
      <c r="G19" s="90">
        <v>2</v>
      </c>
      <c r="H19" s="424" t="str">
        <f>VLOOKUP(C19,'Sales Master'!B$3:F$3183,5,0)</f>
        <v>5KGS/PKT</v>
      </c>
      <c r="I19" s="513" t="str">
        <f>VLOOKUP(C19,'Sales Master'!B$3:E$3183,4,0)</f>
        <v>TSM</v>
      </c>
      <c r="J19" s="513"/>
      <c r="K19" s="35">
        <f>VLOOKUP(C19,'Sales Master'!B$3:I$581,8,0)</f>
        <v>4.5</v>
      </c>
      <c r="L19" s="99">
        <f t="shared" ref="L19:L25" si="3">K19*G19</f>
        <v>9</v>
      </c>
      <c r="N19" s="225">
        <f>VLOOKUP(C19,'Sales Master'!$B$3:$DA$3038,104,0)</f>
        <v>4</v>
      </c>
      <c r="O19" s="225">
        <f t="shared" ref="O19:O25" si="4">K19-N19</f>
        <v>0.5</v>
      </c>
      <c r="P19" s="225">
        <f t="shared" ref="P19:P25" si="5">O19*G19</f>
        <v>1</v>
      </c>
    </row>
    <row r="20" spans="2:22" ht="20.149999999999999" customHeight="1" x14ac:dyDescent="0.45">
      <c r="B20" s="70" t="s">
        <v>116</v>
      </c>
      <c r="C20" s="22" t="str">
        <f>VLOOKUP(B20,'Sales Master'!A$3:B$581,2,0)</f>
        <v>P3004A</v>
      </c>
      <c r="D20" s="508" t="str">
        <f>VLOOKUP(C20,'Sales Master'!B$3:D$499,2,)</f>
        <v>GingKo Nut (Peel off)白果仁</v>
      </c>
      <c r="E20" s="508"/>
      <c r="F20" s="508"/>
      <c r="G20" s="90">
        <v>2</v>
      </c>
      <c r="H20" s="386" t="str">
        <f>VLOOKUP(C20,'Sales Master'!B$3:F$3183,5,0)</f>
        <v>1 kg (2 X 500GM)</v>
      </c>
      <c r="I20" s="513" t="str">
        <f>VLOOKUP(C20,'Sales Master'!B$3:E$3183,4,0)</f>
        <v>-</v>
      </c>
      <c r="J20" s="513"/>
      <c r="K20" s="35">
        <f>VLOOKUP(C20,'Sales Master'!B$3:I$581,8,0)</f>
        <v>5</v>
      </c>
      <c r="L20" s="99">
        <f t="shared" ref="L20" si="6">K20*G20</f>
        <v>10</v>
      </c>
      <c r="N20" s="225">
        <f>VLOOKUP(C20,'Sales Master'!$B$3:$DA$3038,104,0)</f>
        <v>3.1666666666666665</v>
      </c>
      <c r="O20" s="225">
        <f t="shared" ref="O20" si="7">K20-N20</f>
        <v>1.8333333333333335</v>
      </c>
      <c r="P20" s="225">
        <f t="shared" ref="P20" si="8">O20*G20</f>
        <v>3.666666666666667</v>
      </c>
    </row>
    <row r="21" spans="2:22" ht="20.149999999999999" customHeight="1" x14ac:dyDescent="0.45">
      <c r="B21" s="70" t="s">
        <v>93</v>
      </c>
      <c r="C21" s="22" t="str">
        <f>VLOOKUP(B21,'Sales Master'!A$3:B$581,2,0)</f>
        <v>P3005A</v>
      </c>
      <c r="D21" s="508" t="str">
        <f>VLOOKUP(C21,'Sales Master'!B$3:D$499,2,)</f>
        <v>Red Bean红豆 (5.5 mm)</v>
      </c>
      <c r="E21" s="508"/>
      <c r="F21" s="508"/>
      <c r="G21" s="90">
        <v>2</v>
      </c>
      <c r="H21" s="386" t="str">
        <f>VLOOKUP(C21,'Sales Master'!B$3:F$3183,5,0)</f>
        <v>5 kgs</v>
      </c>
      <c r="I21" s="513" t="str">
        <f>VLOOKUP(C21,'Sales Master'!B$3:E$3183,4,0)</f>
        <v>-</v>
      </c>
      <c r="J21" s="513"/>
      <c r="K21" s="35">
        <f>VLOOKUP(C21,'Sales Master'!B$3:I$581,8,0)</f>
        <v>20</v>
      </c>
      <c r="L21" s="99">
        <f t="shared" ref="L21:L24" si="9">K21*G21</f>
        <v>40</v>
      </c>
      <c r="N21" s="225">
        <f>VLOOKUP(C21,'Sales Master'!$B$3:$DA$3038,104,0)</f>
        <v>17</v>
      </c>
      <c r="O21" s="225">
        <f t="shared" ref="O21:O24" si="10">K21-N21</f>
        <v>3</v>
      </c>
      <c r="P21" s="225">
        <f t="shared" ref="P21:P24" si="11">O21*G21</f>
        <v>6</v>
      </c>
    </row>
    <row r="22" spans="2:22" ht="20.149999999999999" customHeight="1" x14ac:dyDescent="0.45">
      <c r="B22" s="70" t="s">
        <v>83</v>
      </c>
      <c r="C22" s="22" t="str">
        <f>VLOOKUP(B22,'Sales Master'!A$3:B$581,2,0)</f>
        <v>P3009A</v>
      </c>
      <c r="D22" s="508" t="str">
        <f>VLOOKUP(C22,'Sales Master'!B$3:D$499,2,)</f>
        <v>Green Bean 绿豆</v>
      </c>
      <c r="E22" s="508"/>
      <c r="F22" s="508"/>
      <c r="G22" s="90">
        <v>1</v>
      </c>
      <c r="H22" s="386" t="str">
        <f>VLOOKUP(C22,'Sales Master'!B$3:F$3183,5,0)</f>
        <v>5 kgs</v>
      </c>
      <c r="I22" s="513" t="str">
        <f>VLOOKUP(C22,'Sales Master'!B$3:E$3183,4,0)</f>
        <v>-</v>
      </c>
      <c r="J22" s="513"/>
      <c r="K22" s="35">
        <f>VLOOKUP(C22,'Sales Master'!B$3:I$581,8,0)</f>
        <v>14</v>
      </c>
      <c r="L22" s="99">
        <f t="shared" si="9"/>
        <v>14</v>
      </c>
      <c r="N22" s="225">
        <f>VLOOKUP(C22,'Sales Master'!$B$3:$DA$3038,104,0)</f>
        <v>9.3999999999999986</v>
      </c>
      <c r="O22" s="225">
        <f t="shared" si="10"/>
        <v>4.6000000000000014</v>
      </c>
      <c r="P22" s="225">
        <f t="shared" si="11"/>
        <v>4.6000000000000014</v>
      </c>
    </row>
    <row r="23" spans="2:22" ht="20.149999999999999" customHeight="1" x14ac:dyDescent="0.45">
      <c r="B23" s="70" t="s">
        <v>94</v>
      </c>
      <c r="C23" s="22" t="str">
        <f>VLOOKUP(B23,'Sales Master'!A$3:B$581,2,0)</f>
        <v>P3012A</v>
      </c>
      <c r="D23" s="508" t="str">
        <f>VLOOKUP(C23,'Sales Master'!B$3:D$499,2,)</f>
        <v>Split Green Mung Bean豆畔</v>
      </c>
      <c r="E23" s="508"/>
      <c r="F23" s="508"/>
      <c r="G23" s="90">
        <v>1</v>
      </c>
      <c r="H23" s="386" t="str">
        <f>VLOOKUP(C23,'Sales Master'!B$3:F$3183,5,0)</f>
        <v>5 KG</v>
      </c>
      <c r="I23" s="513" t="str">
        <f>VLOOKUP(C23,'Sales Master'!B$3:E$3183,4,0)</f>
        <v>-</v>
      </c>
      <c r="J23" s="513"/>
      <c r="K23" s="35">
        <f>VLOOKUP(C23,'Sales Master'!B$3:I$581,8,0)</f>
        <v>17</v>
      </c>
      <c r="L23" s="99">
        <f t="shared" si="9"/>
        <v>17</v>
      </c>
      <c r="N23" s="225">
        <f>VLOOKUP(C23,'Sales Master'!$B$3:$DA$3038,104,0)</f>
        <v>12.166666666666666</v>
      </c>
      <c r="O23" s="225">
        <f t="shared" si="10"/>
        <v>4.8333333333333339</v>
      </c>
      <c r="P23" s="225">
        <f t="shared" si="11"/>
        <v>4.8333333333333339</v>
      </c>
    </row>
    <row r="24" spans="2:22" ht="20.149999999999999" customHeight="1" x14ac:dyDescent="0.45">
      <c r="B24" s="70" t="s">
        <v>92</v>
      </c>
      <c r="C24" s="22" t="str">
        <f>VLOOKUP(B24,'Sales Master'!A$3:B$581,2,0)</f>
        <v>P3013A</v>
      </c>
      <c r="D24" s="508" t="str">
        <f>VLOOKUP(C24,'Sales Master'!B$3:D$499,2,)</f>
        <v>Black Glutinous Rice 黑糯米</v>
      </c>
      <c r="E24" s="508"/>
      <c r="F24" s="508"/>
      <c r="G24" s="90">
        <v>1</v>
      </c>
      <c r="H24" s="386" t="str">
        <f>VLOOKUP(C24,'Sales Master'!B$3:F$3183,5,0)</f>
        <v>5 kgs</v>
      </c>
      <c r="I24" s="513" t="str">
        <f>VLOOKUP(C24,'Sales Master'!B$3:E$3183,4,0)</f>
        <v>-</v>
      </c>
      <c r="J24" s="513"/>
      <c r="K24" s="35">
        <f>VLOOKUP(C24,'Sales Master'!B$3:I$581,8,0)</f>
        <v>18</v>
      </c>
      <c r="L24" s="99">
        <f t="shared" si="9"/>
        <v>18</v>
      </c>
      <c r="N24" s="225">
        <f>VLOOKUP(C24,'Sales Master'!$B$3:$DA$3038,104,0)</f>
        <v>12</v>
      </c>
      <c r="O24" s="225">
        <f t="shared" si="10"/>
        <v>6</v>
      </c>
      <c r="P24" s="225">
        <f t="shared" si="11"/>
        <v>6</v>
      </c>
    </row>
    <row r="25" spans="2:22" ht="20.149999999999999" customHeight="1" x14ac:dyDescent="0.45">
      <c r="B25" s="70" t="s">
        <v>63</v>
      </c>
      <c r="C25" s="22" t="str">
        <f>VLOOKUP(B25,'Sales Master'!A$3:B$581,2,0)</f>
        <v>P3016A</v>
      </c>
      <c r="D25" s="508" t="str">
        <f>VLOOKUP(C25,'Sales Master'!B$3:D$499,2,)</f>
        <v>Pearl Barley 薏米</v>
      </c>
      <c r="E25" s="508"/>
      <c r="F25" s="508"/>
      <c r="G25" s="90">
        <v>2</v>
      </c>
      <c r="H25" s="386" t="str">
        <f>VLOOKUP(C25,'Sales Master'!B$3:F$3183,5,0)</f>
        <v>5 kgs</v>
      </c>
      <c r="I25" s="513" t="str">
        <f>VLOOKUP(C25,'Sales Master'!B$3:E$3183,4,0)</f>
        <v>-</v>
      </c>
      <c r="J25" s="513"/>
      <c r="K25" s="35">
        <f>VLOOKUP(C25,'Sales Master'!B$3:I$581,8,0)</f>
        <v>8.5</v>
      </c>
      <c r="L25" s="99">
        <f t="shared" si="3"/>
        <v>17</v>
      </c>
      <c r="N25" s="225">
        <f>VLOOKUP(C25,'Sales Master'!$B$3:$DA$3038,104,0)</f>
        <v>6.8000000000000007</v>
      </c>
      <c r="O25" s="225">
        <f t="shared" si="4"/>
        <v>1.6999999999999993</v>
      </c>
      <c r="P25" s="225">
        <f t="shared" si="5"/>
        <v>3.3999999999999986</v>
      </c>
    </row>
    <row r="26" spans="2:22" ht="20.149999999999999" customHeight="1" x14ac:dyDescent="0.45">
      <c r="B26" s="70" t="s">
        <v>82</v>
      </c>
      <c r="C26" s="22" t="str">
        <f>VLOOKUP(B26,'Sales Master'!A$3:B$581,2,0)</f>
        <v>P3019A</v>
      </c>
      <c r="D26" s="508" t="str">
        <f>VLOOKUP(C26,'Sales Master'!B$3:D$499,2,)</f>
        <v>Dried Longan 龙眼干</v>
      </c>
      <c r="E26" s="508"/>
      <c r="F26" s="508"/>
      <c r="G26" s="90">
        <v>2</v>
      </c>
      <c r="H26" s="386" t="str">
        <f>VLOOKUP(C26,'Sales Master'!B$3:F$3183,5,0)</f>
        <v>1 kg</v>
      </c>
      <c r="I26" s="513" t="str">
        <f>VLOOKUP(C26,'Sales Master'!B$3:E$3183,4,0)</f>
        <v>TL</v>
      </c>
      <c r="J26" s="513"/>
      <c r="K26" s="35">
        <f>VLOOKUP(C26,'Sales Master'!B$3:I$581,8,0)</f>
        <v>12</v>
      </c>
      <c r="L26" s="99">
        <f t="shared" ref="L26:L39" si="12">K26*G26</f>
        <v>24</v>
      </c>
      <c r="N26" s="225">
        <f>VLOOKUP(C26,'Sales Master'!$B$3:$DA$3038,104,0)</f>
        <v>8.5</v>
      </c>
      <c r="O26" s="225">
        <f t="shared" ref="O26:O39" si="13">K26-N26</f>
        <v>3.5</v>
      </c>
      <c r="P26" s="225">
        <f t="shared" ref="P26:P39" si="14">O26*G26</f>
        <v>7</v>
      </c>
    </row>
    <row r="27" spans="2:22" ht="20.149999999999999" customHeight="1" x14ac:dyDescent="0.45">
      <c r="B27" s="70" t="s">
        <v>124</v>
      </c>
      <c r="C27" s="22" t="str">
        <f>VLOOKUP(B27,'Sales Master'!A$3:B$581,2,0)</f>
        <v>P3023</v>
      </c>
      <c r="D27" s="508" t="str">
        <f>VLOOKUP(C27,'Sales Master'!B$3:D$499,2,)</f>
        <v>Fungus黄 木耳朵</v>
      </c>
      <c r="E27" s="508"/>
      <c r="F27" s="508"/>
      <c r="G27" s="90">
        <v>1</v>
      </c>
      <c r="H27" s="386" t="str">
        <f>VLOOKUP(C27,'Sales Master'!B$3:F$3183,5,0)</f>
        <v>1 kg</v>
      </c>
      <c r="I27" s="513" t="str">
        <f>VLOOKUP(C27,'Sales Master'!B$3:E$3183,4,0)</f>
        <v>黄</v>
      </c>
      <c r="J27" s="513"/>
      <c r="K27" s="35">
        <f>VLOOKUP(C27,'Sales Master'!B$3:I$581,8,0)</f>
        <v>16</v>
      </c>
      <c r="L27" s="99">
        <f t="shared" si="12"/>
        <v>16</v>
      </c>
      <c r="N27" s="225">
        <f>VLOOKUP(C27,'Sales Master'!$B$3:$DA$3038,104,0)</f>
        <v>11</v>
      </c>
      <c r="O27" s="225">
        <f t="shared" si="13"/>
        <v>5</v>
      </c>
      <c r="P27" s="225">
        <f t="shared" si="14"/>
        <v>5</v>
      </c>
    </row>
    <row r="28" spans="2:22" ht="20.149999999999999" customHeight="1" x14ac:dyDescent="0.45">
      <c r="B28" s="70" t="s">
        <v>728</v>
      </c>
      <c r="C28" s="22" t="str">
        <f>VLOOKUP(B28,'Sales Master'!A$3:B$581,2,0)</f>
        <v>P3033</v>
      </c>
      <c r="D28" s="508" t="str">
        <f>VLOOKUP(C28,'Sales Master'!B$3:D$499,2,)</f>
        <v>Wolfberry 枸杞子</v>
      </c>
      <c r="E28" s="508"/>
      <c r="F28" s="508"/>
      <c r="G28" s="90">
        <v>1</v>
      </c>
      <c r="H28" s="386" t="str">
        <f>VLOOKUP(C28,'Sales Master'!B$3:F$3183,5,0)</f>
        <v>500 GM X 2</v>
      </c>
      <c r="I28" s="513" t="str">
        <f>VLOOKUP(C28,'Sales Master'!B$3:E$3183,4,0)</f>
        <v>-</v>
      </c>
      <c r="J28" s="513"/>
      <c r="K28" s="35">
        <f>VLOOKUP(C28,'Sales Master'!B$3:I$581,8,0)</f>
        <v>16</v>
      </c>
      <c r="L28" s="99">
        <f t="shared" si="12"/>
        <v>16</v>
      </c>
      <c r="N28" s="225">
        <f>VLOOKUP(C28,'Sales Master'!$B$3:$DA$3038,104,0)</f>
        <v>12</v>
      </c>
      <c r="O28" s="225">
        <f t="shared" si="13"/>
        <v>4</v>
      </c>
      <c r="P28" s="225">
        <f t="shared" si="14"/>
        <v>4</v>
      </c>
    </row>
    <row r="29" spans="2:22" ht="20.149999999999999" customHeight="1" x14ac:dyDescent="0.45">
      <c r="B29" s="70" t="s">
        <v>84</v>
      </c>
      <c r="C29" s="22" t="str">
        <f>VLOOKUP(B29,'Sales Master'!A$3:B$581,2,0)</f>
        <v>P4007</v>
      </c>
      <c r="D29" s="508" t="str">
        <f>VLOOKUP(C29,'Sales Master'!B$3:D$499,2,)</f>
        <v>Longan in Syrup龙眼</v>
      </c>
      <c r="E29" s="508"/>
      <c r="F29" s="508"/>
      <c r="G29" s="90">
        <v>1</v>
      </c>
      <c r="H29" s="386" t="str">
        <f>VLOOKUP(C29,'Sales Master'!B$3:F$3183,5,0)</f>
        <v>(565gm x 12)/箱</v>
      </c>
      <c r="I29" s="513" t="str">
        <f>VLOOKUP(C29,'Sales Master'!B$3:E$3183,4,0)</f>
        <v>YiFong</v>
      </c>
      <c r="J29" s="513"/>
      <c r="K29" s="35">
        <f>VLOOKUP(C29,'Sales Master'!B$3:I$581,8,0)</f>
        <v>23</v>
      </c>
      <c r="L29" s="99">
        <f t="shared" si="12"/>
        <v>23</v>
      </c>
      <c r="N29" s="225">
        <f>VLOOKUP(C29,'Sales Master'!$B$3:$DA$3038,104,0)</f>
        <v>18.055555555555557</v>
      </c>
      <c r="O29" s="225">
        <f t="shared" si="13"/>
        <v>4.9444444444444429</v>
      </c>
      <c r="P29" s="225">
        <f t="shared" si="14"/>
        <v>4.9444444444444429</v>
      </c>
    </row>
    <row r="30" spans="2:22" ht="20.149999999999999" customHeight="1" x14ac:dyDescent="0.45">
      <c r="B30" s="70" t="s">
        <v>95</v>
      </c>
      <c r="C30" s="22" t="str">
        <f>VLOOKUP(B30,'Sales Master'!A$3:B$581,2,0)</f>
        <v>P4009A</v>
      </c>
      <c r="D30" s="508" t="str">
        <f>VLOOKUP(C30,'Sales Master'!B$3:D$499,2,)</f>
        <v>Lychee in Syrup荔枝</v>
      </c>
      <c r="E30" s="508"/>
      <c r="F30" s="508"/>
      <c r="G30" s="90">
        <v>1</v>
      </c>
      <c r="H30" s="386" t="str">
        <f>VLOOKUP(C30,'Sales Master'!B$3:F$3183,5,0)</f>
        <v>(567gm x 12)/箱</v>
      </c>
      <c r="I30" s="513" t="str">
        <f>VLOOKUP(C30,'Sales Master'!B$3:E$3183,4,0)</f>
        <v>Golden Champ</v>
      </c>
      <c r="J30" s="513"/>
      <c r="K30" s="35">
        <f>VLOOKUP(C30,'Sales Master'!B$3:I$581,8,0)</f>
        <v>21</v>
      </c>
      <c r="L30" s="99">
        <f t="shared" si="12"/>
        <v>21</v>
      </c>
      <c r="N30" s="225">
        <f>VLOOKUP(C30,'Sales Master'!$B$3:$DA$3038,104,0)</f>
        <v>17.25</v>
      </c>
      <c r="O30" s="225">
        <f t="shared" si="13"/>
        <v>3.75</v>
      </c>
      <c r="P30" s="225">
        <f t="shared" si="14"/>
        <v>3.75</v>
      </c>
    </row>
    <row r="31" spans="2:22" ht="20.149999999999999" customHeight="1" x14ac:dyDescent="0.45">
      <c r="B31" s="70" t="s">
        <v>2192</v>
      </c>
      <c r="C31" s="22" t="str">
        <f>VLOOKUP(B31,'Sales Master'!A$3:B$581,2,0)</f>
        <v>P4014</v>
      </c>
      <c r="D31" s="508" t="str">
        <f>VLOOKUP(C31,'Sales Master'!B$3:D$499,2,)</f>
        <v>Cream Corn玉米浆</v>
      </c>
      <c r="E31" s="508"/>
      <c r="F31" s="508"/>
      <c r="G31" s="90">
        <v>1</v>
      </c>
      <c r="H31" s="386" t="str">
        <f>VLOOKUP(C31,'Sales Master'!B$3:F$3183,5,0)</f>
        <v>(425gm x 24)/箱</v>
      </c>
      <c r="I31" s="513" t="str">
        <f>VLOOKUP(C31,'Sales Master'!B$3:E$3183,4,0)</f>
        <v>Statue</v>
      </c>
      <c r="J31" s="513"/>
      <c r="K31" s="35">
        <f>VLOOKUP(C31,'Sales Master'!B$3:I$581,8,0)</f>
        <v>21</v>
      </c>
      <c r="L31" s="99">
        <f t="shared" si="12"/>
        <v>21</v>
      </c>
      <c r="N31" s="225">
        <f>VLOOKUP(C31,'Sales Master'!$B$3:$DA$3038,104,0)</f>
        <v>16</v>
      </c>
      <c r="O31" s="225">
        <f t="shared" si="13"/>
        <v>5</v>
      </c>
      <c r="P31" s="225">
        <f t="shared" si="14"/>
        <v>5</v>
      </c>
    </row>
    <row r="32" spans="2:22" ht="20.149999999999999" customHeight="1" x14ac:dyDescent="0.45">
      <c r="B32" s="70" t="s">
        <v>62</v>
      </c>
      <c r="C32" s="22" t="str">
        <f>VLOOKUP(B32,'Sales Master'!A$3:B$581,2,0)</f>
        <v>P5002B</v>
      </c>
      <c r="D32" s="508" t="str">
        <f>VLOOKUP(C32,'Sales Master'!B$3:D$499,2,)</f>
        <v>Brown Sugar 黑糖</v>
      </c>
      <c r="E32" s="508"/>
      <c r="F32" s="508"/>
      <c r="G32" s="90">
        <v>1</v>
      </c>
      <c r="H32" s="386" t="str">
        <f>VLOOKUP(C32,'Sales Master'!B$3:F$3183,5,0)</f>
        <v>6 kgs</v>
      </c>
      <c r="I32" s="513" t="str">
        <f>VLOOKUP(C32,'Sales Master'!B$3:E$3183,4,0)</f>
        <v>Thailand</v>
      </c>
      <c r="J32" s="513"/>
      <c r="K32" s="35">
        <f>VLOOKUP(C32,'Sales Master'!B$3:I$581,8,0)</f>
        <v>13</v>
      </c>
      <c r="L32" s="99">
        <f t="shared" si="12"/>
        <v>13</v>
      </c>
      <c r="N32" s="225">
        <f>VLOOKUP(C32,'Sales Master'!$B$3:$DA$3038,104,0)</f>
        <v>11.2</v>
      </c>
      <c r="O32" s="225">
        <f t="shared" si="13"/>
        <v>1.8000000000000007</v>
      </c>
      <c r="P32" s="225">
        <f t="shared" si="14"/>
        <v>1.8000000000000007</v>
      </c>
    </row>
    <row r="33" spans="2:16" ht="20.149999999999999" customHeight="1" x14ac:dyDescent="0.45">
      <c r="B33" s="70" t="s">
        <v>129</v>
      </c>
      <c r="C33" s="22" t="str">
        <f>VLOOKUP(B33,'Sales Master'!A$3:B$581,2,0)</f>
        <v>P5003A</v>
      </c>
      <c r="D33" s="508" t="str">
        <f>VLOOKUP(C33,'Sales Master'!B$3:D$499,2,)</f>
        <v>Red Sugar 赤糖</v>
      </c>
      <c r="E33" s="508"/>
      <c r="F33" s="508"/>
      <c r="G33" s="90">
        <v>1</v>
      </c>
      <c r="H33" s="386" t="str">
        <f>VLOOKUP(C33,'Sales Master'!B$3:F$3183,5,0)</f>
        <v>6 kgs</v>
      </c>
      <c r="I33" s="513" t="str">
        <f>VLOOKUP(C33,'Sales Master'!B$3:E$3183,4,0)</f>
        <v>Star</v>
      </c>
      <c r="J33" s="513"/>
      <c r="K33" s="35">
        <f>VLOOKUP(C33,'Sales Master'!B$3:I$581,8,0)</f>
        <v>13</v>
      </c>
      <c r="L33" s="99">
        <f t="shared" si="12"/>
        <v>13</v>
      </c>
      <c r="N33" s="225">
        <f>VLOOKUP(C33,'Sales Master'!$B$3:$DA$3038,104,0)</f>
        <v>10.5</v>
      </c>
      <c r="O33" s="225">
        <f t="shared" si="13"/>
        <v>2.5</v>
      </c>
      <c r="P33" s="225">
        <f t="shared" si="14"/>
        <v>2.5</v>
      </c>
    </row>
    <row r="34" spans="2:16" ht="20.149999999999999" customHeight="1" x14ac:dyDescent="0.45">
      <c r="B34" s="70" t="s">
        <v>104</v>
      </c>
      <c r="C34" s="22" t="str">
        <f>VLOOKUP(B34,'Sales Master'!A$3:B$581,2,0)</f>
        <v>P5008</v>
      </c>
      <c r="D34" s="508" t="str">
        <f>VLOOKUP(C34,'Sales Master'!B$3:D$499,2,)</f>
        <v>Coconut Sugar椰糖</v>
      </c>
      <c r="E34" s="508"/>
      <c r="F34" s="508"/>
      <c r="G34" s="90">
        <v>1</v>
      </c>
      <c r="H34" s="386" t="str">
        <f>VLOOKUP(C34,'Sales Master'!B$3:F$3183,5,0)</f>
        <v>10kgs/ctn</v>
      </c>
      <c r="I34" s="513" t="str">
        <f>VLOOKUP(C34,'Sales Master'!B$3:E$3183,4,0)</f>
        <v>BL BRAND</v>
      </c>
      <c r="J34" s="513"/>
      <c r="K34" s="35">
        <f>VLOOKUP(C34,'Sales Master'!B$3:I$581,8,0)</f>
        <v>32</v>
      </c>
      <c r="L34" s="99">
        <f t="shared" si="12"/>
        <v>32</v>
      </c>
      <c r="N34" s="225">
        <f>VLOOKUP(C34,'Sales Master'!$B$3:$DA$3038,104,0)</f>
        <v>28</v>
      </c>
      <c r="O34" s="225">
        <f t="shared" si="13"/>
        <v>4</v>
      </c>
      <c r="P34" s="225">
        <f t="shared" si="14"/>
        <v>4</v>
      </c>
    </row>
    <row r="35" spans="2:16" ht="20.149999999999999" customHeight="1" x14ac:dyDescent="0.45">
      <c r="B35" s="70" t="s">
        <v>76</v>
      </c>
      <c r="C35" s="22" t="str">
        <f>VLOOKUP(B35,'Sales Master'!A$3:B$581,2,0)</f>
        <v>P6002</v>
      </c>
      <c r="D35" s="508" t="str">
        <f>VLOOKUP(C35,'Sales Master'!B$3:D$499,2,)</f>
        <v>Sweet Potato 番薯</v>
      </c>
      <c r="E35" s="508"/>
      <c r="F35" s="508"/>
      <c r="G35" s="90">
        <v>5</v>
      </c>
      <c r="H35" s="386" t="str">
        <f>VLOOKUP(C35,'Sales Master'!B$3:F$3183,5,0)</f>
        <v>1 KG</v>
      </c>
      <c r="I35" s="513" t="str">
        <f>VLOOKUP(C35,'Sales Master'!B$3:E$3183,4,0)</f>
        <v>Malaysia</v>
      </c>
      <c r="J35" s="513"/>
      <c r="K35" s="35">
        <f>VLOOKUP(C35,'Sales Master'!B$3:I$581,8,0)</f>
        <v>2.2000000000000002</v>
      </c>
      <c r="L35" s="99">
        <f t="shared" si="12"/>
        <v>11</v>
      </c>
      <c r="N35" s="225">
        <f>VLOOKUP(C35,'Sales Master'!$B$3:$DA$3038,104,0)</f>
        <v>1.8666666666666665</v>
      </c>
      <c r="O35" s="225">
        <f t="shared" si="13"/>
        <v>0.3333333333333337</v>
      </c>
      <c r="P35" s="225">
        <f t="shared" si="14"/>
        <v>1.6666666666666685</v>
      </c>
    </row>
    <row r="36" spans="2:16" ht="20.149999999999999" customHeight="1" x14ac:dyDescent="0.45">
      <c r="B36" s="70" t="s">
        <v>74</v>
      </c>
      <c r="C36" s="22" t="str">
        <f>VLOOKUP(B36,'Sales Master'!A$3:B$581,2,0)</f>
        <v>P6007</v>
      </c>
      <c r="D36" s="508" t="str">
        <f>VLOOKUP(C36,'Sales Master'!B$3:D$499,2,)</f>
        <v>Pandan Leaf 班兰叶</v>
      </c>
      <c r="E36" s="508"/>
      <c r="F36" s="508"/>
      <c r="G36" s="90">
        <v>2</v>
      </c>
      <c r="H36" s="386" t="str">
        <f>VLOOKUP(C36,'Sales Master'!B$3:F$3183,5,0)</f>
        <v>1 kg</v>
      </c>
      <c r="I36" s="513" t="str">
        <f>VLOOKUP(C36,'Sales Master'!B$3:E$3183,4,0)</f>
        <v>-</v>
      </c>
      <c r="J36" s="513"/>
      <c r="K36" s="35">
        <f>VLOOKUP(C36,'Sales Master'!B$3:I$581,8,0)</f>
        <v>1.8</v>
      </c>
      <c r="L36" s="99">
        <f t="shared" si="12"/>
        <v>3.6</v>
      </c>
      <c r="N36" s="225">
        <f>VLOOKUP(C36,'Sales Master'!$B$3:$DA$3038,104,0)</f>
        <v>1</v>
      </c>
      <c r="O36" s="225">
        <f t="shared" si="13"/>
        <v>0.8</v>
      </c>
      <c r="P36" s="225">
        <f t="shared" si="14"/>
        <v>1.6</v>
      </c>
    </row>
    <row r="37" spans="2:16" ht="20.149999999999999" customHeight="1" x14ac:dyDescent="0.45">
      <c r="B37" s="70" t="s">
        <v>78</v>
      </c>
      <c r="C37" s="22" t="str">
        <f>VLOOKUP(B37,'Sales Master'!A$3:B$581,2,0)</f>
        <v>P6014</v>
      </c>
      <c r="D37" s="508" t="str">
        <f>VLOOKUP(C37,'Sales Master'!B$3:D$499,2,)</f>
        <v>Yu Tiao 油条</v>
      </c>
      <c r="E37" s="508"/>
      <c r="F37" s="508"/>
      <c r="G37" s="90">
        <v>20</v>
      </c>
      <c r="H37" s="386" t="str">
        <f>VLOOKUP(C37,'Sales Master'!B$3:F$3183,5,0)</f>
        <v>1 pc</v>
      </c>
      <c r="I37" s="513" t="str">
        <f>VLOOKUP(C37,'Sales Master'!B$3:E$3183,4,0)</f>
        <v>-</v>
      </c>
      <c r="J37" s="513"/>
      <c r="K37" s="35">
        <f>VLOOKUP(C37,'Sales Master'!B$3:I$581,8,0)</f>
        <v>0.5</v>
      </c>
      <c r="L37" s="99">
        <f t="shared" si="12"/>
        <v>10</v>
      </c>
      <c r="N37" s="225">
        <f>VLOOKUP(C37,'Sales Master'!$B$3:$DA$3038,104,0)</f>
        <v>0.4</v>
      </c>
      <c r="O37" s="225">
        <f t="shared" si="13"/>
        <v>9.9999999999999978E-2</v>
      </c>
      <c r="P37" s="225">
        <f t="shared" si="14"/>
        <v>1.9999999999999996</v>
      </c>
    </row>
    <row r="38" spans="2:16" ht="20" customHeight="1" x14ac:dyDescent="0.45">
      <c r="B38" s="70" t="s">
        <v>2068</v>
      </c>
      <c r="C38" s="22" t="str">
        <f>VLOOKUP(B38,'Sales Master'!A$3:B$581,2,0)</f>
        <v>P3062</v>
      </c>
      <c r="D38" s="508" t="str">
        <f>VLOOKUP(C38,'Sales Master'!B$3:D$499,2,)</f>
        <v xml:space="preserve">DRIED ROSELLE </v>
      </c>
      <c r="E38" s="508"/>
      <c r="F38" s="508"/>
      <c r="G38" s="90">
        <v>1</v>
      </c>
      <c r="H38" s="386" t="str">
        <f>VLOOKUP(C38,'Sales Master'!B$3:F$3183,5,0)</f>
        <v>1 KG</v>
      </c>
      <c r="I38" s="513" t="str">
        <f>VLOOKUP(C38,'Sales Master'!B$3:E$3183,4,0)</f>
        <v>China</v>
      </c>
      <c r="J38" s="513"/>
      <c r="K38" s="35">
        <f>VLOOKUP(C38,'Sales Master'!B$3:I$581,8,0)</f>
        <v>20</v>
      </c>
      <c r="L38" s="99">
        <f t="shared" si="12"/>
        <v>20</v>
      </c>
      <c r="N38" s="225">
        <f>VLOOKUP(C38,'Sales Master'!$B$3:$DA$3038,104,0)</f>
        <v>13.5</v>
      </c>
      <c r="O38" s="225">
        <f t="shared" si="13"/>
        <v>6.5</v>
      </c>
      <c r="P38" s="225">
        <f t="shared" si="14"/>
        <v>6.5</v>
      </c>
    </row>
    <row r="39" spans="2:16" ht="20.149999999999999" customHeight="1" x14ac:dyDescent="0.45">
      <c r="B39" s="70" t="s">
        <v>2193</v>
      </c>
      <c r="C39" s="22" t="str">
        <f>VLOOKUP(B39,'Sales Master'!A$3:B$581,2,0)</f>
        <v>M1037A</v>
      </c>
      <c r="D39" s="508" t="str">
        <f>VLOOKUP(C39,'Sales Master'!B$3:D$499,2,)</f>
        <v>ROCK SUGAR SYRUP</v>
      </c>
      <c r="E39" s="508"/>
      <c r="F39" s="508"/>
      <c r="G39" s="90">
        <v>10</v>
      </c>
      <c r="H39" s="386" t="str">
        <f>VLOOKUP(C39,'Sales Master'!B$3:F$3183,5,0)</f>
        <v>5 KG</v>
      </c>
      <c r="I39" s="513" t="str">
        <f>VLOOKUP(C39,'Sales Master'!B$3:E$3183,4,0)</f>
        <v>DO!</v>
      </c>
      <c r="J39" s="513"/>
      <c r="K39" s="35">
        <f>VLOOKUP(C39,'Sales Master'!B$3:I$581,8,0)</f>
        <v>8.5</v>
      </c>
      <c r="L39" s="99">
        <f t="shared" si="12"/>
        <v>85</v>
      </c>
      <c r="N39" s="225">
        <f>VLOOKUP(C39,'Sales Master'!$B$3:$DA$3038,104,0)</f>
        <v>5.5</v>
      </c>
      <c r="O39" s="225">
        <f t="shared" si="13"/>
        <v>3</v>
      </c>
      <c r="P39" s="225">
        <f t="shared" si="14"/>
        <v>30</v>
      </c>
    </row>
    <row r="40" spans="2:16" ht="20.149999999999999" customHeight="1" x14ac:dyDescent="0.45">
      <c r="B40" s="70"/>
      <c r="C40" s="22"/>
      <c r="G40" s="90"/>
      <c r="H40" s="386"/>
      <c r="I40" s="439"/>
      <c r="J40" s="439"/>
      <c r="K40" s="35"/>
      <c r="L40" s="99"/>
      <c r="N40" s="225"/>
      <c r="O40" s="225"/>
      <c r="P40" s="225"/>
    </row>
    <row r="41" spans="2:16" ht="20.149999999999999" customHeight="1" x14ac:dyDescent="0.45">
      <c r="B41" s="70"/>
      <c r="C41" s="22"/>
      <c r="G41" s="90"/>
      <c r="H41" s="386"/>
      <c r="I41" s="439"/>
      <c r="J41" s="439"/>
      <c r="K41" s="35"/>
      <c r="L41" s="99"/>
      <c r="N41" s="225"/>
      <c r="O41" s="225"/>
      <c r="P41" s="225"/>
    </row>
    <row r="42" spans="2:16" ht="20.149999999999999" customHeight="1" thickBot="1" x14ac:dyDescent="0.5">
      <c r="B42" s="101"/>
      <c r="C42" s="38"/>
      <c r="D42" s="509"/>
      <c r="E42" s="509"/>
      <c r="F42" s="509"/>
      <c r="G42" s="38"/>
      <c r="H42" s="69"/>
      <c r="I42" s="557"/>
      <c r="J42" s="557"/>
      <c r="K42" s="39"/>
      <c r="L42" s="176"/>
    </row>
    <row r="43" spans="2:16" ht="20.149999999999999" customHeight="1" thickBot="1" x14ac:dyDescent="0.5">
      <c r="B43" s="41"/>
      <c r="L43" s="42"/>
    </row>
    <row r="44" spans="2:16" ht="20.149999999999999" customHeight="1" x14ac:dyDescent="0.45">
      <c r="B44" s="11" t="s">
        <v>18</v>
      </c>
      <c r="C44" s="7"/>
      <c r="D44" s="7"/>
      <c r="E44" s="7"/>
      <c r="F44" s="7"/>
      <c r="G44" s="7"/>
      <c r="H44" s="7"/>
      <c r="I44" s="7"/>
      <c r="J44" s="510" t="s">
        <v>15</v>
      </c>
      <c r="K44" s="511"/>
      <c r="L44" s="43">
        <f>SUM(L18:L42)</f>
        <v>473.6</v>
      </c>
      <c r="M44" s="76">
        <f>SUM(P18:P42)</f>
        <v>129.96511111111113</v>
      </c>
      <c r="N44" s="201">
        <f>M44/L44</f>
        <v>0.27441957582582582</v>
      </c>
    </row>
    <row r="45" spans="2:16" ht="20.149999999999999" customHeight="1" x14ac:dyDescent="0.45">
      <c r="B45" s="11" t="s">
        <v>19</v>
      </c>
      <c r="C45" s="7"/>
      <c r="D45" s="7"/>
      <c r="E45" s="7"/>
      <c r="F45" s="7"/>
      <c r="G45" s="7"/>
      <c r="H45" s="7"/>
      <c r="I45" s="7"/>
      <c r="J45" s="44" t="s">
        <v>22</v>
      </c>
      <c r="K45" s="45"/>
      <c r="L45" s="46">
        <f>L44*K45</f>
        <v>0</v>
      </c>
    </row>
    <row r="46" spans="2:16" ht="20.149999999999999" customHeight="1" x14ac:dyDescent="0.45">
      <c r="B46" s="11" t="s">
        <v>20</v>
      </c>
      <c r="C46" s="7"/>
      <c r="D46" s="7"/>
      <c r="E46" s="7"/>
      <c r="F46" s="7"/>
      <c r="G46" s="7"/>
      <c r="H46" s="7"/>
      <c r="I46" s="7"/>
      <c r="J46" s="486" t="s">
        <v>21</v>
      </c>
      <c r="K46" s="487"/>
      <c r="L46" s="46">
        <f>L44-L45</f>
        <v>473.6</v>
      </c>
    </row>
    <row r="47" spans="2:16" ht="20.149999999999999" customHeight="1" x14ac:dyDescent="0.45">
      <c r="B47" s="11" t="s">
        <v>24</v>
      </c>
      <c r="C47" s="7"/>
      <c r="D47" s="7"/>
      <c r="E47" s="7"/>
      <c r="F47" s="7"/>
      <c r="G47" s="7"/>
      <c r="H47" s="7"/>
      <c r="I47" s="7"/>
      <c r="J47" s="150" t="s">
        <v>17</v>
      </c>
      <c r="K47" s="151">
        <v>7.0000000000000007E-2</v>
      </c>
      <c r="L47" s="384">
        <f>L46*K47</f>
        <v>33.152000000000008</v>
      </c>
    </row>
    <row r="48" spans="2:16" ht="20.149999999999999" customHeight="1" thickBot="1" x14ac:dyDescent="0.5">
      <c r="B48" s="11" t="s">
        <v>25</v>
      </c>
      <c r="C48" s="7"/>
      <c r="D48" s="7"/>
      <c r="E48" s="7"/>
      <c r="F48" s="7"/>
      <c r="G48" s="7"/>
      <c r="H48" s="7"/>
      <c r="I48" s="7"/>
      <c r="J48" s="488" t="s">
        <v>23</v>
      </c>
      <c r="K48" s="489"/>
      <c r="L48" s="48">
        <f>L46+L47</f>
        <v>506.75200000000001</v>
      </c>
    </row>
    <row r="49" spans="2:12" ht="20.149999999999999" customHeight="1" x14ac:dyDescent="0.45">
      <c r="B49" s="11" t="s">
        <v>26</v>
      </c>
      <c r="C49" s="7"/>
      <c r="D49" s="7"/>
      <c r="E49" s="7"/>
      <c r="F49" s="7"/>
      <c r="G49" s="7"/>
      <c r="H49" s="7"/>
      <c r="I49" s="7"/>
      <c r="L49" s="42"/>
    </row>
    <row r="50" spans="2:12" ht="20.149999999999999" customHeight="1" x14ac:dyDescent="0.45">
      <c r="B50" s="41"/>
      <c r="L50" s="42"/>
    </row>
    <row r="51" spans="2:12" ht="20.149999999999999" customHeight="1" x14ac:dyDescent="0.45">
      <c r="B51" s="41"/>
      <c r="L51" s="42"/>
    </row>
    <row r="52" spans="2:12" ht="20.149999999999999" customHeight="1" x14ac:dyDescent="0.45">
      <c r="B52" s="41"/>
      <c r="L52" s="42"/>
    </row>
    <row r="53" spans="2:12" ht="20.149999999999999" customHeight="1" x14ac:dyDescent="0.45">
      <c r="B53" s="49"/>
      <c r="C53" s="50"/>
      <c r="D53" s="50"/>
      <c r="J53" s="50"/>
      <c r="K53" s="50"/>
      <c r="L53" s="51"/>
    </row>
    <row r="54" spans="2:12" ht="20.149999999999999" customHeight="1" x14ac:dyDescent="0.45">
      <c r="B54" s="41" t="s">
        <v>27</v>
      </c>
      <c r="J54" s="24" t="s">
        <v>28</v>
      </c>
      <c r="L54" s="42"/>
    </row>
    <row r="55" spans="2:12" ht="19" thickBot="1" x14ac:dyDescent="0.5">
      <c r="B55" s="52"/>
      <c r="C55" s="53"/>
      <c r="D55" s="53"/>
      <c r="E55" s="53"/>
      <c r="F55" s="53"/>
      <c r="G55" s="53"/>
      <c r="H55" s="53"/>
      <c r="I55" s="53"/>
      <c r="J55" s="53"/>
      <c r="K55" s="53"/>
      <c r="L55" s="54"/>
    </row>
  </sheetData>
  <mergeCells count="64">
    <mergeCell ref="B1:L8"/>
    <mergeCell ref="D17:F17"/>
    <mergeCell ref="K11:L11"/>
    <mergeCell ref="B12:D12"/>
    <mergeCell ref="K12:L12"/>
    <mergeCell ref="B13:D13"/>
    <mergeCell ref="K13:L13"/>
    <mergeCell ref="B11:D11"/>
    <mergeCell ref="F11:H15"/>
    <mergeCell ref="B14:D14"/>
    <mergeCell ref="K14:L14"/>
    <mergeCell ref="K15:L15"/>
    <mergeCell ref="B15:D15"/>
    <mergeCell ref="I17:J17"/>
    <mergeCell ref="K10:L10"/>
    <mergeCell ref="D19:F19"/>
    <mergeCell ref="I19:J19"/>
    <mergeCell ref="D18:F18"/>
    <mergeCell ref="I18:J18"/>
    <mergeCell ref="D28:F28"/>
    <mergeCell ref="I28:J28"/>
    <mergeCell ref="I21:J21"/>
    <mergeCell ref="I20:J20"/>
    <mergeCell ref="D27:F27"/>
    <mergeCell ref="D21:F21"/>
    <mergeCell ref="D20:F20"/>
    <mergeCell ref="D22:F22"/>
    <mergeCell ref="D23:F23"/>
    <mergeCell ref="I25:J25"/>
    <mergeCell ref="D25:F25"/>
    <mergeCell ref="D26:F26"/>
    <mergeCell ref="D35:F35"/>
    <mergeCell ref="I35:J35"/>
    <mergeCell ref="I38:J38"/>
    <mergeCell ref="D38:F38"/>
    <mergeCell ref="J48:K48"/>
    <mergeCell ref="I42:J42"/>
    <mergeCell ref="J46:K46"/>
    <mergeCell ref="D42:F42"/>
    <mergeCell ref="J44:K44"/>
    <mergeCell ref="D39:F39"/>
    <mergeCell ref="I39:J39"/>
    <mergeCell ref="D29:F29"/>
    <mergeCell ref="I29:J29"/>
    <mergeCell ref="D37:F37"/>
    <mergeCell ref="I37:J37"/>
    <mergeCell ref="D30:F30"/>
    <mergeCell ref="I30:J30"/>
    <mergeCell ref="D36:F36"/>
    <mergeCell ref="I36:J36"/>
    <mergeCell ref="D31:F31"/>
    <mergeCell ref="I31:J31"/>
    <mergeCell ref="D33:F33"/>
    <mergeCell ref="I33:J33"/>
    <mergeCell ref="D34:F34"/>
    <mergeCell ref="I34:J34"/>
    <mergeCell ref="D32:F32"/>
    <mergeCell ref="I32:J32"/>
    <mergeCell ref="I27:J27"/>
    <mergeCell ref="I26:J26"/>
    <mergeCell ref="D24:F24"/>
    <mergeCell ref="I22:J22"/>
    <mergeCell ref="I23:J23"/>
    <mergeCell ref="I24:J24"/>
  </mergeCells>
  <hyperlinks>
    <hyperlink ref="B15" r:id="rId1" xr:uid="{87C0F3FF-386C-4452-B951-5C66B5D4EC0D}"/>
  </hyperlinks>
  <pageMargins left="0.70866141732283505" right="0.31496062992126" top="0.59055118110236204" bottom="0" header="0.31496062992126" footer="0.31496062992126"/>
  <pageSetup paperSize="9" scale="72" orientation="portrait" horizontalDpi="300" verticalDpi="300" r:id="rId2"/>
  <drawing r:id="rId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95B516-7026-4FF0-BA11-5EFC5BF632DB}">
  <sheetPr codeName="Sheet59">
    <tabColor rgb="FF92D050"/>
    <pageSetUpPr fitToPage="1"/>
  </sheetPr>
  <dimension ref="B1:P42"/>
  <sheetViews>
    <sheetView topLeftCell="B1" workbookViewId="0">
      <selection activeCell="M6" sqref="M6"/>
    </sheetView>
  </sheetViews>
  <sheetFormatPr defaultColWidth="12.54296875" defaultRowHeight="18.5" x14ac:dyDescent="0.45"/>
  <cols>
    <col min="1" max="1" width="12.54296875" style="24"/>
    <col min="2" max="3" width="12.54296875" style="24" customWidth="1"/>
    <col min="4" max="4" width="13.7265625" style="24" customWidth="1"/>
    <col min="5" max="5" width="1.54296875" style="24" customWidth="1"/>
    <col min="6" max="6" width="16.1796875" style="24" customWidth="1"/>
    <col min="7" max="7" width="8.54296875" style="24" customWidth="1"/>
    <col min="8" max="8" width="15.81640625" style="24" customWidth="1"/>
    <col min="9" max="9" width="4.54296875" style="24" customWidth="1"/>
    <col min="10" max="10" width="15.54296875" style="24" customWidth="1"/>
    <col min="11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653</v>
      </c>
      <c r="J10" s="29" t="s">
        <v>29</v>
      </c>
      <c r="K10" s="452">
        <v>202209449</v>
      </c>
      <c r="L10" s="453"/>
    </row>
    <row r="11" spans="2:12" ht="20.149999999999999" customHeight="1" x14ac:dyDescent="0.45">
      <c r="B11" s="454" t="s">
        <v>1403</v>
      </c>
      <c r="C11" s="455"/>
      <c r="D11" s="456"/>
      <c r="E11" s="30"/>
      <c r="F11" s="457" t="str">
        <f>VLOOKUP(H10,'Delivery Location'!A$4:N$416,2,0)</f>
        <v>COMBINED STALL/CENTURY SQUARE STALL #01                                                   2,  Tampines Central 5, #03-20 Century Square</v>
      </c>
      <c r="G11" s="458"/>
      <c r="H11" s="459"/>
      <c r="J11" s="31" t="s">
        <v>11</v>
      </c>
      <c r="K11" s="466">
        <v>44833</v>
      </c>
      <c r="L11" s="467"/>
    </row>
    <row r="12" spans="2:12" ht="20.149999999999999" customHeight="1" x14ac:dyDescent="0.45">
      <c r="B12" s="468" t="s">
        <v>869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2339</v>
      </c>
      <c r="L12" s="472"/>
    </row>
    <row r="13" spans="2:12" ht="20.149999999999999" customHeight="1" x14ac:dyDescent="0.45">
      <c r="B13" s="468" t="s">
        <v>870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1149</v>
      </c>
      <c r="L13" s="472"/>
    </row>
    <row r="14" spans="2:12" ht="20.149999999999999" customHeight="1" x14ac:dyDescent="0.45">
      <c r="B14" s="468" t="s">
        <v>871</v>
      </c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473" t="s">
        <v>872</v>
      </c>
      <c r="C15" s="474"/>
      <c r="D15" s="475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16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8" t="s">
        <v>60</v>
      </c>
      <c r="I17" s="478" t="s">
        <v>621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16" ht="20.149999999999999" customHeight="1" x14ac:dyDescent="0.45">
      <c r="B18" s="70" t="s">
        <v>63</v>
      </c>
      <c r="C18" s="22" t="str">
        <f>VLOOKUP(B18,'Sales Master'!A$3:B$581,2,0)</f>
        <v>P3016A</v>
      </c>
      <c r="D18" s="555" t="str">
        <f>VLOOKUP(C18,'Sales Master'!B$3:D$499,2,)</f>
        <v>Pearl Barley 薏米</v>
      </c>
      <c r="E18" s="555"/>
      <c r="F18" s="555"/>
      <c r="G18" s="90">
        <v>2</v>
      </c>
      <c r="H18" s="408" t="str">
        <f>VLOOKUP(C18,'Sales Master'!$B$3:$E$590,4,0)</f>
        <v>-</v>
      </c>
      <c r="I18" s="579" t="str">
        <f>VLOOKUP(C18,'Sales Master'!$B$3:F$590,5,0)</f>
        <v>5 kgs</v>
      </c>
      <c r="J18" s="579"/>
      <c r="K18" s="98">
        <f>VLOOKUP(C18,'Sales Master'!B$3:I$581,8,0)</f>
        <v>8.5</v>
      </c>
      <c r="L18" s="99">
        <f t="shared" ref="L18" si="0">K18*G18</f>
        <v>17</v>
      </c>
      <c r="M18" s="78"/>
      <c r="N18" s="225">
        <f>VLOOKUP(C18,'Sales Master'!$B$3:$DA$3038,104,0)</f>
        <v>6.8000000000000007</v>
      </c>
      <c r="O18" s="225">
        <f t="shared" ref="O18" si="1">K18-N18</f>
        <v>1.6999999999999993</v>
      </c>
      <c r="P18" s="225">
        <f t="shared" ref="P18" si="2">O18*G18</f>
        <v>3.3999999999999986</v>
      </c>
    </row>
    <row r="19" spans="2:16" ht="20.149999999999999" customHeight="1" x14ac:dyDescent="0.45">
      <c r="B19" s="70" t="s">
        <v>62</v>
      </c>
      <c r="C19" s="22" t="str">
        <f>VLOOKUP(B19,'Sales Master'!A$3:B$581,2,0)</f>
        <v>P5002B</v>
      </c>
      <c r="D19" s="508" t="str">
        <f>VLOOKUP(C19,'Sales Master'!B$3:D$499,2,)</f>
        <v>Brown Sugar 黑糖</v>
      </c>
      <c r="E19" s="508"/>
      <c r="F19" s="508"/>
      <c r="G19" s="90">
        <v>1</v>
      </c>
      <c r="H19" s="408" t="str">
        <f>VLOOKUP(C19,'Sales Master'!$B$3:$E$590,4,0)</f>
        <v>Thailand</v>
      </c>
      <c r="I19" s="579" t="str">
        <f>VLOOKUP(C19,'Sales Master'!$B$3:F$590,5,0)</f>
        <v>6 kgs</v>
      </c>
      <c r="J19" s="579"/>
      <c r="K19" s="98">
        <f>VLOOKUP(C19,'Sales Master'!B$3:I$581,8,0)</f>
        <v>13</v>
      </c>
      <c r="L19" s="99">
        <f t="shared" ref="L19:L21" si="3">K19*G19</f>
        <v>13</v>
      </c>
      <c r="M19" s="78"/>
      <c r="N19" s="225">
        <f>VLOOKUP(C19,'Sales Master'!$B$3:$DA$3038,104,0)</f>
        <v>11.2</v>
      </c>
      <c r="O19" s="225">
        <f t="shared" ref="O19:O21" si="4">K19-N19</f>
        <v>1.8000000000000007</v>
      </c>
      <c r="P19" s="225">
        <f t="shared" ref="P19:P21" si="5">O19*G19</f>
        <v>1.8000000000000007</v>
      </c>
    </row>
    <row r="20" spans="2:16" ht="20.149999999999999" customHeight="1" x14ac:dyDescent="0.45">
      <c r="B20" s="70" t="s">
        <v>104</v>
      </c>
      <c r="C20" s="22" t="str">
        <f>VLOOKUP(B20,'Sales Master'!A$3:B$581,2,0)</f>
        <v>P5008</v>
      </c>
      <c r="D20" s="508" t="str">
        <f>VLOOKUP(C20,'Sales Master'!B$3:D$499,2,)</f>
        <v>Coconut Sugar椰糖</v>
      </c>
      <c r="E20" s="508"/>
      <c r="F20" s="508"/>
      <c r="G20" s="90">
        <v>1</v>
      </c>
      <c r="H20" s="408" t="str">
        <f>VLOOKUP(C20,'Sales Master'!$B$3:$E$590,4,0)</f>
        <v>BL BRAND</v>
      </c>
      <c r="I20" s="579" t="str">
        <f>VLOOKUP(C20,'Sales Master'!$B$3:F$590,5,0)</f>
        <v>10kgs/ctn</v>
      </c>
      <c r="J20" s="579"/>
      <c r="K20" s="98">
        <f>VLOOKUP(C20,'Sales Master'!B$3:I$581,8,0)</f>
        <v>32</v>
      </c>
      <c r="L20" s="99">
        <f t="shared" si="3"/>
        <v>32</v>
      </c>
      <c r="M20" s="78"/>
      <c r="N20" s="225">
        <f>VLOOKUP(C20,'Sales Master'!$B$3:$DA$3038,104,0)</f>
        <v>28</v>
      </c>
      <c r="O20" s="225">
        <f t="shared" si="4"/>
        <v>4</v>
      </c>
      <c r="P20" s="225">
        <f t="shared" si="5"/>
        <v>4</v>
      </c>
    </row>
    <row r="21" spans="2:16" ht="20.149999999999999" customHeight="1" x14ac:dyDescent="0.45">
      <c r="B21" s="70" t="s">
        <v>2193</v>
      </c>
      <c r="C21" s="22" t="str">
        <f>VLOOKUP(B21,'Sales Master'!A$3:B$581,2,0)</f>
        <v>M1037A</v>
      </c>
      <c r="D21" s="508" t="str">
        <f>VLOOKUP(C21,'Sales Master'!B$3:D$499,2,)</f>
        <v>ROCK SUGAR SYRUP</v>
      </c>
      <c r="E21" s="508"/>
      <c r="F21" s="508"/>
      <c r="G21" s="90">
        <v>10</v>
      </c>
      <c r="H21" s="408" t="str">
        <f>VLOOKUP(C21,'Sales Master'!$B$3:$E$590,4,0)</f>
        <v>DO!</v>
      </c>
      <c r="I21" s="579" t="str">
        <f>VLOOKUP(C21,'Sales Master'!$B$3:F$590,5,0)</f>
        <v>5 KG</v>
      </c>
      <c r="J21" s="579"/>
      <c r="K21" s="98">
        <f>VLOOKUP(C21,'Sales Master'!B$3:I$581,8,0)</f>
        <v>8.5</v>
      </c>
      <c r="L21" s="99">
        <f t="shared" si="3"/>
        <v>85</v>
      </c>
      <c r="M21" s="78"/>
      <c r="N21" s="225">
        <f>VLOOKUP(C21,'Sales Master'!$B$3:$DA$3038,104,0)</f>
        <v>5.5</v>
      </c>
      <c r="O21" s="225">
        <f t="shared" si="4"/>
        <v>3</v>
      </c>
      <c r="P21" s="225">
        <f t="shared" si="5"/>
        <v>30</v>
      </c>
    </row>
    <row r="22" spans="2:16" ht="20.149999999999999" customHeight="1" x14ac:dyDescent="0.45">
      <c r="B22" s="70"/>
      <c r="C22" s="22"/>
      <c r="D22" s="508"/>
      <c r="E22" s="508"/>
      <c r="F22" s="508"/>
      <c r="G22" s="90"/>
      <c r="H22" s="408"/>
      <c r="I22" s="505"/>
      <c r="J22" s="505"/>
      <c r="K22" s="98"/>
      <c r="L22" s="99"/>
      <c r="M22" s="78"/>
      <c r="N22" s="225"/>
      <c r="O22" s="225"/>
      <c r="P22" s="225"/>
    </row>
    <row r="23" spans="2:16" ht="20.149999999999999" customHeight="1" x14ac:dyDescent="0.45">
      <c r="B23" s="70"/>
      <c r="C23" s="22"/>
      <c r="D23" s="508"/>
      <c r="E23" s="508"/>
      <c r="F23" s="508"/>
      <c r="G23" s="90"/>
      <c r="H23" s="408"/>
      <c r="I23" s="505"/>
      <c r="J23" s="505"/>
      <c r="K23" s="98"/>
      <c r="L23" s="99"/>
      <c r="M23" s="78"/>
      <c r="N23" s="225"/>
      <c r="O23" s="225"/>
      <c r="P23" s="225"/>
    </row>
    <row r="24" spans="2:16" ht="20.149999999999999" customHeight="1" x14ac:dyDescent="0.45">
      <c r="B24" s="70"/>
      <c r="C24" s="22"/>
      <c r="D24" s="508"/>
      <c r="E24" s="508"/>
      <c r="F24" s="508"/>
      <c r="G24" s="90"/>
      <c r="H24" s="408"/>
      <c r="I24" s="505"/>
      <c r="J24" s="505"/>
      <c r="K24" s="98"/>
      <c r="L24" s="99"/>
      <c r="M24" s="78"/>
      <c r="N24" s="225"/>
      <c r="O24" s="225"/>
      <c r="P24" s="225"/>
    </row>
    <row r="25" spans="2:16" ht="20.149999999999999" customHeight="1" x14ac:dyDescent="0.45">
      <c r="B25" s="70"/>
      <c r="C25" s="22"/>
      <c r="D25" s="508"/>
      <c r="E25" s="508"/>
      <c r="F25" s="508"/>
      <c r="G25" s="90"/>
      <c r="H25" s="97"/>
      <c r="I25" s="578"/>
      <c r="J25" s="578"/>
      <c r="K25" s="98"/>
      <c r="L25" s="99"/>
      <c r="M25" s="78"/>
      <c r="N25" s="225"/>
      <c r="O25" s="225"/>
      <c r="P25" s="225"/>
    </row>
    <row r="26" spans="2:16" ht="20.149999999999999" customHeight="1" x14ac:dyDescent="0.45">
      <c r="B26" s="70"/>
      <c r="C26" s="22"/>
      <c r="D26" s="508"/>
      <c r="E26" s="508"/>
      <c r="F26" s="508"/>
      <c r="G26" s="90"/>
      <c r="H26" s="97"/>
      <c r="I26" s="578"/>
      <c r="J26" s="578"/>
      <c r="K26" s="98"/>
      <c r="L26" s="99"/>
      <c r="M26" s="78"/>
      <c r="N26" s="225"/>
      <c r="O26" s="225"/>
      <c r="P26" s="225"/>
    </row>
    <row r="27" spans="2:16" ht="20.149999999999999" customHeight="1" x14ac:dyDescent="0.45">
      <c r="B27" s="70"/>
      <c r="C27" s="22"/>
      <c r="D27" s="508"/>
      <c r="E27" s="508"/>
      <c r="F27" s="508"/>
      <c r="G27" s="90"/>
      <c r="H27" s="97"/>
      <c r="I27" s="578"/>
      <c r="J27" s="578"/>
      <c r="K27" s="98"/>
      <c r="L27" s="99"/>
      <c r="M27" s="78"/>
    </row>
    <row r="28" spans="2:16" ht="20.149999999999999" customHeight="1" x14ac:dyDescent="0.45">
      <c r="B28" s="70"/>
      <c r="C28" s="22"/>
      <c r="G28" s="90"/>
      <c r="H28" s="97"/>
      <c r="I28" s="90"/>
      <c r="J28" s="90"/>
      <c r="K28" s="98"/>
      <c r="L28" s="99"/>
    </row>
    <row r="29" spans="2:16" ht="20.149999999999999" customHeight="1" thickBot="1" x14ac:dyDescent="0.5">
      <c r="B29" s="52"/>
      <c r="C29" s="53"/>
      <c r="D29" s="53"/>
      <c r="E29" s="53"/>
      <c r="F29" s="53"/>
      <c r="G29" s="53"/>
      <c r="H29" s="53"/>
      <c r="I29" s="53"/>
      <c r="J29" s="53"/>
      <c r="K29" s="53"/>
      <c r="L29" s="54"/>
    </row>
    <row r="30" spans="2:16" ht="20.149999999999999" customHeight="1" x14ac:dyDescent="0.45">
      <c r="B30" s="11" t="s">
        <v>18</v>
      </c>
      <c r="C30" s="7"/>
      <c r="D30" s="7"/>
      <c r="E30" s="7"/>
      <c r="F30" s="7"/>
      <c r="G30" s="7"/>
      <c r="H30" s="7"/>
      <c r="I30" s="7"/>
      <c r="J30" s="510" t="s">
        <v>15</v>
      </c>
      <c r="K30" s="511"/>
      <c r="L30" s="43">
        <f>SUM(L18:L29)</f>
        <v>147</v>
      </c>
      <c r="M30" s="76">
        <f>SUM(P18:P28)</f>
        <v>39.200000000000003</v>
      </c>
      <c r="N30" s="201">
        <f>M30/L30</f>
        <v>0.26666666666666666</v>
      </c>
    </row>
    <row r="31" spans="2:16" ht="20.149999999999999" customHeight="1" x14ac:dyDescent="0.45">
      <c r="B31" s="11" t="s">
        <v>19</v>
      </c>
      <c r="C31" s="7"/>
      <c r="D31" s="7"/>
      <c r="E31" s="7"/>
      <c r="F31" s="7"/>
      <c r="G31" s="7"/>
      <c r="H31" s="7"/>
      <c r="I31" s="7"/>
      <c r="J31" s="44" t="s">
        <v>22</v>
      </c>
      <c r="K31" s="45"/>
      <c r="L31" s="46">
        <f>L30*K31</f>
        <v>0</v>
      </c>
    </row>
    <row r="32" spans="2:16" ht="20.149999999999999" customHeight="1" x14ac:dyDescent="0.45">
      <c r="B32" s="11" t="s">
        <v>20</v>
      </c>
      <c r="C32" s="7"/>
      <c r="D32" s="7"/>
      <c r="E32" s="7"/>
      <c r="F32" s="7"/>
      <c r="G32" s="7"/>
      <c r="H32" s="7"/>
      <c r="I32" s="7"/>
      <c r="J32" s="486" t="s">
        <v>21</v>
      </c>
      <c r="K32" s="487"/>
      <c r="L32" s="46">
        <f>L30-L31</f>
        <v>147</v>
      </c>
    </row>
    <row r="33" spans="2:12" ht="20.149999999999999" customHeight="1" x14ac:dyDescent="0.45">
      <c r="B33" s="11" t="s">
        <v>24</v>
      </c>
      <c r="C33" s="7"/>
      <c r="D33" s="7"/>
      <c r="E33" s="7"/>
      <c r="F33" s="7"/>
      <c r="G33" s="7"/>
      <c r="H33" s="7"/>
      <c r="I33" s="7"/>
      <c r="J33" s="150" t="s">
        <v>17</v>
      </c>
      <c r="K33" s="151">
        <v>7.0000000000000007E-2</v>
      </c>
      <c r="L33" s="47">
        <f>L32*K33</f>
        <v>10.290000000000001</v>
      </c>
    </row>
    <row r="34" spans="2:12" ht="20.149999999999999" customHeight="1" thickBot="1" x14ac:dyDescent="0.5">
      <c r="B34" s="11" t="s">
        <v>25</v>
      </c>
      <c r="C34" s="7"/>
      <c r="D34" s="7"/>
      <c r="E34" s="7"/>
      <c r="F34" s="7"/>
      <c r="G34" s="7"/>
      <c r="H34" s="7"/>
      <c r="I34" s="7"/>
      <c r="J34" s="488" t="s">
        <v>23</v>
      </c>
      <c r="K34" s="489"/>
      <c r="L34" s="48">
        <f>L32+L33</f>
        <v>157.29</v>
      </c>
    </row>
    <row r="35" spans="2:12" ht="20.149999999999999" customHeight="1" x14ac:dyDescent="0.45">
      <c r="B35" s="11" t="s">
        <v>26</v>
      </c>
      <c r="C35" s="7"/>
      <c r="D35" s="7"/>
      <c r="E35" s="7"/>
      <c r="F35" s="7"/>
      <c r="G35" s="7"/>
      <c r="H35" s="7"/>
      <c r="I35" s="7"/>
      <c r="L35" s="42"/>
    </row>
    <row r="36" spans="2:12" ht="20.149999999999999" customHeight="1" x14ac:dyDescent="0.45">
      <c r="B36" s="41"/>
      <c r="L36" s="42"/>
    </row>
    <row r="37" spans="2:12" ht="20.149999999999999" customHeight="1" x14ac:dyDescent="0.45">
      <c r="B37" s="41"/>
      <c r="L37" s="42"/>
    </row>
    <row r="38" spans="2:12" ht="20.149999999999999" customHeight="1" x14ac:dyDescent="0.45">
      <c r="B38" s="41"/>
      <c r="L38" s="42"/>
    </row>
    <row r="39" spans="2:12" ht="20.149999999999999" customHeight="1" x14ac:dyDescent="0.45">
      <c r="B39" s="41"/>
      <c r="L39" s="42"/>
    </row>
    <row r="40" spans="2:12" ht="20.149999999999999" customHeight="1" x14ac:dyDescent="0.45">
      <c r="B40" s="49"/>
      <c r="C40" s="50"/>
      <c r="D40" s="50"/>
      <c r="J40" s="50"/>
      <c r="K40" s="50"/>
      <c r="L40" s="51"/>
    </row>
    <row r="41" spans="2:12" ht="20.149999999999999" customHeight="1" x14ac:dyDescent="0.45">
      <c r="B41" s="41" t="s">
        <v>27</v>
      </c>
      <c r="J41" s="24" t="s">
        <v>28</v>
      </c>
      <c r="L41" s="42"/>
    </row>
    <row r="42" spans="2:12" ht="19" thickBot="1" x14ac:dyDescent="0.5">
      <c r="B42" s="52"/>
      <c r="C42" s="53"/>
      <c r="D42" s="53"/>
      <c r="E42" s="53"/>
      <c r="F42" s="53"/>
      <c r="G42" s="53"/>
      <c r="H42" s="53"/>
      <c r="I42" s="53"/>
      <c r="J42" s="53"/>
      <c r="K42" s="53"/>
      <c r="L42" s="54"/>
    </row>
  </sheetData>
  <mergeCells count="38">
    <mergeCell ref="J34:K34"/>
    <mergeCell ref="J30:K30"/>
    <mergeCell ref="J32:K32"/>
    <mergeCell ref="D21:F21"/>
    <mergeCell ref="I21:J21"/>
    <mergeCell ref="I26:J26"/>
    <mergeCell ref="D26:F26"/>
    <mergeCell ref="D27:F27"/>
    <mergeCell ref="I27:J27"/>
    <mergeCell ref="D25:F25"/>
    <mergeCell ref="I25:J25"/>
    <mergeCell ref="I17:J17"/>
    <mergeCell ref="I24:J24"/>
    <mergeCell ref="D18:F18"/>
    <mergeCell ref="I18:J18"/>
    <mergeCell ref="D17:F17"/>
    <mergeCell ref="D24:F24"/>
    <mergeCell ref="D19:F19"/>
    <mergeCell ref="I19:J19"/>
    <mergeCell ref="D20:F20"/>
    <mergeCell ref="D22:F22"/>
    <mergeCell ref="D23:F23"/>
    <mergeCell ref="I20:J20"/>
    <mergeCell ref="I22:J22"/>
    <mergeCell ref="I23:J23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hyperlinks>
    <hyperlink ref="B15" r:id="rId1" xr:uid="{0360A10C-20E5-4E41-86E6-FBC9594AF86A}"/>
  </hyperlinks>
  <pageMargins left="0.70866141732283472" right="0.31496062992125984" top="0.59055118110236227" bottom="0" header="0.31496062992125984" footer="0.31496062992125984"/>
  <pageSetup paperSize="9" scale="74" orientation="portrait" horizontalDpi="300" verticalDpi="300" r:id="rId2"/>
  <drawing r:id="rId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0901E3-8813-4F5C-82FE-C614EE149B20}">
  <sheetPr codeName="Sheet60">
    <tabColor rgb="FF92D050"/>
    <pageSetUpPr fitToPage="1"/>
  </sheetPr>
  <dimension ref="B1:P43"/>
  <sheetViews>
    <sheetView topLeftCell="B7" workbookViewId="0">
      <selection activeCell="B1" sqref="B1:L43"/>
    </sheetView>
  </sheetViews>
  <sheetFormatPr defaultColWidth="12.54296875" defaultRowHeight="18.5" x14ac:dyDescent="0.45"/>
  <cols>
    <col min="1" max="1" width="12.54296875" style="24"/>
    <col min="2" max="3" width="12.54296875" style="24" customWidth="1"/>
    <col min="4" max="4" width="14.54296875" style="24" customWidth="1"/>
    <col min="5" max="5" width="1.54296875" style="24" customWidth="1"/>
    <col min="6" max="6" width="14.54296875" style="24" customWidth="1"/>
    <col min="7" max="7" width="8.54296875" style="24" customWidth="1"/>
    <col min="8" max="8" width="12.54296875" style="24" customWidth="1"/>
    <col min="9" max="9" width="4.54296875" style="24" customWidth="1"/>
    <col min="10" max="10" width="17.54296875" style="24" customWidth="1"/>
    <col min="11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1014</v>
      </c>
      <c r="J10" s="29" t="s">
        <v>29</v>
      </c>
      <c r="K10" s="452">
        <v>202209470</v>
      </c>
      <c r="L10" s="453"/>
    </row>
    <row r="11" spans="2:12" ht="20.149999999999999" customHeight="1" x14ac:dyDescent="0.45">
      <c r="B11" s="454" t="s">
        <v>1403</v>
      </c>
      <c r="C11" s="455"/>
      <c r="D11" s="456"/>
      <c r="E11" s="30"/>
      <c r="F11" s="457" t="str">
        <f>VLOOKUP(H10,'Delivery Location'!A$4:N$416,2,0)</f>
        <v>Drink &amp; DESSERT Stall                                             11, Rivervale Crescent #01-01/02/03 Rivervale Mall Singapore 545082</v>
      </c>
      <c r="G11" s="458"/>
      <c r="H11" s="459"/>
      <c r="J11" s="31" t="s">
        <v>11</v>
      </c>
      <c r="K11" s="466">
        <v>44834</v>
      </c>
      <c r="L11" s="467"/>
    </row>
    <row r="12" spans="2:12" ht="20.149999999999999" customHeight="1" x14ac:dyDescent="0.45">
      <c r="B12" s="468" t="s">
        <v>869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2343</v>
      </c>
      <c r="L12" s="472"/>
    </row>
    <row r="13" spans="2:12" ht="20.149999999999999" customHeight="1" x14ac:dyDescent="0.45">
      <c r="B13" s="468" t="s">
        <v>870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1149</v>
      </c>
      <c r="L13" s="472"/>
    </row>
    <row r="14" spans="2:12" ht="20.149999999999999" customHeight="1" x14ac:dyDescent="0.45">
      <c r="B14" s="468" t="s">
        <v>871</v>
      </c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473" t="s">
        <v>872</v>
      </c>
      <c r="C15" s="474"/>
      <c r="D15" s="475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16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8" t="s">
        <v>622</v>
      </c>
      <c r="I17" s="478" t="s">
        <v>621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16" ht="20.149999999999999" customHeight="1" x14ac:dyDescent="0.45">
      <c r="B18" s="70" t="s">
        <v>70</v>
      </c>
      <c r="C18" s="22" t="str">
        <f>VLOOKUP(B18,'Sales Master'!A$3:B$581,2,0)</f>
        <v>M1014</v>
      </c>
      <c r="D18" s="580" t="str">
        <f>VLOOKUP(C18,'Sales Master'!B$3:D$499,2,)</f>
        <v>Chendol浆咯</v>
      </c>
      <c r="E18" s="580"/>
      <c r="F18" s="580"/>
      <c r="G18" s="90">
        <v>1</v>
      </c>
      <c r="H18" s="439" t="str">
        <f>VLOOKUP(C18,'Sales Master'!$B$3:$E$590,4,0)</f>
        <v>DO!</v>
      </c>
      <c r="I18" s="581" t="str">
        <f>VLOOKUP(C18,'Sales Master'!$B$3:F$590,5,0)</f>
        <v>NW(2.2:0.8) 3 KG/BAG</v>
      </c>
      <c r="J18" s="581"/>
      <c r="K18" s="98">
        <f>VLOOKUP(C18,'Sales Master'!B$3:I$581,8,0)</f>
        <v>6.5</v>
      </c>
      <c r="L18" s="193">
        <f t="shared" ref="L18" si="0">K18*G18</f>
        <v>6.5</v>
      </c>
      <c r="M18" s="78"/>
      <c r="N18" s="225">
        <f>VLOOKUP(C18,'Sales Master'!$B$3:$DA$3038,104,0)</f>
        <v>1.85</v>
      </c>
      <c r="O18" s="225">
        <f t="shared" ref="O18" si="1">K18-N18</f>
        <v>4.6500000000000004</v>
      </c>
      <c r="P18" s="225">
        <f t="shared" ref="P18" si="2">O18*G18</f>
        <v>4.6500000000000004</v>
      </c>
    </row>
    <row r="19" spans="2:16" ht="20.149999999999999" customHeight="1" x14ac:dyDescent="0.45">
      <c r="B19" s="70" t="s">
        <v>79</v>
      </c>
      <c r="C19" s="22" t="str">
        <f>VLOOKUP(B19,'Sales Master'!A$3:B$581,2,0)</f>
        <v>P3001B</v>
      </c>
      <c r="D19" s="480" t="str">
        <f>VLOOKUP(C19,'Sales Master'!B$3:D$499,2,)</f>
        <v>Atap Seeds in Syrup亚嗒子</v>
      </c>
      <c r="E19" s="480"/>
      <c r="F19" s="480"/>
      <c r="G19" s="90">
        <v>1</v>
      </c>
      <c r="H19" s="439" t="str">
        <f>VLOOKUP(C19,'Sales Master'!$B$3:$E$590,4,0)</f>
        <v>DO!</v>
      </c>
      <c r="I19" s="505" t="str">
        <f>VLOOKUP(C19,'Sales Master'!$B$3:F$590,5,0)</f>
        <v>NW (1.6:0.6) 2.2 kgs</v>
      </c>
      <c r="J19" s="505"/>
      <c r="K19" s="98">
        <f>VLOOKUP(C19,'Sales Master'!B$3:I$581,8,0)</f>
        <v>10</v>
      </c>
      <c r="L19" s="193">
        <f t="shared" ref="L19:L20" si="3">K19*G19</f>
        <v>10</v>
      </c>
      <c r="M19" s="78"/>
      <c r="N19" s="225">
        <f>VLOOKUP(C19,'Sales Master'!$B$3:$DA$3038,104,0)</f>
        <v>4.8240000000000007</v>
      </c>
      <c r="O19" s="225">
        <f t="shared" ref="O19:O20" si="4">K19-N19</f>
        <v>5.1759999999999993</v>
      </c>
      <c r="P19" s="225">
        <f t="shared" ref="P19:P20" si="5">O19*G19</f>
        <v>5.1759999999999993</v>
      </c>
    </row>
    <row r="20" spans="2:16" ht="20.149999999999999" customHeight="1" x14ac:dyDescent="0.45">
      <c r="B20" s="70" t="s">
        <v>69</v>
      </c>
      <c r="C20" s="22" t="str">
        <f>VLOOKUP(B20,'Sales Master'!A$3:B$581,2,0)</f>
        <v>P3002</v>
      </c>
      <c r="D20" s="480" t="str">
        <f>VLOOKUP(C20,'Sales Master'!B$3:D$499,2,)</f>
        <v>Chin Chow  仙草</v>
      </c>
      <c r="E20" s="480"/>
      <c r="F20" s="480"/>
      <c r="G20" s="90">
        <v>1</v>
      </c>
      <c r="H20" s="439" t="str">
        <f>VLOOKUP(C20,'Sales Master'!$B$3:$E$590,4,0)</f>
        <v>TSM</v>
      </c>
      <c r="I20" s="505" t="str">
        <f>VLOOKUP(C20,'Sales Master'!$B$3:F$590,5,0)</f>
        <v>5KGS/PKT</v>
      </c>
      <c r="J20" s="505"/>
      <c r="K20" s="98">
        <f>VLOOKUP(C20,'Sales Master'!B$3:I$581,8,0)</f>
        <v>4.5</v>
      </c>
      <c r="L20" s="193">
        <f t="shared" si="3"/>
        <v>4.5</v>
      </c>
      <c r="M20" s="78"/>
      <c r="N20" s="225">
        <f>VLOOKUP(C20,'Sales Master'!$B$3:$DA$3038,104,0)</f>
        <v>4</v>
      </c>
      <c r="O20" s="225">
        <f t="shared" si="4"/>
        <v>0.5</v>
      </c>
      <c r="P20" s="225">
        <f t="shared" si="5"/>
        <v>0.5</v>
      </c>
    </row>
    <row r="21" spans="2:16" ht="20.149999999999999" customHeight="1" x14ac:dyDescent="0.45">
      <c r="B21" s="70" t="s">
        <v>74</v>
      </c>
      <c r="C21" s="22" t="str">
        <f>VLOOKUP(B21,'Sales Master'!A$3:B$581,2,0)</f>
        <v>P6007</v>
      </c>
      <c r="D21" s="480" t="str">
        <f>VLOOKUP(C21,'Sales Master'!B$3:D$499,2,)</f>
        <v>Pandan Leaf 班兰叶</v>
      </c>
      <c r="E21" s="480"/>
      <c r="F21" s="480"/>
      <c r="G21" s="90">
        <v>1</v>
      </c>
      <c r="H21" s="439" t="str">
        <f>VLOOKUP(C21,'Sales Master'!$B$3:$E$590,4,0)</f>
        <v>-</v>
      </c>
      <c r="I21" s="505" t="str">
        <f>VLOOKUP(C21,'Sales Master'!$B$3:F$590,5,0)</f>
        <v>1 kg</v>
      </c>
      <c r="J21" s="505"/>
      <c r="K21" s="98">
        <f>VLOOKUP(C21,'Sales Master'!B$3:I$581,8,0)</f>
        <v>1.8</v>
      </c>
      <c r="L21" s="193">
        <f t="shared" ref="L21:L22" si="6">K21*G21</f>
        <v>1.8</v>
      </c>
      <c r="M21" s="78"/>
      <c r="N21" s="225">
        <f>VLOOKUP(C21,'Sales Master'!$B$3:$DA$3038,104,0)</f>
        <v>1</v>
      </c>
      <c r="O21" s="225">
        <f t="shared" ref="O21:O22" si="7">K21-N21</f>
        <v>0.8</v>
      </c>
      <c r="P21" s="225">
        <f t="shared" ref="P21:P22" si="8">O21*G21</f>
        <v>0.8</v>
      </c>
    </row>
    <row r="22" spans="2:16" ht="20.149999999999999" customHeight="1" x14ac:dyDescent="0.45">
      <c r="B22" s="70" t="s">
        <v>2193</v>
      </c>
      <c r="C22" s="22" t="str">
        <f>VLOOKUP(B22,'Sales Master'!A$3:B$581,2,0)</f>
        <v>M1037A</v>
      </c>
      <c r="D22" s="480" t="str">
        <f>VLOOKUP(C22,'Sales Master'!B$3:D$499,2,)</f>
        <v>ROCK SUGAR SYRUP</v>
      </c>
      <c r="E22" s="480"/>
      <c r="F22" s="480"/>
      <c r="G22" s="90">
        <v>2</v>
      </c>
      <c r="H22" s="439" t="str">
        <f>VLOOKUP(C22,'Sales Master'!$B$3:$E$590,4,0)</f>
        <v>DO!</v>
      </c>
      <c r="I22" s="505" t="str">
        <f>VLOOKUP(C22,'Sales Master'!$B$3:F$590,5,0)</f>
        <v>5 KG</v>
      </c>
      <c r="J22" s="505"/>
      <c r="K22" s="98">
        <f>VLOOKUP(C22,'Sales Master'!B$3:I$581,8,0)</f>
        <v>8.5</v>
      </c>
      <c r="L22" s="193">
        <f t="shared" si="6"/>
        <v>17</v>
      </c>
      <c r="M22" s="78"/>
      <c r="N22" s="225">
        <f>VLOOKUP(C22,'Sales Master'!$B$3:$DA$3038,104,0)</f>
        <v>5.5</v>
      </c>
      <c r="O22" s="225">
        <f t="shared" si="7"/>
        <v>3</v>
      </c>
      <c r="P22" s="225">
        <f t="shared" si="8"/>
        <v>6</v>
      </c>
    </row>
    <row r="23" spans="2:16" ht="20.149999999999999" customHeight="1" x14ac:dyDescent="0.45">
      <c r="B23" s="70"/>
      <c r="C23" s="22"/>
      <c r="D23" s="450"/>
      <c r="E23" s="450"/>
      <c r="F23" s="450"/>
      <c r="G23" s="90"/>
      <c r="H23" s="386"/>
      <c r="I23" s="582"/>
      <c r="J23" s="582"/>
      <c r="K23" s="98"/>
      <c r="L23" s="193"/>
      <c r="M23" s="78"/>
      <c r="N23" s="225"/>
      <c r="O23" s="225"/>
      <c r="P23" s="225"/>
    </row>
    <row r="24" spans="2:16" ht="20.149999999999999" customHeight="1" x14ac:dyDescent="0.45">
      <c r="B24" s="70"/>
      <c r="C24" s="22"/>
      <c r="D24" s="230"/>
      <c r="E24" s="230"/>
      <c r="F24" s="230"/>
      <c r="G24" s="90"/>
      <c r="H24" s="97"/>
      <c r="I24" s="578"/>
      <c r="J24" s="578"/>
      <c r="K24" s="98"/>
      <c r="L24" s="193"/>
      <c r="M24" s="78"/>
      <c r="N24" s="225"/>
      <c r="O24" s="225"/>
      <c r="P24" s="225"/>
    </row>
    <row r="25" spans="2:16" ht="20.149999999999999" customHeight="1" x14ac:dyDescent="0.45">
      <c r="B25" s="70"/>
      <c r="C25" s="22"/>
      <c r="D25" s="230"/>
      <c r="E25" s="230"/>
      <c r="F25" s="230"/>
      <c r="G25" s="90"/>
      <c r="H25" s="97"/>
      <c r="I25" s="578"/>
      <c r="J25" s="578"/>
      <c r="K25" s="98"/>
      <c r="L25" s="193"/>
      <c r="M25" s="78"/>
      <c r="N25" s="225"/>
      <c r="O25" s="225"/>
      <c r="P25" s="225"/>
    </row>
    <row r="26" spans="2:16" ht="20.149999999999999" customHeight="1" x14ac:dyDescent="0.45">
      <c r="B26" s="70"/>
      <c r="C26" s="22"/>
      <c r="D26" s="230"/>
      <c r="E26" s="230"/>
      <c r="F26" s="230"/>
      <c r="G26" s="90"/>
      <c r="H26" s="97"/>
      <c r="I26" s="578"/>
      <c r="J26" s="578"/>
      <c r="K26" s="98"/>
      <c r="L26" s="193"/>
      <c r="M26" s="78"/>
      <c r="N26" s="225"/>
      <c r="O26" s="225"/>
      <c r="P26" s="225"/>
    </row>
    <row r="27" spans="2:16" ht="20.149999999999999" customHeight="1" x14ac:dyDescent="0.45">
      <c r="B27" s="70"/>
      <c r="C27" s="22"/>
      <c r="G27" s="90"/>
      <c r="H27" s="97"/>
      <c r="I27" s="578"/>
      <c r="J27" s="578"/>
      <c r="K27" s="98"/>
      <c r="L27" s="193"/>
    </row>
    <row r="28" spans="2:16" ht="20.149999999999999" customHeight="1" x14ac:dyDescent="0.45">
      <c r="B28" s="70"/>
      <c r="C28" s="22"/>
      <c r="G28" s="90"/>
      <c r="H28" s="97"/>
      <c r="I28" s="578"/>
      <c r="J28" s="578"/>
      <c r="K28" s="98"/>
      <c r="L28" s="193"/>
    </row>
    <row r="29" spans="2:16" ht="20.149999999999999" customHeight="1" x14ac:dyDescent="0.45">
      <c r="B29" s="70"/>
      <c r="C29" s="22"/>
      <c r="G29" s="90"/>
      <c r="H29" s="97"/>
      <c r="I29" s="578"/>
      <c r="J29" s="578"/>
      <c r="K29" s="98"/>
      <c r="L29" s="193"/>
    </row>
    <row r="30" spans="2:16" ht="20.149999999999999" customHeight="1" thickBot="1" x14ac:dyDescent="0.5">
      <c r="B30" s="52"/>
      <c r="C30" s="53"/>
      <c r="D30" s="53"/>
      <c r="E30" s="53"/>
      <c r="F30" s="53"/>
      <c r="G30" s="53"/>
      <c r="H30" s="53"/>
      <c r="I30" s="53"/>
      <c r="J30" s="53"/>
      <c r="K30" s="53"/>
      <c r="L30" s="54"/>
    </row>
    <row r="31" spans="2:16" ht="20.149999999999999" customHeight="1" x14ac:dyDescent="0.45">
      <c r="B31" s="11" t="s">
        <v>18</v>
      </c>
      <c r="C31" s="7"/>
      <c r="D31" s="7"/>
      <c r="E31" s="7"/>
      <c r="F31" s="7"/>
      <c r="G31" s="7"/>
      <c r="H31" s="7"/>
      <c r="I31" s="7"/>
      <c r="J31" s="510" t="s">
        <v>15</v>
      </c>
      <c r="K31" s="511"/>
      <c r="L31" s="43">
        <f>SUM(L13:L30)</f>
        <v>39.799999999999997</v>
      </c>
      <c r="M31" s="76">
        <f>SUM(P18:P29)</f>
        <v>17.126000000000001</v>
      </c>
      <c r="N31" s="201">
        <f>M31/L31</f>
        <v>0.43030150753768848</v>
      </c>
    </row>
    <row r="32" spans="2:16" ht="20.149999999999999" customHeight="1" x14ac:dyDescent="0.45">
      <c r="B32" s="11" t="s">
        <v>19</v>
      </c>
      <c r="C32" s="7"/>
      <c r="D32" s="7"/>
      <c r="E32" s="7"/>
      <c r="F32" s="7"/>
      <c r="G32" s="7"/>
      <c r="H32" s="7"/>
      <c r="I32" s="7"/>
      <c r="J32" s="44" t="s">
        <v>22</v>
      </c>
      <c r="K32" s="45"/>
      <c r="L32" s="46">
        <f>L31*K32</f>
        <v>0</v>
      </c>
    </row>
    <row r="33" spans="2:12" ht="20.149999999999999" customHeight="1" x14ac:dyDescent="0.45">
      <c r="B33" s="11" t="s">
        <v>20</v>
      </c>
      <c r="C33" s="7"/>
      <c r="D33" s="7"/>
      <c r="E33" s="7"/>
      <c r="F33" s="7"/>
      <c r="G33" s="7"/>
      <c r="H33" s="7"/>
      <c r="I33" s="7"/>
      <c r="J33" s="486" t="s">
        <v>21</v>
      </c>
      <c r="K33" s="487"/>
      <c r="L33" s="46">
        <f>L31-L32</f>
        <v>39.799999999999997</v>
      </c>
    </row>
    <row r="34" spans="2:12" ht="20.149999999999999" customHeight="1" x14ac:dyDescent="0.45">
      <c r="B34" s="11" t="s">
        <v>24</v>
      </c>
      <c r="C34" s="7"/>
      <c r="D34" s="7"/>
      <c r="E34" s="7"/>
      <c r="F34" s="7"/>
      <c r="G34" s="7"/>
      <c r="H34" s="7"/>
      <c r="I34" s="7"/>
      <c r="J34" s="150" t="s">
        <v>17</v>
      </c>
      <c r="K34" s="151">
        <v>7.0000000000000007E-2</v>
      </c>
      <c r="L34" s="47">
        <f>L33*K34</f>
        <v>2.786</v>
      </c>
    </row>
    <row r="35" spans="2:12" ht="20.149999999999999" customHeight="1" thickBot="1" x14ac:dyDescent="0.5">
      <c r="B35" s="11" t="s">
        <v>1400</v>
      </c>
      <c r="C35" s="7"/>
      <c r="D35" s="7"/>
      <c r="E35" s="7"/>
      <c r="F35" s="7"/>
      <c r="G35" s="7"/>
      <c r="H35" s="7"/>
      <c r="I35" s="7"/>
      <c r="J35" s="488" t="s">
        <v>23</v>
      </c>
      <c r="K35" s="489"/>
      <c r="L35" s="48">
        <f>L33+L34</f>
        <v>42.585999999999999</v>
      </c>
    </row>
    <row r="36" spans="2:12" ht="20.149999999999999" customHeight="1" x14ac:dyDescent="0.45">
      <c r="B36" s="11" t="s">
        <v>26</v>
      </c>
      <c r="C36" s="7"/>
      <c r="D36" s="7"/>
      <c r="E36" s="7"/>
      <c r="F36" s="7"/>
      <c r="G36" s="7"/>
      <c r="H36" s="7"/>
      <c r="I36" s="7"/>
      <c r="L36" s="42"/>
    </row>
    <row r="37" spans="2:12" ht="20.149999999999999" customHeight="1" x14ac:dyDescent="0.45">
      <c r="B37" s="224" t="s">
        <v>1379</v>
      </c>
      <c r="L37" s="42"/>
    </row>
    <row r="38" spans="2:12" ht="20.149999999999999" customHeight="1" x14ac:dyDescent="0.45">
      <c r="B38" s="41"/>
      <c r="L38" s="42"/>
    </row>
    <row r="39" spans="2:12" ht="20.149999999999999" customHeight="1" x14ac:dyDescent="0.45">
      <c r="B39" s="41"/>
      <c r="L39" s="42"/>
    </row>
    <row r="40" spans="2:12" ht="20.149999999999999" customHeight="1" x14ac:dyDescent="0.45">
      <c r="B40" s="41"/>
      <c r="L40" s="42"/>
    </row>
    <row r="41" spans="2:12" ht="20.149999999999999" customHeight="1" x14ac:dyDescent="0.45">
      <c r="B41" s="49"/>
      <c r="C41" s="50"/>
      <c r="D41" s="50"/>
      <c r="J41" s="50"/>
      <c r="K41" s="50"/>
      <c r="L41" s="51"/>
    </row>
    <row r="42" spans="2:12" ht="20.149999999999999" customHeight="1" x14ac:dyDescent="0.45">
      <c r="B42" s="41" t="s">
        <v>27</v>
      </c>
      <c r="J42" s="24" t="s">
        <v>28</v>
      </c>
      <c r="L42" s="42"/>
    </row>
    <row r="43" spans="2:12" ht="19" thickBot="1" x14ac:dyDescent="0.5">
      <c r="B43" s="52"/>
      <c r="C43" s="53"/>
      <c r="D43" s="53"/>
      <c r="E43" s="53"/>
      <c r="F43" s="53"/>
      <c r="G43" s="53"/>
      <c r="H43" s="53"/>
      <c r="I43" s="53"/>
      <c r="J43" s="53"/>
      <c r="K43" s="53"/>
      <c r="L43" s="54"/>
    </row>
  </sheetData>
  <mergeCells count="36">
    <mergeCell ref="D23:F23"/>
    <mergeCell ref="I23:J23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J35:K35"/>
    <mergeCell ref="J31:K31"/>
    <mergeCell ref="I20:J20"/>
    <mergeCell ref="I19:J19"/>
    <mergeCell ref="I21:J21"/>
    <mergeCell ref="I26:J26"/>
    <mergeCell ref="I27:J27"/>
    <mergeCell ref="I29:J29"/>
    <mergeCell ref="I18:J18"/>
    <mergeCell ref="J33:K33"/>
    <mergeCell ref="I28:J28"/>
    <mergeCell ref="I22:J22"/>
    <mergeCell ref="I24:J24"/>
    <mergeCell ref="I25:J25"/>
    <mergeCell ref="D18:F18"/>
    <mergeCell ref="D19:F19"/>
    <mergeCell ref="D20:F20"/>
    <mergeCell ref="D21:F21"/>
    <mergeCell ref="D22:F22"/>
  </mergeCells>
  <hyperlinks>
    <hyperlink ref="B15" r:id="rId1" xr:uid="{87F2FF0E-85B0-4AEE-814D-23B3A8BBB568}"/>
  </hyperlinks>
  <pageMargins left="0.70866141732283472" right="0.31496062992125984" top="0.59055118110236227" bottom="0" header="0.31496062992125984" footer="0.31496062992125984"/>
  <pageSetup paperSize="9" scale="75" orientation="portrait" horizontalDpi="300" verticalDpi="300" r:id="rId2"/>
  <drawing r:id="rId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E65AE9-31E8-45E8-BC08-F7300C626219}">
  <sheetPr codeName="Sheet70">
    <tabColor rgb="FF92D050"/>
    <pageSetUpPr fitToPage="1"/>
  </sheetPr>
  <dimension ref="B1:V58"/>
  <sheetViews>
    <sheetView topLeftCell="A34" zoomScaleNormal="100" workbookViewId="0">
      <selection activeCell="J37" sqref="J37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6.1796875" style="24" customWidth="1"/>
    <col min="7" max="7" width="8.54296875" style="24" customWidth="1"/>
    <col min="8" max="8" width="17.54296875" style="24" customWidth="1"/>
    <col min="9" max="9" width="1.7265625" style="24" customWidth="1"/>
    <col min="10" max="10" width="14.54296875" style="24" customWidth="1"/>
    <col min="11" max="12" width="12.54296875" style="24" customWidth="1"/>
    <col min="13" max="16384" width="12.54296875" style="24"/>
  </cols>
  <sheetData>
    <row r="1" spans="2:16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6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6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6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6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6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6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6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6" ht="19" thickBot="1" x14ac:dyDescent="0.5">
      <c r="B9" s="191"/>
      <c r="C9" s="191"/>
      <c r="D9" s="191"/>
      <c r="E9" s="191"/>
      <c r="F9" s="191"/>
      <c r="G9" s="191"/>
      <c r="H9" s="191"/>
      <c r="I9" s="191"/>
      <c r="J9" s="191"/>
      <c r="K9" s="191"/>
      <c r="L9" s="191"/>
    </row>
    <row r="10" spans="2:16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226</v>
      </c>
      <c r="J10" s="29" t="s">
        <v>29</v>
      </c>
      <c r="K10" s="452">
        <v>202210028</v>
      </c>
      <c r="L10" s="453"/>
    </row>
    <row r="11" spans="2:16" ht="20.149999999999999" customHeight="1" x14ac:dyDescent="0.45">
      <c r="B11" s="454" t="s">
        <v>176</v>
      </c>
      <c r="C11" s="455"/>
      <c r="D11" s="456"/>
      <c r="E11" s="30"/>
      <c r="F11" s="457" t="str">
        <f>VLOOKUP(H10,'Delivery Location'!A$4:N$416,2,0)</f>
        <v xml:space="preserve">Zhu Fang Ruo                                                11 Canberra Road #01-05. Singapore 759775.              </v>
      </c>
      <c r="G11" s="458"/>
      <c r="H11" s="459"/>
      <c r="J11" s="31" t="s">
        <v>11</v>
      </c>
      <c r="K11" s="466">
        <v>44835</v>
      </c>
      <c r="L11" s="467"/>
      <c r="N11" s="584" t="s">
        <v>1891</v>
      </c>
      <c r="O11" s="584"/>
      <c r="P11" s="584"/>
    </row>
    <row r="12" spans="2:16" ht="20.149999999999999" customHeight="1" x14ac:dyDescent="0.45">
      <c r="B12" s="468" t="s">
        <v>998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533</v>
      </c>
      <c r="L12" s="472"/>
    </row>
    <row r="13" spans="2:16" ht="20.149999999999999" customHeight="1" x14ac:dyDescent="0.45">
      <c r="B13" s="468" t="s">
        <v>999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14</v>
      </c>
      <c r="L13" s="472"/>
    </row>
    <row r="14" spans="2:16" ht="20.149999999999999" customHeight="1" x14ac:dyDescent="0.45">
      <c r="B14" s="468" t="s">
        <v>572</v>
      </c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6" ht="18" customHeight="1" thickBot="1" x14ac:dyDescent="0.5">
      <c r="B15" s="55"/>
      <c r="C15" s="56"/>
      <c r="D15" s="57"/>
      <c r="E15" s="26"/>
      <c r="F15" s="463"/>
      <c r="G15" s="464"/>
      <c r="H15" s="465"/>
      <c r="J15" s="32" t="s">
        <v>13</v>
      </c>
      <c r="K15" s="182" t="s">
        <v>864</v>
      </c>
      <c r="L15" s="181"/>
    </row>
    <row r="16" spans="2:16" ht="19" thickBot="1" x14ac:dyDescent="0.5">
      <c r="J16" s="22"/>
      <c r="K16" s="24" t="s">
        <v>720</v>
      </c>
    </row>
    <row r="17" spans="2:22" ht="30" customHeight="1" thickBot="1" x14ac:dyDescent="0.5">
      <c r="B17" s="164" t="s">
        <v>2</v>
      </c>
      <c r="C17" s="165" t="s">
        <v>3</v>
      </c>
      <c r="D17" s="586" t="s">
        <v>4</v>
      </c>
      <c r="E17" s="586"/>
      <c r="F17" s="586"/>
      <c r="G17" s="173" t="s">
        <v>620</v>
      </c>
      <c r="H17" s="165" t="s">
        <v>31</v>
      </c>
      <c r="I17" s="586" t="s">
        <v>60</v>
      </c>
      <c r="J17" s="586"/>
      <c r="K17" s="165" t="s">
        <v>6</v>
      </c>
      <c r="L17" s="166" t="s">
        <v>7</v>
      </c>
      <c r="M17" s="33"/>
      <c r="N17" s="383" t="s">
        <v>2138</v>
      </c>
      <c r="O17" s="383" t="s">
        <v>2141</v>
      </c>
      <c r="P17" s="383" t="s">
        <v>2142</v>
      </c>
      <c r="R17" s="24">
        <v>1</v>
      </c>
      <c r="S17" s="24" t="s">
        <v>494</v>
      </c>
      <c r="T17" s="24" t="s">
        <v>64</v>
      </c>
      <c r="V17" s="24">
        <v>30</v>
      </c>
    </row>
    <row r="18" spans="2:22" ht="20.149999999999999" customHeight="1" x14ac:dyDescent="0.45">
      <c r="B18" s="34"/>
      <c r="C18" s="90" t="s">
        <v>1458</v>
      </c>
      <c r="D18" s="505" t="str">
        <f>VLOOKUP(C18,'Sales Master'!B$3:D$699,2,)</f>
        <v>Chendol浆咯</v>
      </c>
      <c r="E18" s="505"/>
      <c r="F18" s="505"/>
      <c r="G18" s="90">
        <v>1</v>
      </c>
      <c r="H18" s="386" t="str">
        <f>VLOOKUP(C18,'Sales Master'!$B$3:$F$3179,5,0)</f>
        <v>NW(2.2:0.8) 3 KG/BAG</v>
      </c>
      <c r="I18" s="513" t="str">
        <f>VLOOKUP(C18,'Sales Master'!$B$3:$E$3179,4,0)</f>
        <v>DO!</v>
      </c>
      <c r="J18" s="513"/>
      <c r="K18" s="98">
        <f>VLOOKUP(C18,'Sales Master'!$B$3:$O$3248,14,0)</f>
        <v>7.5</v>
      </c>
      <c r="L18" s="99">
        <f>K18*G18</f>
        <v>7.5</v>
      </c>
      <c r="M18" s="78"/>
      <c r="N18" s="225">
        <f>VLOOKUP(C18,'Sales Master'!$B$3:$DA$3038,104,0)</f>
        <v>1.85</v>
      </c>
      <c r="O18" s="225">
        <f>K18-N18</f>
        <v>5.65</v>
      </c>
      <c r="P18" s="225">
        <f>O18*G18</f>
        <v>5.65</v>
      </c>
    </row>
    <row r="19" spans="2:22" ht="20.149999999999999" customHeight="1" x14ac:dyDescent="0.45">
      <c r="B19" s="34"/>
      <c r="C19" s="90" t="s">
        <v>1440</v>
      </c>
      <c r="D19" s="505" t="str">
        <f>VLOOKUP(C19,'Sales Master'!B$3:D$699,2,)</f>
        <v xml:space="preserve">Fresh Soursop 红毛榴莲 </v>
      </c>
      <c r="E19" s="505"/>
      <c r="F19" s="505"/>
      <c r="G19" s="90">
        <v>1</v>
      </c>
      <c r="H19" s="386" t="str">
        <f>VLOOKUP(C19,'Sales Master'!$B$3:$F$3179,5,0)</f>
        <v>5 KGS/PKT</v>
      </c>
      <c r="I19" s="513" t="str">
        <f>VLOOKUP(C19,'Sales Master'!$B$3:$E$3179,4,0)</f>
        <v>DO!</v>
      </c>
      <c r="J19" s="513"/>
      <c r="K19" s="98">
        <f>VLOOKUP(C19,'Sales Master'!$B$3:$O$3248,14,0)</f>
        <v>32</v>
      </c>
      <c r="L19" s="99">
        <f t="shared" ref="L19:L27" si="0">K19*G19</f>
        <v>32</v>
      </c>
      <c r="M19" s="78"/>
      <c r="N19" s="225">
        <f>VLOOKUP(C19,'Sales Master'!$B$3:$DA$3038,104,0)</f>
        <v>18.95</v>
      </c>
      <c r="O19" s="225">
        <f t="shared" ref="O19:O27" si="1">K19-N19</f>
        <v>13.05</v>
      </c>
      <c r="P19" s="225">
        <f t="shared" ref="P19:P27" si="2">O19*G19</f>
        <v>13.05</v>
      </c>
    </row>
    <row r="20" spans="2:22" ht="20.149999999999999" customHeight="1" x14ac:dyDescent="0.45">
      <c r="B20" s="34"/>
      <c r="C20" s="90" t="s">
        <v>1447</v>
      </c>
      <c r="D20" s="505" t="str">
        <f>VLOOKUP(C20,'Sales Master'!B$3:D$699,2,)</f>
        <v>Durian Puree 榴莲</v>
      </c>
      <c r="E20" s="505"/>
      <c r="F20" s="505"/>
      <c r="G20" s="90">
        <v>1</v>
      </c>
      <c r="H20" s="386" t="str">
        <f>VLOOKUP(C20,'Sales Master'!$B$3:$F$3179,5,0)</f>
        <v>BOX/盒</v>
      </c>
      <c r="I20" s="513" t="str">
        <f>VLOOKUP(C20,'Sales Master'!$B$3:$E$3179,4,0)</f>
        <v>DO!</v>
      </c>
      <c r="J20" s="513"/>
      <c r="K20" s="98">
        <f>VLOOKUP(C20,'Sales Master'!$B$3:$O$3248,14,0)</f>
        <v>7</v>
      </c>
      <c r="L20" s="99">
        <f t="shared" si="0"/>
        <v>7</v>
      </c>
      <c r="M20" s="78"/>
      <c r="N20" s="225">
        <f>VLOOKUP(C20,'Sales Master'!$B$3:$DA$3038,104,0)</f>
        <v>4.95</v>
      </c>
      <c r="O20" s="225">
        <f t="shared" si="1"/>
        <v>2.0499999999999998</v>
      </c>
      <c r="P20" s="225">
        <f t="shared" si="2"/>
        <v>2.0499999999999998</v>
      </c>
    </row>
    <row r="21" spans="2:22" ht="20.149999999999999" customHeight="1" x14ac:dyDescent="0.45">
      <c r="B21" s="34"/>
      <c r="C21" s="90" t="s">
        <v>1448</v>
      </c>
      <c r="D21" s="505" t="str">
        <f>VLOOKUP(C21,'Sales Master'!B$3:D$699,2,)</f>
        <v>Mango Puree芒果</v>
      </c>
      <c r="E21" s="505"/>
      <c r="F21" s="505"/>
      <c r="G21" s="90">
        <v>1</v>
      </c>
      <c r="H21" s="386" t="str">
        <f>VLOOKUP(C21,'Sales Master'!$B$3:$F$3179,5,0)</f>
        <v>BOX/盒</v>
      </c>
      <c r="I21" s="513" t="str">
        <f>VLOOKUP(C21,'Sales Master'!$B$3:$E$3179,4,0)</f>
        <v>DO!</v>
      </c>
      <c r="J21" s="513"/>
      <c r="K21" s="98">
        <f>VLOOKUP(C21,'Sales Master'!$B$3:$O$3248,14,0)</f>
        <v>7</v>
      </c>
      <c r="L21" s="99">
        <f t="shared" si="0"/>
        <v>7</v>
      </c>
      <c r="M21" s="78"/>
      <c r="N21" s="225">
        <f>VLOOKUP(C21,'Sales Master'!$B$3:$DA$3038,104,0)</f>
        <v>2</v>
      </c>
      <c r="O21" s="225">
        <f t="shared" si="1"/>
        <v>5</v>
      </c>
      <c r="P21" s="225">
        <f t="shared" si="2"/>
        <v>5</v>
      </c>
    </row>
    <row r="22" spans="2:22" ht="20.149999999999999" customHeight="1" x14ac:dyDescent="0.45">
      <c r="B22" s="34"/>
      <c r="C22" s="90" t="s">
        <v>1482</v>
      </c>
      <c r="D22" s="505" t="str">
        <f>VLOOKUP(C22,'Sales Master'!B$3:D$699,2,)</f>
        <v>Tadpole蝌蚪</v>
      </c>
      <c r="E22" s="505"/>
      <c r="F22" s="505"/>
      <c r="G22" s="90">
        <v>1</v>
      </c>
      <c r="H22" s="386" t="str">
        <f>VLOOKUP(C22,'Sales Master'!$B$3:$F$3179,5,0)</f>
        <v>1 kg/Bag</v>
      </c>
      <c r="I22" s="513" t="str">
        <f>VLOOKUP(C22,'Sales Master'!$B$3:$E$3179,4,0)</f>
        <v>FJ</v>
      </c>
      <c r="J22" s="513"/>
      <c r="K22" s="98">
        <f>VLOOKUP(C22,'Sales Master'!$B$3:$O$3248,14,0)</f>
        <v>6.5</v>
      </c>
      <c r="L22" s="99">
        <f t="shared" si="0"/>
        <v>6.5</v>
      </c>
      <c r="M22" s="78"/>
      <c r="N22" s="225">
        <f>VLOOKUP(C22,'Sales Master'!$B$3:$DA$3038,104,0)</f>
        <v>5</v>
      </c>
      <c r="O22" s="225">
        <f t="shared" si="1"/>
        <v>1.5</v>
      </c>
      <c r="P22" s="225">
        <f t="shared" si="2"/>
        <v>1.5</v>
      </c>
    </row>
    <row r="23" spans="2:22" ht="20.149999999999999" customHeight="1" x14ac:dyDescent="0.45">
      <c r="B23" s="34"/>
      <c r="C23" s="90" t="s">
        <v>1563</v>
      </c>
      <c r="D23" s="505" t="str">
        <f>VLOOKUP(C23,'Sales Master'!B$3:D$699,2,)</f>
        <v>Atap Seeds in Syrup亚嗒子</v>
      </c>
      <c r="E23" s="505"/>
      <c r="F23" s="505"/>
      <c r="G23" s="90">
        <v>3</v>
      </c>
      <c r="H23" s="386" t="str">
        <f>VLOOKUP(C23,'Sales Master'!$B$3:$F$3179,5,0)</f>
        <v>NW (2.1:0.9) 3 kgs</v>
      </c>
      <c r="I23" s="513" t="str">
        <f>VLOOKUP(C23,'Sales Master'!$B$3:$E$3179,4,0)</f>
        <v>DO!</v>
      </c>
      <c r="J23" s="513"/>
      <c r="K23" s="98">
        <f>VLOOKUP(C23,'Sales Master'!$B$3:$O$3248,14,0)</f>
        <v>11.5</v>
      </c>
      <c r="L23" s="99">
        <f t="shared" si="0"/>
        <v>34.5</v>
      </c>
      <c r="M23" s="78"/>
      <c r="N23" s="225">
        <f>VLOOKUP(C23,'Sales Master'!$B$3:$DA$3038,104,0)</f>
        <v>5.628000000000001</v>
      </c>
      <c r="O23" s="225">
        <f t="shared" si="1"/>
        <v>5.871999999999999</v>
      </c>
      <c r="P23" s="225">
        <f t="shared" si="2"/>
        <v>17.615999999999996</v>
      </c>
    </row>
    <row r="24" spans="2:22" ht="20.149999999999999" customHeight="1" x14ac:dyDescent="0.45">
      <c r="B24" s="34"/>
      <c r="C24" s="90" t="s">
        <v>1584</v>
      </c>
      <c r="D24" s="585" t="str">
        <f>VLOOKUP(C24,'Sales Master'!B$3:D$699,2,)</f>
        <v>Green Bean 绿豆</v>
      </c>
      <c r="E24" s="585"/>
      <c r="F24" s="585"/>
      <c r="G24" s="90">
        <v>1</v>
      </c>
      <c r="H24" s="446" t="str">
        <f>VLOOKUP(C24,'Sales Master'!$B$3:$F$3179,5,0)</f>
        <v>25 kgs/Bag</v>
      </c>
      <c r="I24" s="513" t="str">
        <f>VLOOKUP(C24,'Sales Master'!$B$3:$E$3179,4,0)</f>
        <v>-</v>
      </c>
      <c r="J24" s="513"/>
      <c r="K24" s="98">
        <f>VLOOKUP(C24,'Sales Master'!$B$3:$O$3248,14,0)</f>
        <v>60</v>
      </c>
      <c r="L24" s="99">
        <f t="shared" si="0"/>
        <v>60</v>
      </c>
      <c r="M24" s="78"/>
      <c r="N24" s="225">
        <f>VLOOKUP(C24,'Sales Master'!$B$3:$DA$3038,104,0)</f>
        <v>47.5</v>
      </c>
      <c r="O24" s="225">
        <f t="shared" si="1"/>
        <v>12.5</v>
      </c>
      <c r="P24" s="225">
        <f t="shared" si="2"/>
        <v>12.5</v>
      </c>
    </row>
    <row r="25" spans="2:22" ht="20.149999999999999" customHeight="1" x14ac:dyDescent="0.45">
      <c r="B25" s="34"/>
      <c r="C25" s="90" t="s">
        <v>1593</v>
      </c>
      <c r="D25" s="585" t="str">
        <f>VLOOKUP(C25,'Sales Master'!B$3:D$699,2,)</f>
        <v>Split Green Mung Bean豆畔</v>
      </c>
      <c r="E25" s="585"/>
      <c r="F25" s="585"/>
      <c r="G25" s="90">
        <v>1</v>
      </c>
      <c r="H25" s="386" t="str">
        <f>VLOOKUP(C25,'Sales Master'!$B$3:$F$3179,5,0)</f>
        <v>5 KG</v>
      </c>
      <c r="I25" s="513" t="str">
        <f>VLOOKUP(C25,'Sales Master'!$B$3:$E$3179,4,0)</f>
        <v>-</v>
      </c>
      <c r="J25" s="513"/>
      <c r="K25" s="98">
        <f>VLOOKUP(C25,'Sales Master'!$B$3:$O$3248,14,0)</f>
        <v>16</v>
      </c>
      <c r="L25" s="99">
        <f t="shared" si="0"/>
        <v>16</v>
      </c>
      <c r="M25" s="78"/>
      <c r="N25" s="225">
        <f>VLOOKUP(C25,'Sales Master'!$B$3:$DA$3038,104,0)</f>
        <v>12.166666666666666</v>
      </c>
      <c r="O25" s="225">
        <f t="shared" si="1"/>
        <v>3.8333333333333339</v>
      </c>
      <c r="P25" s="225">
        <f t="shared" si="2"/>
        <v>3.8333333333333339</v>
      </c>
    </row>
    <row r="26" spans="2:22" ht="20.149999999999999" customHeight="1" x14ac:dyDescent="0.45">
      <c r="B26" s="388"/>
      <c r="C26" s="90" t="s">
        <v>1599</v>
      </c>
      <c r="D26" s="585" t="str">
        <f>VLOOKUP(C26,'Sales Master'!B$3:D$699,2,)</f>
        <v>Black Glutinous Rice 黑糯米</v>
      </c>
      <c r="E26" s="585"/>
      <c r="F26" s="585"/>
      <c r="G26" s="90">
        <v>1</v>
      </c>
      <c r="H26" s="386" t="str">
        <f>VLOOKUP(C26,'Sales Master'!$B$3:$F$3179,5,0)</f>
        <v>5 kgs</v>
      </c>
      <c r="I26" s="513" t="str">
        <f>VLOOKUP(C26,'Sales Master'!$B$3:$E$3179,4,0)</f>
        <v>-</v>
      </c>
      <c r="J26" s="513"/>
      <c r="K26" s="98">
        <f>VLOOKUP(C26,'Sales Master'!$B$3:$O$3248,14,0)</f>
        <v>18</v>
      </c>
      <c r="L26" s="99">
        <f t="shared" si="0"/>
        <v>18</v>
      </c>
      <c r="M26" s="78"/>
      <c r="N26" s="225">
        <f>VLOOKUP(C26,'Sales Master'!$B$3:$DA$3038,104,0)</f>
        <v>12</v>
      </c>
      <c r="O26" s="225">
        <f t="shared" si="1"/>
        <v>6</v>
      </c>
      <c r="P26" s="225">
        <f t="shared" si="2"/>
        <v>6</v>
      </c>
    </row>
    <row r="27" spans="2:22" ht="20.149999999999999" customHeight="1" x14ac:dyDescent="0.45">
      <c r="B27" s="388"/>
      <c r="C27" s="90" t="s">
        <v>1603</v>
      </c>
      <c r="D27" s="585" t="str">
        <f>VLOOKUP(C27,'Sales Master'!B$3:D$699,2,)</f>
        <v>White Glutinous Rice白糯米</v>
      </c>
      <c r="E27" s="585"/>
      <c r="F27" s="585"/>
      <c r="G27" s="90">
        <v>1</v>
      </c>
      <c r="H27" s="386" t="str">
        <f>VLOOKUP(C27,'Sales Master'!$B$3:$F$3179,5,0)</f>
        <v>5 kgs</v>
      </c>
      <c r="I27" s="513" t="str">
        <f>VLOOKUP(C27,'Sales Master'!$B$3:$E$3179,4,0)</f>
        <v>-</v>
      </c>
      <c r="J27" s="513"/>
      <c r="K27" s="98">
        <f>VLOOKUP(C27,'Sales Master'!$B$3:$O$3248,14,0)</f>
        <v>10</v>
      </c>
      <c r="L27" s="99">
        <f t="shared" si="0"/>
        <v>10</v>
      </c>
      <c r="M27" s="78"/>
      <c r="N27" s="225">
        <f>VLOOKUP(C27,'Sales Master'!$B$3:$DA$3038,104,0)</f>
        <v>6</v>
      </c>
      <c r="O27" s="225">
        <f t="shared" si="1"/>
        <v>4</v>
      </c>
      <c r="P27" s="225">
        <f t="shared" si="2"/>
        <v>4</v>
      </c>
    </row>
    <row r="28" spans="2:22" ht="20.149999999999999" customHeight="1" x14ac:dyDescent="0.45">
      <c r="B28" s="388"/>
      <c r="C28" s="90" t="s">
        <v>1606</v>
      </c>
      <c r="D28" s="505" t="str">
        <f>VLOOKUP(C28,'Sales Master'!B$3:D$699,2,)</f>
        <v>White Wheat 大麦</v>
      </c>
      <c r="E28" s="505"/>
      <c r="F28" s="505"/>
      <c r="G28" s="90">
        <v>1</v>
      </c>
      <c r="H28" s="386" t="str">
        <f>VLOOKUP(C28,'Sales Master'!$B$3:$F$3179,5,0)</f>
        <v>10PKT/BAG</v>
      </c>
      <c r="I28" s="513" t="str">
        <f>VLOOKUP(C28,'Sales Master'!$B$3:$E$3179,4,0)</f>
        <v>-</v>
      </c>
      <c r="J28" s="513"/>
      <c r="K28" s="98">
        <f>VLOOKUP(C28,'Sales Master'!$B$3:$O$3248,14,0)</f>
        <v>10.5</v>
      </c>
      <c r="L28" s="99">
        <f t="shared" ref="L28:L29" si="3">K28*G28</f>
        <v>10.5</v>
      </c>
      <c r="M28" s="78"/>
      <c r="N28" s="225">
        <f>VLOOKUP(C28,'Sales Master'!$B$3:$DA$3038,104,0)</f>
        <v>7.5</v>
      </c>
      <c r="O28" s="225">
        <f t="shared" ref="O28:O29" si="4">K28-N28</f>
        <v>3</v>
      </c>
      <c r="P28" s="225">
        <f t="shared" ref="P28:P29" si="5">O28*G28</f>
        <v>3</v>
      </c>
    </row>
    <row r="29" spans="2:22" ht="20.149999999999999" customHeight="1" x14ac:dyDescent="0.45">
      <c r="B29" s="388"/>
      <c r="C29" s="22" t="s">
        <v>1608</v>
      </c>
      <c r="D29" s="505" t="str">
        <f>VLOOKUP(C29,'Sales Master'!B$3:D$699,2,)</f>
        <v>Pearl Barley 薏米</v>
      </c>
      <c r="E29" s="505"/>
      <c r="F29" s="505"/>
      <c r="G29" s="22">
        <v>1</v>
      </c>
      <c r="H29" s="386" t="str">
        <f>VLOOKUP(C29,'Sales Master'!$B$3:$F$3179,5,0)</f>
        <v>5 kgs</v>
      </c>
      <c r="I29" s="513" t="str">
        <f>VLOOKUP(C29,'Sales Master'!$B$3:$E$3179,4,0)</f>
        <v>-</v>
      </c>
      <c r="J29" s="513"/>
      <c r="K29" s="98">
        <f>VLOOKUP(C29,'Sales Master'!$B$3:$O$3248,14,0)</f>
        <v>10</v>
      </c>
      <c r="L29" s="99">
        <f t="shared" si="3"/>
        <v>10</v>
      </c>
      <c r="M29" s="78"/>
      <c r="N29" s="225">
        <f>VLOOKUP(C29,'Sales Master'!$B$3:$DA$3038,104,0)</f>
        <v>6.8000000000000007</v>
      </c>
      <c r="O29" s="225">
        <f t="shared" si="4"/>
        <v>3.1999999999999993</v>
      </c>
      <c r="P29" s="225">
        <f t="shared" si="5"/>
        <v>3.1999999999999993</v>
      </c>
    </row>
    <row r="30" spans="2:22" ht="20.149999999999999" customHeight="1" x14ac:dyDescent="0.45">
      <c r="B30" s="388"/>
      <c r="C30" s="22" t="s">
        <v>1615</v>
      </c>
      <c r="D30" s="505" t="str">
        <f>VLOOKUP(C30,'Sales Master'!B$3:D$699,2,)</f>
        <v>Small Sago 小丸</v>
      </c>
      <c r="E30" s="505"/>
      <c r="F30" s="505"/>
      <c r="G30" s="22">
        <v>1</v>
      </c>
      <c r="H30" s="386" t="str">
        <f>VLOOKUP(C30,'Sales Master'!$B$3:$F$3179,5,0)</f>
        <v>5 kgs</v>
      </c>
      <c r="I30" s="513" t="str">
        <f>VLOOKUP(C30,'Sales Master'!$B$3:$E$3179,4,0)</f>
        <v>-</v>
      </c>
      <c r="J30" s="513"/>
      <c r="K30" s="98">
        <f>VLOOKUP(C30,'Sales Master'!$B$3:$O$3248,14,0)</f>
        <v>10.5</v>
      </c>
      <c r="L30" s="99">
        <f t="shared" ref="L30:L35" si="6">K30*G30</f>
        <v>10.5</v>
      </c>
      <c r="M30" s="78"/>
      <c r="N30" s="225">
        <f>VLOOKUP(C30,'Sales Master'!$B$3:$DA$3038,104,0)</f>
        <v>8</v>
      </c>
      <c r="O30" s="225">
        <f t="shared" ref="O30:O35" si="7">K30-N30</f>
        <v>2.5</v>
      </c>
      <c r="P30" s="225">
        <f t="shared" ref="P30:P35" si="8">O30*G30</f>
        <v>2.5</v>
      </c>
    </row>
    <row r="31" spans="2:22" ht="20.149999999999999" customHeight="1" x14ac:dyDescent="0.45">
      <c r="B31" s="388"/>
      <c r="C31" s="22" t="s">
        <v>1733</v>
      </c>
      <c r="D31" s="505" t="str">
        <f>VLOOKUP(C31,'Sales Master'!B$3:D$699,2,)</f>
        <v>Water Chestnut 马蹄 - Can</v>
      </c>
      <c r="E31" s="505"/>
      <c r="F31" s="505"/>
      <c r="G31" s="22">
        <v>1</v>
      </c>
      <c r="H31" s="386" t="str">
        <f>VLOOKUP(C31,'Sales Master'!$B$3:$F$3179,5,0)</f>
        <v>(567gm x 24)/箱</v>
      </c>
      <c r="I31" s="513" t="str">
        <f>VLOOKUP(C31,'Sales Master'!$B$3:$E$3179,4,0)</f>
        <v>MiLi</v>
      </c>
      <c r="J31" s="513"/>
      <c r="K31" s="98">
        <f>VLOOKUP(C31,'Sales Master'!$B$3:$O$3248,14,0)</f>
        <v>38</v>
      </c>
      <c r="L31" s="99">
        <f t="shared" si="6"/>
        <v>38</v>
      </c>
      <c r="M31" s="78"/>
      <c r="N31" s="225">
        <f>VLOOKUP(C31,'Sales Master'!$B$3:$DA$3038,104,0)</f>
        <v>34</v>
      </c>
      <c r="O31" s="225">
        <f t="shared" si="7"/>
        <v>4</v>
      </c>
      <c r="P31" s="225">
        <f t="shared" si="8"/>
        <v>4</v>
      </c>
    </row>
    <row r="32" spans="2:22" ht="20.149999999999999" customHeight="1" x14ac:dyDescent="0.45">
      <c r="B32" s="388"/>
      <c r="C32" s="22" t="s">
        <v>1789</v>
      </c>
      <c r="D32" s="505" t="str">
        <f>VLOOKUP(C32,'Sales Master'!B$3:D$699,2,)</f>
        <v>Sweet Potato 番薯</v>
      </c>
      <c r="E32" s="505"/>
      <c r="F32" s="505"/>
      <c r="G32" s="22">
        <v>15</v>
      </c>
      <c r="H32" s="386" t="str">
        <f>VLOOKUP(C32,'Sales Master'!$B$3:$F$3179,5,0)</f>
        <v>1 KG</v>
      </c>
      <c r="I32" s="513" t="str">
        <f>VLOOKUP(C32,'Sales Master'!$B$3:$E$3179,4,0)</f>
        <v>Malaysia</v>
      </c>
      <c r="J32" s="513"/>
      <c r="K32" s="98">
        <f>VLOOKUP(C32,'Sales Master'!$B$3:$O$3248,14,0)</f>
        <v>2.5</v>
      </c>
      <c r="L32" s="99">
        <f t="shared" si="6"/>
        <v>37.5</v>
      </c>
      <c r="M32" s="78"/>
      <c r="N32" s="225">
        <f>VLOOKUP(C32,'Sales Master'!$B$3:$DA$3038,104,0)</f>
        <v>1.8666666666666665</v>
      </c>
      <c r="O32" s="225">
        <f t="shared" si="7"/>
        <v>0.63333333333333353</v>
      </c>
      <c r="P32" s="225">
        <f t="shared" si="8"/>
        <v>9.5000000000000036</v>
      </c>
    </row>
    <row r="33" spans="2:22" ht="20.149999999999999" customHeight="1" x14ac:dyDescent="0.45">
      <c r="B33" s="388"/>
      <c r="C33" s="22" t="s">
        <v>1791</v>
      </c>
      <c r="D33" s="505" t="str">
        <f>VLOOKUP(C33,'Sales Master'!B$3:D$699,2,)</f>
        <v>Yam 芋头</v>
      </c>
      <c r="E33" s="505"/>
      <c r="F33" s="505"/>
      <c r="G33" s="22">
        <v>3</v>
      </c>
      <c r="H33" s="386" t="str">
        <f>VLOOKUP(C33,'Sales Master'!$B$3:$F$3179,5,0)</f>
        <v>1 KG</v>
      </c>
      <c r="I33" s="513" t="str">
        <f>VLOOKUP(C33,'Sales Master'!$B$3:$E$3179,4,0)</f>
        <v>Thailand</v>
      </c>
      <c r="J33" s="513"/>
      <c r="K33" s="98">
        <f>VLOOKUP(C33,'Sales Master'!$B$3:$O$3248,14,0)</f>
        <v>4.8</v>
      </c>
      <c r="L33" s="99">
        <f t="shared" si="6"/>
        <v>14.399999999999999</v>
      </c>
      <c r="M33" s="78"/>
      <c r="N33" s="225">
        <f>VLOOKUP(C33,'Sales Master'!$B$3:$DA$3038,104,0)</f>
        <v>3.5185185185185186</v>
      </c>
      <c r="O33" s="225">
        <f t="shared" si="7"/>
        <v>1.2814814814814812</v>
      </c>
      <c r="P33" s="225">
        <f t="shared" si="8"/>
        <v>3.8444444444444437</v>
      </c>
    </row>
    <row r="34" spans="2:22" ht="20.149999999999999" customHeight="1" x14ac:dyDescent="0.45">
      <c r="B34" s="388"/>
      <c r="C34" s="22" t="s">
        <v>1794</v>
      </c>
      <c r="D34" s="505" t="str">
        <f>VLOOKUP(C34,'Sales Master'!B$3:D$699,2,)</f>
        <v>Pandan Leaf 班兰叶</v>
      </c>
      <c r="E34" s="505"/>
      <c r="F34" s="505"/>
      <c r="G34" s="22">
        <v>2</v>
      </c>
      <c r="H34" s="386" t="str">
        <f>VLOOKUP(C34,'Sales Master'!$B$3:$F$3179,5,0)</f>
        <v>1 kg</v>
      </c>
      <c r="I34" s="513" t="str">
        <f>VLOOKUP(C34,'Sales Master'!$B$3:$E$3179,4,0)</f>
        <v>-</v>
      </c>
      <c r="J34" s="513"/>
      <c r="K34" s="98">
        <f>VLOOKUP(C34,'Sales Master'!$B$3:$O$3248,14,0)</f>
        <v>2</v>
      </c>
      <c r="L34" s="99">
        <f t="shared" si="6"/>
        <v>4</v>
      </c>
      <c r="M34" s="78"/>
      <c r="N34" s="225">
        <f>VLOOKUP(C34,'Sales Master'!$B$3:$DA$3038,104,0)</f>
        <v>1</v>
      </c>
      <c r="O34" s="225">
        <f t="shared" si="7"/>
        <v>1</v>
      </c>
      <c r="P34" s="225">
        <f t="shared" si="8"/>
        <v>2</v>
      </c>
    </row>
    <row r="35" spans="2:22" ht="20" customHeight="1" x14ac:dyDescent="0.45">
      <c r="B35" s="34"/>
      <c r="C35" s="90" t="s">
        <v>1795</v>
      </c>
      <c r="D35" s="505" t="str">
        <f>VLOOKUP(C35,'Sales Master'!B$3:D$699,2,)</f>
        <v>Lime 酸甘</v>
      </c>
      <c r="E35" s="505"/>
      <c r="F35" s="505"/>
      <c r="G35" s="90">
        <v>2</v>
      </c>
      <c r="H35" s="386" t="str">
        <f>VLOOKUP(C35,'Sales Master'!$B$3:$F$3179,5,0)</f>
        <v>1 kg</v>
      </c>
      <c r="I35" s="513" t="str">
        <f>VLOOKUP(C35,'Sales Master'!$B$3:$E$3179,4,0)</f>
        <v>-</v>
      </c>
      <c r="J35" s="513"/>
      <c r="K35" s="98">
        <f>VLOOKUP(C35,'Sales Master'!$B$3:$O$3248,14,0)</f>
        <v>2.8</v>
      </c>
      <c r="L35" s="99">
        <f t="shared" si="6"/>
        <v>5.6</v>
      </c>
      <c r="M35" s="78"/>
      <c r="N35" s="225">
        <f>VLOOKUP(C35,'Sales Master'!$B$3:$DA$3038,104,0)</f>
        <v>1.9</v>
      </c>
      <c r="O35" s="225">
        <f t="shared" si="7"/>
        <v>0.89999999999999991</v>
      </c>
      <c r="P35" s="225">
        <f t="shared" si="8"/>
        <v>1.7999999999999998</v>
      </c>
    </row>
    <row r="36" spans="2:22" ht="20" customHeight="1" x14ac:dyDescent="0.45">
      <c r="B36" s="34"/>
      <c r="C36" s="402" t="s">
        <v>720</v>
      </c>
      <c r="D36" s="78"/>
      <c r="E36" s="78"/>
      <c r="F36" s="78"/>
      <c r="G36" s="90"/>
      <c r="H36" s="386"/>
      <c r="I36" s="408"/>
      <c r="J36" s="408"/>
      <c r="K36" s="98"/>
      <c r="L36" s="99"/>
      <c r="M36" s="78"/>
      <c r="N36" s="225"/>
      <c r="O36" s="225"/>
      <c r="P36" s="225"/>
    </row>
    <row r="37" spans="2:22" ht="20" customHeight="1" x14ac:dyDescent="0.45">
      <c r="B37" s="34"/>
      <c r="C37" s="402"/>
      <c r="D37" s="78"/>
      <c r="E37" s="78"/>
      <c r="F37" s="78"/>
      <c r="G37" s="90"/>
      <c r="H37" s="386"/>
      <c r="I37" s="439"/>
      <c r="J37" s="439"/>
      <c r="K37" s="98"/>
      <c r="L37" s="99"/>
      <c r="M37" s="78"/>
      <c r="N37" s="225"/>
      <c r="O37" s="225"/>
      <c r="P37" s="225"/>
    </row>
    <row r="38" spans="2:22" ht="20" customHeight="1" x14ac:dyDescent="0.45">
      <c r="B38" s="34"/>
      <c r="C38" s="411" t="s">
        <v>2317</v>
      </c>
      <c r="D38" s="230"/>
      <c r="E38" s="230"/>
      <c r="F38" s="230"/>
      <c r="G38" s="90"/>
      <c r="H38" s="68"/>
      <c r="I38" s="68"/>
      <c r="J38" s="68"/>
      <c r="K38" s="394"/>
      <c r="L38" s="99"/>
      <c r="M38" s="78"/>
      <c r="N38" s="225"/>
      <c r="O38" s="225"/>
      <c r="P38" s="225"/>
    </row>
    <row r="39" spans="2:22" ht="20" customHeight="1" x14ac:dyDescent="0.45">
      <c r="B39" s="34"/>
      <c r="C39" s="22" t="s">
        <v>1633</v>
      </c>
      <c r="D39" s="480" t="str">
        <f>VLOOKUP(C39,'[1]Sales Master'!B$3:D$603,2,0)</f>
        <v>Pong Thai Hai (Dry) 碰大海</v>
      </c>
      <c r="E39" s="480"/>
      <c r="F39" s="480"/>
      <c r="G39" s="90">
        <v>1</v>
      </c>
      <c r="H39" s="389" t="str">
        <f>VLOOKUP(C39,'[1]Sales Master'!B$3:F$896,5,0)</f>
        <v>1 kg</v>
      </c>
      <c r="I39" s="482" t="str">
        <f>VLOOKUP(C39,'[1]Sales Master'!B$3:E$896,4,0)</f>
        <v>-</v>
      </c>
      <c r="J39" s="482"/>
      <c r="K39" s="394">
        <v>26</v>
      </c>
      <c r="L39" s="99"/>
      <c r="M39" s="78"/>
      <c r="N39" s="225"/>
      <c r="O39" s="225"/>
      <c r="P39" s="225"/>
    </row>
    <row r="40" spans="2:22" ht="20" customHeight="1" x14ac:dyDescent="0.45">
      <c r="B40" s="34"/>
      <c r="L40" s="99"/>
      <c r="M40" s="78"/>
      <c r="N40" s="225"/>
      <c r="O40" s="225"/>
      <c r="P40" s="225"/>
    </row>
    <row r="41" spans="2:22" ht="20.149999999999999" customHeight="1" thickBot="1" x14ac:dyDescent="0.5">
      <c r="B41" s="37"/>
      <c r="C41" s="38"/>
      <c r="D41" s="583"/>
      <c r="E41" s="583"/>
      <c r="F41" s="583"/>
      <c r="G41" s="174"/>
      <c r="H41" s="69" t="s">
        <v>2027</v>
      </c>
      <c r="I41" s="557"/>
      <c r="J41" s="557"/>
      <c r="K41" s="175"/>
      <c r="L41" s="176"/>
    </row>
    <row r="42" spans="2:22" ht="20.149999999999999" customHeight="1" thickBot="1" x14ac:dyDescent="0.5">
      <c r="B42" s="41"/>
      <c r="G42" s="78"/>
      <c r="L42" s="42"/>
      <c r="R42" s="24">
        <v>1</v>
      </c>
      <c r="S42" s="24" t="s">
        <v>61</v>
      </c>
      <c r="T42" s="24" t="s">
        <v>529</v>
      </c>
      <c r="V42" s="24">
        <v>6.5</v>
      </c>
    </row>
    <row r="43" spans="2:22" ht="20.149999999999999" customHeight="1" x14ac:dyDescent="0.45">
      <c r="B43" s="11" t="s">
        <v>18</v>
      </c>
      <c r="C43" s="7"/>
      <c r="D43" s="7"/>
      <c r="E43" s="7"/>
      <c r="F43" s="7"/>
      <c r="G43" s="7"/>
      <c r="H43" s="7"/>
      <c r="I43" s="7"/>
      <c r="J43" s="510" t="s">
        <v>15</v>
      </c>
      <c r="K43" s="511"/>
      <c r="L43" s="43">
        <f>SUM(L17:L41)</f>
        <v>329</v>
      </c>
      <c r="M43" s="76">
        <f>SUM(P18:P39)</f>
        <v>101.04377777777778</v>
      </c>
      <c r="N43" s="201">
        <f>M43/L43</f>
        <v>0.30712394461330633</v>
      </c>
      <c r="R43" s="24">
        <v>1</v>
      </c>
      <c r="S43" s="24" t="s">
        <v>61</v>
      </c>
      <c r="T43" s="24" t="s">
        <v>658</v>
      </c>
      <c r="V43" s="24">
        <v>6</v>
      </c>
    </row>
    <row r="44" spans="2:22" ht="20.149999999999999" customHeight="1" x14ac:dyDescent="0.45">
      <c r="B44" s="11" t="s">
        <v>19</v>
      </c>
      <c r="C44" s="7"/>
      <c r="D44" s="7"/>
      <c r="E44" s="7"/>
      <c r="F44" s="7"/>
      <c r="G44" s="7"/>
      <c r="H44" s="7"/>
      <c r="I44" s="7"/>
      <c r="J44" s="44" t="s">
        <v>22</v>
      </c>
      <c r="K44" s="45"/>
      <c r="L44" s="46">
        <f>L43*K44</f>
        <v>0</v>
      </c>
      <c r="R44" s="24">
        <v>1</v>
      </c>
      <c r="S44" s="24" t="s">
        <v>36</v>
      </c>
      <c r="T44" s="24" t="s">
        <v>34</v>
      </c>
      <c r="V44" s="24">
        <v>6</v>
      </c>
    </row>
    <row r="45" spans="2:22" ht="20.149999999999999" customHeight="1" x14ac:dyDescent="0.45">
      <c r="B45" s="11" t="s">
        <v>20</v>
      </c>
      <c r="C45" s="7"/>
      <c r="D45" s="7"/>
      <c r="E45" s="7"/>
      <c r="F45" s="7"/>
      <c r="G45" s="7"/>
      <c r="H45" s="7"/>
      <c r="I45" s="7"/>
      <c r="J45" s="486" t="s">
        <v>21</v>
      </c>
      <c r="K45" s="487"/>
      <c r="L45" s="46">
        <f>L43-L44</f>
        <v>329</v>
      </c>
      <c r="R45" s="24">
        <v>1</v>
      </c>
      <c r="S45" s="24" t="s">
        <v>610</v>
      </c>
      <c r="T45" s="24" t="s">
        <v>530</v>
      </c>
      <c r="V45" s="24">
        <v>13</v>
      </c>
    </row>
    <row r="46" spans="2:22" ht="20.149999999999999" customHeight="1" x14ac:dyDescent="0.45">
      <c r="B46" s="11" t="s">
        <v>24</v>
      </c>
      <c r="C46" s="7"/>
      <c r="D46" s="7"/>
      <c r="E46" s="7"/>
      <c r="F46" s="7"/>
      <c r="G46" s="7"/>
      <c r="H46" s="7"/>
      <c r="I46" s="7"/>
      <c r="J46" s="150" t="s">
        <v>17</v>
      </c>
      <c r="K46" s="151">
        <v>7.0000000000000007E-2</v>
      </c>
      <c r="L46" s="47">
        <f>L45*K46</f>
        <v>23.03</v>
      </c>
      <c r="R46" s="24">
        <v>1</v>
      </c>
      <c r="S46" s="24" t="s">
        <v>36</v>
      </c>
      <c r="T46" s="24" t="s">
        <v>54</v>
      </c>
      <c r="V46" s="24">
        <v>16</v>
      </c>
    </row>
    <row r="47" spans="2:22" ht="20.149999999999999" customHeight="1" thickBot="1" x14ac:dyDescent="0.5">
      <c r="B47" s="11" t="s">
        <v>1400</v>
      </c>
      <c r="C47" s="7"/>
      <c r="D47" s="7"/>
      <c r="E47" s="7"/>
      <c r="F47" s="7"/>
      <c r="G47" s="7"/>
      <c r="H47" s="7"/>
      <c r="I47" s="7"/>
      <c r="J47" s="488" t="s">
        <v>23</v>
      </c>
      <c r="K47" s="489"/>
      <c r="L47" s="48">
        <f>L45+L46</f>
        <v>352.03</v>
      </c>
      <c r="R47" s="24">
        <v>4</v>
      </c>
      <c r="S47" s="24" t="s">
        <v>36</v>
      </c>
      <c r="T47" s="24" t="s">
        <v>54</v>
      </c>
      <c r="V47" s="24">
        <v>13</v>
      </c>
    </row>
    <row r="48" spans="2:22" ht="20.149999999999999" customHeight="1" x14ac:dyDescent="0.45">
      <c r="B48" s="11" t="s">
        <v>26</v>
      </c>
      <c r="C48" s="7"/>
      <c r="D48" s="7"/>
      <c r="E48" s="7"/>
      <c r="F48" s="7"/>
      <c r="G48" s="7"/>
      <c r="H48" s="7"/>
      <c r="I48" s="7"/>
      <c r="L48" s="42"/>
      <c r="R48" s="24">
        <v>4</v>
      </c>
      <c r="S48" s="24" t="s">
        <v>36</v>
      </c>
      <c r="T48" s="24" t="s">
        <v>54</v>
      </c>
      <c r="V48" s="24">
        <v>13</v>
      </c>
    </row>
    <row r="49" spans="2:22" ht="20.149999999999999" customHeight="1" x14ac:dyDescent="0.45">
      <c r="B49" s="224" t="s">
        <v>1379</v>
      </c>
      <c r="L49" s="42"/>
      <c r="R49" s="24">
        <v>1</v>
      </c>
      <c r="S49" s="24" t="s">
        <v>650</v>
      </c>
      <c r="T49" s="24" t="s">
        <v>686</v>
      </c>
      <c r="V49" s="24">
        <v>2.8</v>
      </c>
    </row>
    <row r="50" spans="2:22" ht="20.149999999999999" customHeight="1" x14ac:dyDescent="0.45">
      <c r="B50" s="224"/>
      <c r="L50" s="42"/>
    </row>
    <row r="51" spans="2:22" ht="20.149999999999999" customHeight="1" x14ac:dyDescent="0.45">
      <c r="B51" s="224"/>
      <c r="L51" s="42"/>
    </row>
    <row r="52" spans="2:22" ht="20.149999999999999" customHeight="1" x14ac:dyDescent="0.45">
      <c r="B52" s="41"/>
      <c r="L52" s="42"/>
    </row>
    <row r="53" spans="2:22" ht="20.149999999999999" customHeight="1" x14ac:dyDescent="0.45">
      <c r="B53" s="49"/>
      <c r="C53" s="50"/>
      <c r="D53" s="50"/>
      <c r="J53" s="50"/>
      <c r="K53" s="50"/>
      <c r="L53" s="51"/>
      <c r="R53" s="24">
        <v>20</v>
      </c>
      <c r="S53" s="24" t="s">
        <v>36</v>
      </c>
      <c r="T53" s="24" t="s">
        <v>75</v>
      </c>
      <c r="V53" s="24">
        <v>1.6</v>
      </c>
    </row>
    <row r="54" spans="2:22" ht="20.149999999999999" customHeight="1" x14ac:dyDescent="0.45">
      <c r="B54" s="41" t="s">
        <v>27</v>
      </c>
      <c r="J54" s="24" t="s">
        <v>28</v>
      </c>
      <c r="L54" s="42"/>
      <c r="R54" s="24">
        <v>2</v>
      </c>
      <c r="S54" s="24" t="s">
        <v>36</v>
      </c>
      <c r="T54" s="24" t="s">
        <v>34</v>
      </c>
      <c r="V54" s="24">
        <v>2.5</v>
      </c>
    </row>
    <row r="55" spans="2:22" ht="19" thickBot="1" x14ac:dyDescent="0.5">
      <c r="B55" s="52"/>
      <c r="C55" s="53"/>
      <c r="D55" s="53"/>
      <c r="E55" s="53"/>
      <c r="F55" s="53"/>
      <c r="G55" s="53"/>
      <c r="H55" s="53"/>
      <c r="I55" s="53"/>
      <c r="J55" s="53"/>
      <c r="K55" s="53"/>
      <c r="L55" s="54"/>
      <c r="R55" s="24">
        <v>3</v>
      </c>
      <c r="S55" s="24" t="s">
        <v>36</v>
      </c>
      <c r="T55" s="24" t="s">
        <v>75</v>
      </c>
      <c r="V55" s="24">
        <v>4</v>
      </c>
    </row>
    <row r="56" spans="2:22" ht="20.5" x14ac:dyDescent="0.45">
      <c r="F56" s="427"/>
      <c r="R56" s="24">
        <v>2</v>
      </c>
      <c r="S56" s="24" t="s">
        <v>58</v>
      </c>
      <c r="T56" s="24" t="s">
        <v>135</v>
      </c>
      <c r="V56" s="24">
        <v>20</v>
      </c>
    </row>
    <row r="57" spans="2:22" x14ac:dyDescent="0.45">
      <c r="R57" s="24">
        <v>1</v>
      </c>
      <c r="S57" s="24" t="s">
        <v>494</v>
      </c>
      <c r="T57" s="24" t="s">
        <v>64</v>
      </c>
      <c r="V57" s="24">
        <v>30</v>
      </c>
    </row>
    <row r="58" spans="2:22" x14ac:dyDescent="0.45">
      <c r="R58" s="24">
        <v>1</v>
      </c>
      <c r="S58" s="24" t="s">
        <v>615</v>
      </c>
      <c r="T58" s="24" t="s">
        <v>602</v>
      </c>
      <c r="V58" s="24">
        <v>36</v>
      </c>
    </row>
  </sheetData>
  <mergeCells count="57">
    <mergeCell ref="B1:L8"/>
    <mergeCell ref="D17:F17"/>
    <mergeCell ref="I17:J17"/>
    <mergeCell ref="B11:D11"/>
    <mergeCell ref="F11:H15"/>
    <mergeCell ref="K10:L10"/>
    <mergeCell ref="B13:D13"/>
    <mergeCell ref="K11:L11"/>
    <mergeCell ref="B12:D12"/>
    <mergeCell ref="K12:L12"/>
    <mergeCell ref="K13:L13"/>
    <mergeCell ref="B14:D14"/>
    <mergeCell ref="D27:F27"/>
    <mergeCell ref="D29:F29"/>
    <mergeCell ref="I27:J27"/>
    <mergeCell ref="I29:J29"/>
    <mergeCell ref="D28:F28"/>
    <mergeCell ref="I28:J28"/>
    <mergeCell ref="D22:F22"/>
    <mergeCell ref="D23:F23"/>
    <mergeCell ref="D24:F24"/>
    <mergeCell ref="I20:J20"/>
    <mergeCell ref="I21:J21"/>
    <mergeCell ref="N11:P11"/>
    <mergeCell ref="K14:L14"/>
    <mergeCell ref="I19:J19"/>
    <mergeCell ref="I39:J39"/>
    <mergeCell ref="D26:F26"/>
    <mergeCell ref="I26:J26"/>
    <mergeCell ref="I22:J22"/>
    <mergeCell ref="I23:J23"/>
    <mergeCell ref="I24:J24"/>
    <mergeCell ref="D18:F18"/>
    <mergeCell ref="I18:J18"/>
    <mergeCell ref="D25:F25"/>
    <mergeCell ref="I25:J25"/>
    <mergeCell ref="D19:F19"/>
    <mergeCell ref="D20:F20"/>
    <mergeCell ref="D21:F21"/>
    <mergeCell ref="D39:F39"/>
    <mergeCell ref="D41:F41"/>
    <mergeCell ref="J47:K47"/>
    <mergeCell ref="J45:K45"/>
    <mergeCell ref="J43:K43"/>
    <mergeCell ref="I41:J41"/>
    <mergeCell ref="D35:F35"/>
    <mergeCell ref="I30:J30"/>
    <mergeCell ref="I31:J31"/>
    <mergeCell ref="I32:J32"/>
    <mergeCell ref="I33:J33"/>
    <mergeCell ref="I34:J34"/>
    <mergeCell ref="I35:J35"/>
    <mergeCell ref="D30:F30"/>
    <mergeCell ref="D31:F31"/>
    <mergeCell ref="D32:F32"/>
    <mergeCell ref="D33:F33"/>
    <mergeCell ref="D34:F34"/>
  </mergeCells>
  <conditionalFormatting sqref="C41">
    <cfRule type="duplicateValues" dxfId="31" priority="723"/>
  </conditionalFormatting>
  <conditionalFormatting sqref="C41">
    <cfRule type="duplicateValues" dxfId="30" priority="730"/>
  </conditionalFormatting>
  <conditionalFormatting sqref="N11">
    <cfRule type="duplicateValues" dxfId="29" priority="31"/>
  </conditionalFormatting>
  <conditionalFormatting sqref="C18">
    <cfRule type="duplicateValues" dxfId="28" priority="996"/>
  </conditionalFormatting>
  <conditionalFormatting sqref="C38:C39">
    <cfRule type="duplicateValues" dxfId="27" priority="1"/>
  </conditionalFormatting>
  <conditionalFormatting sqref="C35:C37 C19:C28">
    <cfRule type="duplicateValues" dxfId="26" priority="1164"/>
  </conditionalFormatting>
  <printOptions horizontalCentered="1"/>
  <pageMargins left="0.70866141732283472" right="0.51181102362204722" top="0.51181102362204722" bottom="0.51181102362204722" header="0.31496062992125984" footer="0.31496062992125984"/>
  <pageSetup paperSize="9" scale="70"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BD2341-41FE-4790-B897-BECD18DA339B}">
  <sheetPr>
    <tabColor theme="9" tint="0.39997558519241921"/>
    <pageSetUpPr fitToPage="1"/>
  </sheetPr>
  <dimension ref="B1:P49"/>
  <sheetViews>
    <sheetView workbookViewId="0">
      <selection activeCell="F11" sqref="F11:H15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8.36328125" style="24" customWidth="1"/>
    <col min="7" max="7" width="8.54296875" style="24" customWidth="1"/>
    <col min="8" max="8" width="15.7265625" style="24" customWidth="1"/>
    <col min="9" max="9" width="0.7265625" style="24" customWidth="1"/>
    <col min="10" max="10" width="20.26953125" style="24" customWidth="1"/>
    <col min="11" max="11" width="10.54296875" style="24" customWidth="1"/>
    <col min="12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2337</v>
      </c>
      <c r="J10" s="29" t="s">
        <v>29</v>
      </c>
      <c r="K10" s="452">
        <v>202209453</v>
      </c>
      <c r="L10" s="453"/>
    </row>
    <row r="11" spans="2:12" ht="20.149999999999999" customHeight="1" x14ac:dyDescent="0.45">
      <c r="B11" s="454" t="s">
        <v>2302</v>
      </c>
      <c r="C11" s="455"/>
      <c r="D11" s="456"/>
      <c r="E11" s="30"/>
      <c r="F11" s="457" t="str">
        <f>VLOOKUP(H10,'Delivery Location'!A$4:N$416,2,0)</f>
        <v>R&amp;B Tea Singapore                                                         Yew Tee Point,                                             21 Choa Chu Kang North 6, #01-49/50, Singapore 689578</v>
      </c>
      <c r="G11" s="458"/>
      <c r="H11" s="459"/>
      <c r="J11" s="31" t="s">
        <v>11</v>
      </c>
      <c r="K11" s="466">
        <v>44833</v>
      </c>
      <c r="L11" s="467"/>
    </row>
    <row r="12" spans="2:12" ht="20.149999999999999" customHeight="1" x14ac:dyDescent="0.45">
      <c r="B12" s="468" t="s">
        <v>2303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533</v>
      </c>
      <c r="L12" s="472"/>
    </row>
    <row r="13" spans="2:12" ht="20.149999999999999" customHeight="1" x14ac:dyDescent="0.45">
      <c r="B13" s="468" t="s">
        <v>2024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14</v>
      </c>
      <c r="L13" s="472"/>
    </row>
    <row r="14" spans="2:12" ht="20.149999999999999" customHeight="1" x14ac:dyDescent="0.45">
      <c r="B14" s="468" t="s">
        <v>2025</v>
      </c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463" t="s">
        <v>2026</v>
      </c>
      <c r="C15" s="464"/>
      <c r="D15" s="465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16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16" ht="20.149999999999999" customHeight="1" x14ac:dyDescent="0.45">
      <c r="B18" s="34"/>
      <c r="C18" s="22" t="s">
        <v>2305</v>
      </c>
      <c r="D18" s="508" t="str">
        <f>VLOOKUP(C18,'Sales Master'!B$3:D$499,2,)</f>
        <v>Passion Fruit Puree 百香果浆</v>
      </c>
      <c r="E18" s="508"/>
      <c r="F18" s="508"/>
      <c r="G18" s="90">
        <v>6</v>
      </c>
      <c r="H18" s="389" t="str">
        <f>VLOOKUP(C18,'Sales Master'!$B$3:$F$3247,5,0)</f>
        <v>1 KG/BOX</v>
      </c>
      <c r="I18" s="482" t="str">
        <f>VLOOKUP(C18,'Sales Master'!$B$3:$E$3247,4,0)</f>
        <v>-</v>
      </c>
      <c r="J18" s="482"/>
      <c r="K18" s="35">
        <f>VLOOKUP(C18,'Sales Master'!B$3:AD$498,29,0)</f>
        <v>8.5</v>
      </c>
      <c r="L18" s="77">
        <f>K18*G18</f>
        <v>51</v>
      </c>
      <c r="M18" s="78"/>
      <c r="N18" s="225">
        <f>VLOOKUP(C18,'Sales Master'!$B$3:$DA$3038,104,0)</f>
        <v>4.4000000000000004</v>
      </c>
      <c r="O18" s="225">
        <f>K18-N18</f>
        <v>4.0999999999999996</v>
      </c>
      <c r="P18" s="225">
        <f>O18*G18</f>
        <v>24.599999999999998</v>
      </c>
    </row>
    <row r="19" spans="2:16" ht="20.149999999999999" customHeight="1" x14ac:dyDescent="0.45">
      <c r="B19" s="34"/>
      <c r="C19" s="22"/>
      <c r="D19" s="508"/>
      <c r="E19" s="508"/>
      <c r="F19" s="508"/>
      <c r="G19" s="90"/>
      <c r="H19" s="389"/>
      <c r="I19" s="482"/>
      <c r="J19" s="482"/>
      <c r="K19" s="35"/>
      <c r="L19" s="77"/>
      <c r="M19" s="78"/>
      <c r="N19" s="225"/>
      <c r="O19" s="225"/>
      <c r="P19" s="225"/>
    </row>
    <row r="20" spans="2:16" ht="20.149999999999999" customHeight="1" x14ac:dyDescent="0.45">
      <c r="B20" s="34"/>
      <c r="C20" s="22"/>
      <c r="D20" s="508"/>
      <c r="E20" s="508"/>
      <c r="F20" s="508"/>
      <c r="G20" s="90"/>
      <c r="H20" s="68"/>
      <c r="I20" s="481"/>
      <c r="J20" s="481"/>
      <c r="K20" s="35"/>
      <c r="L20" s="77"/>
      <c r="M20" s="78"/>
      <c r="N20" s="225"/>
      <c r="O20" s="225"/>
      <c r="P20" s="225"/>
    </row>
    <row r="21" spans="2:16" ht="20.149999999999999" customHeight="1" x14ac:dyDescent="0.45">
      <c r="B21" s="34"/>
      <c r="C21" s="22"/>
      <c r="D21" s="508"/>
      <c r="E21" s="508"/>
      <c r="F21" s="508"/>
      <c r="G21" s="90"/>
      <c r="H21" s="68"/>
      <c r="I21" s="481"/>
      <c r="J21" s="481"/>
      <c r="K21" s="35"/>
      <c r="L21" s="77"/>
      <c r="M21" s="78"/>
      <c r="N21" s="225"/>
      <c r="O21" s="225"/>
      <c r="P21" s="225"/>
    </row>
    <row r="22" spans="2:16" ht="20.149999999999999" customHeight="1" x14ac:dyDescent="0.45">
      <c r="B22" s="34"/>
      <c r="C22" s="22"/>
      <c r="D22" s="508"/>
      <c r="E22" s="508"/>
      <c r="F22" s="508"/>
      <c r="G22" s="90"/>
      <c r="H22" s="68"/>
      <c r="I22" s="481"/>
      <c r="J22" s="481"/>
      <c r="K22" s="35"/>
      <c r="L22" s="77"/>
      <c r="M22" s="78"/>
      <c r="N22" s="225"/>
      <c r="O22" s="225"/>
      <c r="P22" s="225"/>
    </row>
    <row r="23" spans="2:16" ht="20.149999999999999" customHeight="1" x14ac:dyDescent="0.45">
      <c r="B23" s="34"/>
      <c r="C23" s="22"/>
      <c r="D23" s="508"/>
      <c r="E23" s="508"/>
      <c r="F23" s="508"/>
      <c r="G23" s="90"/>
      <c r="H23" s="68"/>
      <c r="I23" s="481"/>
      <c r="J23" s="481"/>
      <c r="K23" s="35"/>
      <c r="L23" s="77"/>
      <c r="M23" s="78"/>
      <c r="N23" s="225"/>
      <c r="O23" s="225"/>
      <c r="P23" s="225"/>
    </row>
    <row r="24" spans="2:16" ht="20.149999999999999" customHeight="1" x14ac:dyDescent="0.45">
      <c r="B24" s="34"/>
      <c r="C24" s="22"/>
      <c r="D24" s="508"/>
      <c r="E24" s="508"/>
      <c r="F24" s="508"/>
      <c r="G24" s="90"/>
      <c r="H24" s="68"/>
      <c r="I24" s="481"/>
      <c r="J24" s="481"/>
      <c r="K24" s="35"/>
      <c r="L24" s="77"/>
      <c r="M24" s="78"/>
      <c r="N24" s="225"/>
      <c r="O24" s="225"/>
      <c r="P24" s="225"/>
    </row>
    <row r="25" spans="2:16" ht="20.149999999999999" customHeight="1" x14ac:dyDescent="0.45">
      <c r="B25" s="34"/>
      <c r="C25" s="22"/>
      <c r="D25" s="508"/>
      <c r="E25" s="508"/>
      <c r="F25" s="508"/>
      <c r="G25" s="90"/>
      <c r="H25" s="68"/>
      <c r="I25" s="481"/>
      <c r="J25" s="481"/>
      <c r="K25" s="35"/>
      <c r="L25" s="77"/>
      <c r="M25" s="78"/>
      <c r="N25" s="225"/>
      <c r="O25" s="225"/>
      <c r="P25" s="225"/>
    </row>
    <row r="26" spans="2:16" ht="20.149999999999999" customHeight="1" x14ac:dyDescent="0.45">
      <c r="B26" s="34"/>
      <c r="C26" s="22"/>
      <c r="D26" s="508"/>
      <c r="E26" s="508"/>
      <c r="F26" s="508"/>
      <c r="G26" s="90"/>
      <c r="H26" s="68"/>
      <c r="I26" s="481"/>
      <c r="J26" s="481"/>
      <c r="K26" s="35"/>
      <c r="L26" s="77"/>
      <c r="M26" s="78"/>
      <c r="N26" s="225"/>
      <c r="O26" s="225"/>
      <c r="P26" s="225"/>
    </row>
    <row r="27" spans="2:16" ht="20.149999999999999" customHeight="1" x14ac:dyDescent="0.45">
      <c r="B27" s="34"/>
      <c r="C27" s="22"/>
      <c r="D27" s="508"/>
      <c r="E27" s="508"/>
      <c r="F27" s="508"/>
      <c r="G27" s="90"/>
      <c r="H27" s="68"/>
      <c r="I27" s="481"/>
      <c r="J27" s="481"/>
      <c r="K27" s="35"/>
      <c r="L27" s="77"/>
      <c r="M27" s="78"/>
      <c r="N27" s="225"/>
      <c r="O27" s="225"/>
      <c r="P27" s="225"/>
    </row>
    <row r="28" spans="2:16" ht="20.149999999999999" customHeight="1" x14ac:dyDescent="0.45">
      <c r="B28" s="34"/>
      <c r="C28" s="22"/>
      <c r="D28" s="508"/>
      <c r="E28" s="508"/>
      <c r="F28" s="508"/>
      <c r="G28" s="90"/>
      <c r="H28" s="68"/>
      <c r="I28" s="481"/>
      <c r="J28" s="481"/>
      <c r="K28" s="35"/>
      <c r="L28" s="77"/>
      <c r="M28" s="78"/>
      <c r="N28" s="225"/>
      <c r="O28" s="225"/>
      <c r="P28" s="225"/>
    </row>
    <row r="29" spans="2:16" ht="20.149999999999999" customHeight="1" x14ac:dyDescent="0.45">
      <c r="B29" s="34"/>
      <c r="C29" s="22"/>
      <c r="D29" s="508"/>
      <c r="E29" s="508"/>
      <c r="F29" s="508"/>
      <c r="G29" s="90"/>
      <c r="H29" s="68"/>
      <c r="I29" s="481"/>
      <c r="J29" s="481"/>
      <c r="K29" s="35"/>
      <c r="L29" s="77"/>
      <c r="M29" s="78"/>
      <c r="N29" s="225"/>
      <c r="O29" s="225"/>
      <c r="P29" s="225"/>
    </row>
    <row r="30" spans="2:16" ht="20.149999999999999" customHeight="1" x14ac:dyDescent="0.45">
      <c r="B30" s="34"/>
      <c r="C30" s="22"/>
      <c r="D30" s="508"/>
      <c r="E30" s="508"/>
      <c r="F30" s="508"/>
      <c r="G30" s="90"/>
      <c r="H30" s="68"/>
      <c r="I30" s="481"/>
      <c r="J30" s="481"/>
      <c r="K30" s="35"/>
      <c r="L30" s="77"/>
      <c r="M30" s="78"/>
      <c r="N30" s="225"/>
      <c r="O30" s="225"/>
      <c r="P30" s="225"/>
    </row>
    <row r="31" spans="2:16" ht="20.149999999999999" customHeight="1" x14ac:dyDescent="0.45">
      <c r="B31" s="34"/>
      <c r="C31" s="22"/>
      <c r="D31" s="508"/>
      <c r="E31" s="508"/>
      <c r="F31" s="508"/>
      <c r="G31" s="90"/>
      <c r="H31" s="389"/>
      <c r="I31" s="512"/>
      <c r="J31" s="512"/>
      <c r="K31" s="35"/>
      <c r="L31" s="77"/>
      <c r="M31" s="78"/>
      <c r="N31" s="225"/>
      <c r="O31" s="225"/>
      <c r="P31" s="225"/>
    </row>
    <row r="32" spans="2:16" ht="20.149999999999999" customHeight="1" x14ac:dyDescent="0.45">
      <c r="B32" s="34"/>
      <c r="C32" s="22"/>
      <c r="D32" s="508"/>
      <c r="E32" s="508"/>
      <c r="F32" s="508"/>
      <c r="G32" s="90"/>
      <c r="H32" s="389"/>
      <c r="I32" s="512"/>
      <c r="J32" s="512"/>
      <c r="K32" s="35"/>
      <c r="L32" s="77"/>
      <c r="M32" s="78"/>
      <c r="N32" s="225"/>
      <c r="O32" s="225"/>
      <c r="P32" s="225"/>
    </row>
    <row r="33" spans="2:16" ht="20.149999999999999" customHeight="1" x14ac:dyDescent="0.45">
      <c r="B33" s="34"/>
      <c r="C33" s="22"/>
      <c r="D33" s="508"/>
      <c r="E33" s="508"/>
      <c r="F33" s="508"/>
      <c r="G33" s="90"/>
      <c r="H33" s="346"/>
      <c r="I33" s="481"/>
      <c r="J33" s="481"/>
      <c r="K33" s="35"/>
      <c r="L33" s="77"/>
      <c r="M33" s="78"/>
      <c r="N33" s="225"/>
      <c r="O33" s="225"/>
      <c r="P33" s="225"/>
    </row>
    <row r="34" spans="2:16" ht="20.149999999999999" customHeight="1" x14ac:dyDescent="0.45">
      <c r="B34" s="34"/>
      <c r="C34" s="22"/>
      <c r="G34" s="90"/>
      <c r="H34" s="346"/>
      <c r="I34" s="68"/>
      <c r="J34" s="68"/>
      <c r="K34" s="35"/>
      <c r="L34" s="77"/>
      <c r="M34" s="78"/>
      <c r="N34" s="225"/>
      <c r="O34" s="225"/>
      <c r="P34" s="225"/>
    </row>
    <row r="35" spans="2:16" ht="20.149999999999999" customHeight="1" thickBot="1" x14ac:dyDescent="0.5">
      <c r="B35" s="37"/>
      <c r="C35" s="38"/>
      <c r="D35" s="509"/>
      <c r="E35" s="509"/>
      <c r="F35" s="509"/>
      <c r="G35" s="38"/>
      <c r="H35" s="69"/>
      <c r="I35" s="451"/>
      <c r="J35" s="451"/>
      <c r="K35" s="39"/>
      <c r="L35" s="40"/>
    </row>
    <row r="36" spans="2:16" ht="20.149999999999999" customHeight="1" thickBot="1" x14ac:dyDescent="0.5">
      <c r="B36" s="41"/>
      <c r="L36" s="42"/>
    </row>
    <row r="37" spans="2:16" ht="20.149999999999999" customHeight="1" x14ac:dyDescent="0.45">
      <c r="B37" s="11" t="s">
        <v>18</v>
      </c>
      <c r="C37" s="7"/>
      <c r="D37" s="7"/>
      <c r="E37" s="7"/>
      <c r="F37" s="7"/>
      <c r="G37" s="7"/>
      <c r="H37" s="7"/>
      <c r="I37" s="7"/>
      <c r="J37" s="510" t="s">
        <v>15</v>
      </c>
      <c r="K37" s="511"/>
      <c r="L37" s="43">
        <f>SUM(L14:L33)</f>
        <v>51</v>
      </c>
      <c r="M37" s="76">
        <f>SUM(P18:P33)</f>
        <v>24.599999999999998</v>
      </c>
      <c r="N37" s="201">
        <f>M37/L37</f>
        <v>0.48235294117647054</v>
      </c>
    </row>
    <row r="38" spans="2:16" ht="20.149999999999999" customHeight="1" x14ac:dyDescent="0.45">
      <c r="B38" s="11" t="s">
        <v>19</v>
      </c>
      <c r="C38" s="7"/>
      <c r="D38" s="7"/>
      <c r="E38" s="7"/>
      <c r="F38" s="7"/>
      <c r="G38" s="7"/>
      <c r="H38" s="7"/>
      <c r="I38" s="7"/>
      <c r="J38" s="44" t="s">
        <v>22</v>
      </c>
      <c r="K38" s="45"/>
      <c r="L38" s="46">
        <f>L37*K38</f>
        <v>0</v>
      </c>
    </row>
    <row r="39" spans="2:16" ht="20.149999999999999" customHeight="1" x14ac:dyDescent="0.45">
      <c r="B39" s="11" t="s">
        <v>20</v>
      </c>
      <c r="C39" s="7"/>
      <c r="D39" s="7"/>
      <c r="E39" s="7"/>
      <c r="F39" s="7"/>
      <c r="G39" s="7"/>
      <c r="H39" s="7"/>
      <c r="I39" s="7"/>
      <c r="J39" s="486" t="s">
        <v>21</v>
      </c>
      <c r="K39" s="487"/>
      <c r="L39" s="46">
        <f>L37-L38</f>
        <v>51</v>
      </c>
    </row>
    <row r="40" spans="2:16" ht="20.149999999999999" customHeight="1" x14ac:dyDescent="0.45">
      <c r="B40" s="11" t="s">
        <v>24</v>
      </c>
      <c r="C40" s="7"/>
      <c r="D40" s="7"/>
      <c r="E40" s="7"/>
      <c r="F40" s="7"/>
      <c r="G40" s="7"/>
      <c r="H40" s="7"/>
      <c r="I40" s="7"/>
      <c r="J40" s="150" t="s">
        <v>17</v>
      </c>
      <c r="K40" s="151">
        <v>7.0000000000000007E-2</v>
      </c>
      <c r="L40" s="47">
        <f>L39*K40</f>
        <v>3.5700000000000003</v>
      </c>
    </row>
    <row r="41" spans="2:16" ht="20.149999999999999" customHeight="1" thickBot="1" x14ac:dyDescent="0.5">
      <c r="B41" s="11" t="s">
        <v>25</v>
      </c>
      <c r="C41" s="7"/>
      <c r="D41" s="7"/>
      <c r="E41" s="7"/>
      <c r="F41" s="7"/>
      <c r="G41" s="7"/>
      <c r="H41" s="7"/>
      <c r="I41" s="7"/>
      <c r="J41" s="488" t="s">
        <v>23</v>
      </c>
      <c r="K41" s="489"/>
      <c r="L41" s="48">
        <f>L39+L40</f>
        <v>54.57</v>
      </c>
    </row>
    <row r="42" spans="2:16" ht="20.149999999999999" customHeight="1" x14ac:dyDescent="0.45">
      <c r="B42" s="11" t="s">
        <v>26</v>
      </c>
      <c r="C42" s="7"/>
      <c r="D42" s="7"/>
      <c r="E42" s="7"/>
      <c r="F42" s="7"/>
      <c r="G42" s="7"/>
      <c r="H42" s="7"/>
      <c r="I42" s="7"/>
      <c r="L42" s="42"/>
    </row>
    <row r="43" spans="2:16" ht="20.149999999999999" customHeight="1" x14ac:dyDescent="0.45">
      <c r="B43" s="41"/>
      <c r="L43" s="42"/>
    </row>
    <row r="44" spans="2:16" x14ac:dyDescent="0.45">
      <c r="B44" s="41"/>
      <c r="L44" s="42"/>
    </row>
    <row r="45" spans="2:16" ht="20.149999999999999" customHeight="1" x14ac:dyDescent="0.45">
      <c r="B45" s="41"/>
      <c r="L45" s="42"/>
    </row>
    <row r="46" spans="2:16" ht="20.149999999999999" customHeight="1" x14ac:dyDescent="0.45">
      <c r="B46" s="41"/>
      <c r="L46" s="42"/>
    </row>
    <row r="47" spans="2:16" x14ac:dyDescent="0.45">
      <c r="B47" s="49"/>
      <c r="C47" s="50"/>
      <c r="D47" s="50"/>
      <c r="J47" s="50"/>
      <c r="K47" s="50"/>
      <c r="L47" s="51"/>
    </row>
    <row r="48" spans="2:16" ht="20.149999999999999" customHeight="1" x14ac:dyDescent="0.45">
      <c r="B48" s="41" t="s">
        <v>27</v>
      </c>
      <c r="J48" s="24" t="s">
        <v>28</v>
      </c>
      <c r="L48" s="42"/>
    </row>
    <row r="49" spans="2:12" ht="19" thickBot="1" x14ac:dyDescent="0.5">
      <c r="B49" s="52"/>
      <c r="C49" s="53"/>
      <c r="D49" s="53"/>
      <c r="E49" s="53"/>
      <c r="F49" s="53"/>
      <c r="G49" s="53"/>
      <c r="H49" s="53"/>
      <c r="I49" s="53"/>
      <c r="J49" s="53"/>
      <c r="K49" s="53"/>
      <c r="L49" s="54"/>
    </row>
  </sheetData>
  <mergeCells count="52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D28:F28"/>
    <mergeCell ref="I28:J28"/>
    <mergeCell ref="D29:F29"/>
    <mergeCell ref="I29:J29"/>
    <mergeCell ref="D30:F30"/>
    <mergeCell ref="I30:J30"/>
    <mergeCell ref="D31:F31"/>
    <mergeCell ref="I31:J31"/>
    <mergeCell ref="D32:F32"/>
    <mergeCell ref="I32:J32"/>
    <mergeCell ref="J39:K39"/>
    <mergeCell ref="J41:K41"/>
    <mergeCell ref="D33:F33"/>
    <mergeCell ref="I33:J33"/>
    <mergeCell ref="D35:F35"/>
    <mergeCell ref="I35:J35"/>
    <mergeCell ref="J37:K37"/>
  </mergeCells>
  <pageMargins left="0.70866141732283505" right="0.31496062992126" top="0.59055118110236204" bottom="0" header="0.31496062992126" footer="0.31496062992126"/>
  <pageSetup paperSize="9" scale="74" orientation="portrait" horizontalDpi="300" verticalDpi="300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689D14-3DB1-423B-A8DF-BDA9A51AEA6D}">
  <sheetPr codeName="Sheet71">
    <tabColor rgb="FF92D050"/>
    <pageSetUpPr fitToPage="1"/>
  </sheetPr>
  <dimension ref="B1:R49"/>
  <sheetViews>
    <sheetView topLeftCell="B28" zoomScale="90" zoomScaleNormal="90" workbookViewId="0">
      <selection activeCell="J38" sqref="J38:K38"/>
    </sheetView>
  </sheetViews>
  <sheetFormatPr defaultColWidth="12.54296875" defaultRowHeight="18.5" x14ac:dyDescent="0.45"/>
  <cols>
    <col min="1" max="1" width="12.54296875" style="24"/>
    <col min="2" max="3" width="12.54296875" style="24" customWidth="1"/>
    <col min="4" max="4" width="14.54296875" style="24" customWidth="1"/>
    <col min="5" max="5" width="1.54296875" style="24" customWidth="1"/>
    <col min="6" max="6" width="14.54296875" style="24" customWidth="1"/>
    <col min="7" max="7" width="8.54296875" style="24" customWidth="1"/>
    <col min="8" max="8" width="18.81640625" style="24" customWidth="1"/>
    <col min="9" max="9" width="2.54296875" style="81" customWidth="1"/>
    <col min="10" max="10" width="15.54296875" style="81" customWidth="1"/>
    <col min="11" max="11" width="10.54296875" style="24" customWidth="1"/>
    <col min="12" max="12" width="12.54296875" style="24" customWidth="1"/>
    <col min="13" max="16384" width="12.54296875" style="24"/>
  </cols>
  <sheetData>
    <row r="1" spans="2:18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8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8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8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8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8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8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8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8" ht="19" thickBot="1" x14ac:dyDescent="0.5">
      <c r="B9" s="23"/>
    </row>
    <row r="10" spans="2:18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210</v>
      </c>
      <c r="J10" s="82" t="s">
        <v>29</v>
      </c>
      <c r="K10" s="452">
        <v>202210026</v>
      </c>
      <c r="L10" s="453"/>
    </row>
    <row r="11" spans="2:18" ht="20.149999999999999" customHeight="1" x14ac:dyDescent="0.45">
      <c r="B11" s="454" t="s">
        <v>2037</v>
      </c>
      <c r="C11" s="455"/>
      <c r="D11" s="456"/>
      <c r="E11" s="30"/>
      <c r="F11" s="457" t="str">
        <f>VLOOKUP(H10,'Delivery Location'!A$4:N$416,2,0)</f>
        <v xml:space="preserve">Koufu - Dessert                                        632, Bukit Batok Central #01-132 Singapore 650632                                                </v>
      </c>
      <c r="G11" s="458"/>
      <c r="H11" s="459"/>
      <c r="J11" s="83" t="s">
        <v>11</v>
      </c>
      <c r="K11" s="466">
        <v>44835</v>
      </c>
      <c r="L11" s="467"/>
    </row>
    <row r="12" spans="2:18" ht="20.149999999999999" customHeight="1" x14ac:dyDescent="0.45">
      <c r="B12" s="468" t="s">
        <v>2139</v>
      </c>
      <c r="C12" s="469"/>
      <c r="D12" s="470"/>
      <c r="E12" s="30"/>
      <c r="F12" s="460"/>
      <c r="G12" s="461"/>
      <c r="H12" s="462"/>
      <c r="J12" s="83" t="s">
        <v>171</v>
      </c>
      <c r="K12" s="471" t="s">
        <v>533</v>
      </c>
      <c r="L12" s="472"/>
    </row>
    <row r="13" spans="2:18" ht="20.149999999999999" customHeight="1" x14ac:dyDescent="0.45">
      <c r="B13" s="468" t="s">
        <v>2024</v>
      </c>
      <c r="C13" s="469"/>
      <c r="D13" s="470"/>
      <c r="E13" s="30"/>
      <c r="F13" s="460"/>
      <c r="G13" s="461"/>
      <c r="H13" s="462"/>
      <c r="J13" s="83" t="s">
        <v>12</v>
      </c>
      <c r="K13" s="471" t="s">
        <v>14</v>
      </c>
      <c r="L13" s="472"/>
    </row>
    <row r="14" spans="2:18" ht="20.149999999999999" customHeight="1" x14ac:dyDescent="0.45">
      <c r="B14" s="468" t="s">
        <v>2025</v>
      </c>
      <c r="C14" s="469"/>
      <c r="D14" s="470"/>
      <c r="E14" s="30"/>
      <c r="F14" s="460"/>
      <c r="G14" s="461"/>
      <c r="H14" s="462"/>
      <c r="J14" s="83" t="s">
        <v>30</v>
      </c>
      <c r="K14" s="471" t="s">
        <v>16</v>
      </c>
      <c r="L14" s="472"/>
    </row>
    <row r="15" spans="2:18" ht="18" customHeight="1" thickBot="1" x14ac:dyDescent="0.5">
      <c r="B15" s="463" t="s">
        <v>2026</v>
      </c>
      <c r="C15" s="464"/>
      <c r="D15" s="465"/>
      <c r="E15" s="26"/>
      <c r="F15" s="463"/>
      <c r="G15" s="464"/>
      <c r="H15" s="465"/>
      <c r="J15" s="84" t="s">
        <v>13</v>
      </c>
      <c r="K15" s="198" t="s">
        <v>1215</v>
      </c>
      <c r="L15" s="181"/>
      <c r="N15" s="24" t="s">
        <v>515</v>
      </c>
      <c r="O15" s="24" t="s">
        <v>623</v>
      </c>
      <c r="R15" s="24">
        <v>2</v>
      </c>
    </row>
    <row r="16" spans="2:18" ht="19" thickBot="1" x14ac:dyDescent="0.5">
      <c r="J16" s="85"/>
    </row>
    <row r="17" spans="2:16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16" ht="20.149999999999999" customHeight="1" x14ac:dyDescent="0.45">
      <c r="B18" s="34"/>
      <c r="C18" s="22" t="s">
        <v>1441</v>
      </c>
      <c r="D18" s="480" t="str">
        <f>VLOOKUP(C18,'Sales Master'!B$3:D$699,2,)</f>
        <v xml:space="preserve">Fresh Soursop 红毛榴莲 </v>
      </c>
      <c r="E18" s="480"/>
      <c r="F18" s="480"/>
      <c r="G18" s="90">
        <v>1</v>
      </c>
      <c r="H18" s="408" t="str">
        <f>VLOOKUP(C18,'Sales Master'!$B$3:$F$3247,5,0)</f>
        <v>5 KGS/TUB</v>
      </c>
      <c r="I18" s="587" t="str">
        <f>VLOOKUP(C18,'Sales Master'!$B$3:$E$3247,4,0)</f>
        <v>DO!</v>
      </c>
      <c r="J18" s="587"/>
      <c r="K18" s="98">
        <f>VLOOKUP(C18,'Sales Master'!B$3:BX$499,75,0)</f>
        <v>30</v>
      </c>
      <c r="L18" s="77">
        <f t="shared" ref="L18:L24" si="0">K18*G18</f>
        <v>30</v>
      </c>
      <c r="M18" s="78"/>
      <c r="N18" s="225">
        <f>VLOOKUP(C18,'Sales Master'!$B$3:$DA$3038,104,0)</f>
        <v>20.27</v>
      </c>
      <c r="O18" s="225">
        <f t="shared" ref="O18:O24" si="1">K18-N18</f>
        <v>9.73</v>
      </c>
      <c r="P18" s="225">
        <f t="shared" ref="P18:P24" si="2">O18*G18</f>
        <v>9.73</v>
      </c>
    </row>
    <row r="19" spans="2:16" ht="20.149999999999999" customHeight="1" x14ac:dyDescent="0.45">
      <c r="B19" s="34"/>
      <c r="C19" s="22" t="s">
        <v>1448</v>
      </c>
      <c r="D19" s="480" t="str">
        <f>VLOOKUP(C19,'Sales Master'!B$3:D$699,2,)</f>
        <v>Mango Puree芒果</v>
      </c>
      <c r="E19" s="480"/>
      <c r="F19" s="480"/>
      <c r="G19" s="90">
        <v>1</v>
      </c>
      <c r="H19" s="408" t="str">
        <f>VLOOKUP(C19,'Sales Master'!$B$3:$F$3247,5,0)</f>
        <v>BOX/盒</v>
      </c>
      <c r="I19" s="513" t="str">
        <f>VLOOKUP(C19,'Sales Master'!$B$3:$E$3247,4,0)</f>
        <v>DO!</v>
      </c>
      <c r="J19" s="513"/>
      <c r="K19" s="98">
        <f>VLOOKUP(C19,'Sales Master'!B$3:BX$499,75,0)</f>
        <v>7</v>
      </c>
      <c r="L19" s="77">
        <f t="shared" si="0"/>
        <v>7</v>
      </c>
      <c r="N19" s="225">
        <f>VLOOKUP(C19,'Sales Master'!$B$3:$DA$3038,104,0)</f>
        <v>2</v>
      </c>
      <c r="O19" s="225">
        <f t="shared" si="1"/>
        <v>5</v>
      </c>
      <c r="P19" s="225">
        <f t="shared" si="2"/>
        <v>5</v>
      </c>
    </row>
    <row r="20" spans="2:16" ht="20.149999999999999" customHeight="1" x14ac:dyDescent="0.45">
      <c r="B20" s="34"/>
      <c r="C20" s="22" t="s">
        <v>1462</v>
      </c>
      <c r="D20" s="480" t="str">
        <f>VLOOKUP(C20,'Sales Master'!B$3:D$699,2,)</f>
        <v>Pong Thai Hai (Wet) 碰大海</v>
      </c>
      <c r="E20" s="480"/>
      <c r="F20" s="480"/>
      <c r="G20" s="90">
        <v>1</v>
      </c>
      <c r="H20" s="408" t="str">
        <f>VLOOKUP(C20,'Sales Master'!$B$3:$F$3247,5,0)</f>
        <v>1KG</v>
      </c>
      <c r="I20" s="513" t="str">
        <f>VLOOKUP(C20,'Sales Master'!$B$3:$E$3247,4,0)</f>
        <v>DO!</v>
      </c>
      <c r="J20" s="513"/>
      <c r="K20" s="98">
        <f>VLOOKUP(C20,'Sales Master'!B$3:BX$499,75,0)</f>
        <v>7</v>
      </c>
      <c r="L20" s="77">
        <f t="shared" ref="L20" si="3">K20*G20</f>
        <v>7</v>
      </c>
      <c r="N20" s="225">
        <f>VLOOKUP(C20,'Sales Master'!$B$3:$DA$3038,104,0)</f>
        <v>0.85</v>
      </c>
      <c r="O20" s="225">
        <f t="shared" ref="O20" si="4">K20-N20</f>
        <v>6.15</v>
      </c>
      <c r="P20" s="225">
        <f t="shared" ref="P20" si="5">O20*G20</f>
        <v>6.15</v>
      </c>
    </row>
    <row r="21" spans="2:16" ht="20.149999999999999" customHeight="1" x14ac:dyDescent="0.45">
      <c r="B21" s="34"/>
      <c r="C21" s="22" t="s">
        <v>1577</v>
      </c>
      <c r="D21" s="480" t="str">
        <f>VLOOKUP(C21,'Sales Master'!B$3:D$699,2,)</f>
        <v>Small Red Bean小红豆</v>
      </c>
      <c r="E21" s="480"/>
      <c r="F21" s="480"/>
      <c r="G21" s="90">
        <v>2</v>
      </c>
      <c r="H21" s="408" t="str">
        <f>VLOOKUP(C21,'Sales Master'!$B$3:$F$3247,5,0)</f>
        <v>5 kgs</v>
      </c>
      <c r="I21" s="513" t="str">
        <f>VLOOKUP(C21,'Sales Master'!$B$3:$E$3247,4,0)</f>
        <v>-</v>
      </c>
      <c r="J21" s="513"/>
      <c r="K21" s="98">
        <f>VLOOKUP(C21,'Sales Master'!B$3:BX$499,75,0)</f>
        <v>20.5</v>
      </c>
      <c r="L21" s="77">
        <f t="shared" si="0"/>
        <v>41</v>
      </c>
      <c r="N21" s="225">
        <f>VLOOKUP(C21,'Sales Master'!$B$3:$DA$3038,104,0)</f>
        <v>16.5</v>
      </c>
      <c r="O21" s="225">
        <f t="shared" si="1"/>
        <v>4</v>
      </c>
      <c r="P21" s="225">
        <f t="shared" si="2"/>
        <v>8</v>
      </c>
    </row>
    <row r="22" spans="2:16" ht="20.149999999999999" customHeight="1" x14ac:dyDescent="0.45">
      <c r="B22" s="34"/>
      <c r="C22" s="22" t="s">
        <v>1585</v>
      </c>
      <c r="D22" s="480" t="str">
        <f>VLOOKUP(C22,'Sales Master'!B$3:D$699,2,)</f>
        <v>Green Bean 绿豆</v>
      </c>
      <c r="E22" s="480"/>
      <c r="F22" s="480"/>
      <c r="G22" s="90">
        <v>2</v>
      </c>
      <c r="H22" s="408" t="str">
        <f>VLOOKUP(C22,'Sales Master'!$B$3:$F$3247,5,0)</f>
        <v>5 kgs</v>
      </c>
      <c r="I22" s="513" t="str">
        <f>VLOOKUP(C22,'Sales Master'!$B$3:$E$3247,4,0)</f>
        <v>-</v>
      </c>
      <c r="J22" s="513"/>
      <c r="K22" s="98">
        <f>VLOOKUP(C22,'Sales Master'!B$3:BX$499,75,0)</f>
        <v>13</v>
      </c>
      <c r="L22" s="77">
        <f t="shared" si="0"/>
        <v>26</v>
      </c>
      <c r="N22" s="225">
        <f>VLOOKUP(C22,'Sales Master'!$B$3:$DA$3038,104,0)</f>
        <v>9.3999999999999986</v>
      </c>
      <c r="O22" s="225">
        <f t="shared" si="1"/>
        <v>3.6000000000000014</v>
      </c>
      <c r="P22" s="225">
        <f t="shared" si="2"/>
        <v>7.2000000000000028</v>
      </c>
    </row>
    <row r="23" spans="2:16" ht="20.149999999999999" customHeight="1" x14ac:dyDescent="0.45">
      <c r="B23" s="34"/>
      <c r="C23" s="22" t="s">
        <v>1599</v>
      </c>
      <c r="D23" s="480" t="str">
        <f>VLOOKUP(C23,'Sales Master'!B$3:D$699,2,)</f>
        <v>Black Glutinous Rice 黑糯米</v>
      </c>
      <c r="E23" s="480"/>
      <c r="F23" s="480"/>
      <c r="G23" s="90">
        <v>1</v>
      </c>
      <c r="H23" s="408" t="str">
        <f>VLOOKUP(C23,'Sales Master'!$B$3:$F$3247,5,0)</f>
        <v>5 kgs</v>
      </c>
      <c r="I23" s="513" t="str">
        <f>VLOOKUP(C23,'Sales Master'!$B$3:$E$3247,4,0)</f>
        <v>-</v>
      </c>
      <c r="J23" s="513"/>
      <c r="K23" s="98">
        <f>VLOOKUP(C23,'Sales Master'!B$3:BX$499,75,0)</f>
        <v>18</v>
      </c>
      <c r="L23" s="77">
        <f t="shared" ref="L23" si="6">K23*G23</f>
        <v>18</v>
      </c>
      <c r="N23" s="225">
        <f>VLOOKUP(C23,'Sales Master'!$B$3:$DA$3038,104,0)</f>
        <v>12</v>
      </c>
      <c r="O23" s="225">
        <f t="shared" ref="O23" si="7">K23-N23</f>
        <v>6</v>
      </c>
      <c r="P23" s="225">
        <f t="shared" ref="P23" si="8">O23*G23</f>
        <v>6</v>
      </c>
    </row>
    <row r="24" spans="2:16" ht="20.149999999999999" customHeight="1" x14ac:dyDescent="0.45">
      <c r="B24" s="34"/>
      <c r="C24" s="22" t="s">
        <v>1624</v>
      </c>
      <c r="D24" s="480" t="str">
        <f>VLOOKUP(C24,'Sales Master'!B$3:D$699,2,)</f>
        <v>Fungus黄 木耳朵</v>
      </c>
      <c r="E24" s="480"/>
      <c r="F24" s="480"/>
      <c r="G24" s="90">
        <v>1</v>
      </c>
      <c r="H24" s="408" t="str">
        <f>VLOOKUP(C24,'Sales Master'!$B$3:$F$3247,5,0)</f>
        <v>1 kg</v>
      </c>
      <c r="I24" s="513" t="str">
        <f>VLOOKUP(C24,'Sales Master'!$B$3:$E$3247,4,0)</f>
        <v>黄</v>
      </c>
      <c r="J24" s="513"/>
      <c r="K24" s="98">
        <f>VLOOKUP(C24,'Sales Master'!B$3:BX$499,75,0)</f>
        <v>16</v>
      </c>
      <c r="L24" s="77">
        <f t="shared" si="0"/>
        <v>16</v>
      </c>
      <c r="M24" s="78"/>
      <c r="N24" s="225">
        <f>VLOOKUP(C24,'Sales Master'!$B$3:$DA$3038,104,0)</f>
        <v>11</v>
      </c>
      <c r="O24" s="225">
        <f t="shared" si="1"/>
        <v>5</v>
      </c>
      <c r="P24" s="225">
        <f t="shared" si="2"/>
        <v>5</v>
      </c>
    </row>
    <row r="25" spans="2:16" ht="20.149999999999999" customHeight="1" x14ac:dyDescent="0.45">
      <c r="B25" s="34"/>
      <c r="C25" s="22" t="s">
        <v>1726</v>
      </c>
      <c r="D25" s="480" t="str">
        <f>VLOOKUP(C25,'Sales Master'!B$3:D$699,2,)</f>
        <v>GingKo Nut白果罐</v>
      </c>
      <c r="E25" s="480"/>
      <c r="F25" s="480"/>
      <c r="G25" s="90">
        <v>1</v>
      </c>
      <c r="H25" s="408" t="str">
        <f>VLOOKUP(C25,'Sales Master'!$B$3:$F$3247,5,0)</f>
        <v>(397gm x 24)/箱</v>
      </c>
      <c r="I25" s="513" t="str">
        <f>VLOOKUP(C25,'Sales Master'!$B$3:$E$3247,4,0)</f>
        <v>MiLi</v>
      </c>
      <c r="J25" s="513"/>
      <c r="K25" s="98">
        <f>VLOOKUP(C25,'Sales Master'!B$3:BX$499,75,0)</f>
        <v>32</v>
      </c>
      <c r="L25" s="77">
        <f t="shared" ref="L25:L28" si="9">K25*G25</f>
        <v>32</v>
      </c>
      <c r="M25" s="78"/>
      <c r="N25" s="225">
        <f>VLOOKUP(C25,'Sales Master'!$B$3:$DA$3038,104,0)</f>
        <v>21</v>
      </c>
      <c r="O25" s="225">
        <f t="shared" ref="O25:O28" si="10">K25-N25</f>
        <v>11</v>
      </c>
      <c r="P25" s="225">
        <f t="shared" ref="P25:P28" si="11">O25*G25</f>
        <v>11</v>
      </c>
    </row>
    <row r="26" spans="2:16" ht="20.149999999999999" customHeight="1" x14ac:dyDescent="0.45">
      <c r="B26" s="34"/>
      <c r="C26" s="22" t="s">
        <v>1736</v>
      </c>
      <c r="D26" s="480" t="str">
        <f>VLOOKUP(C26,'Sales Master'!B$3:D$699,2,)</f>
        <v>Coconut Milk 椰浆</v>
      </c>
      <c r="E26" s="480"/>
      <c r="F26" s="480"/>
      <c r="G26" s="90">
        <v>1</v>
      </c>
      <c r="H26" s="408" t="str">
        <f>VLOOKUP(C26,'Sales Master'!$B$3:$F$3247,5,0)</f>
        <v>(1L x 12bag)/箱</v>
      </c>
      <c r="I26" s="513" t="str">
        <f>VLOOKUP(C26,'Sales Master'!$B$3:$E$3247,4,0)</f>
        <v>Kara UHT</v>
      </c>
      <c r="J26" s="513"/>
      <c r="K26" s="98">
        <f>VLOOKUP(C26,'Sales Master'!B$3:BX$499,75,0)</f>
        <v>42</v>
      </c>
      <c r="L26" s="77">
        <f t="shared" si="9"/>
        <v>42</v>
      </c>
      <c r="M26" s="78"/>
      <c r="N26" s="225">
        <f>VLOOKUP(C26,'Sales Master'!$B$3:$DA$3038,104,0)</f>
        <v>35.5</v>
      </c>
      <c r="O26" s="225">
        <f t="shared" si="10"/>
        <v>6.5</v>
      </c>
      <c r="P26" s="225">
        <f t="shared" si="11"/>
        <v>6.5</v>
      </c>
    </row>
    <row r="27" spans="2:16" ht="20.149999999999999" customHeight="1" x14ac:dyDescent="0.45">
      <c r="B27" s="34"/>
      <c r="C27" s="22" t="s">
        <v>2035</v>
      </c>
      <c r="D27" s="480" t="str">
        <f>VLOOKUP(C27,'Sales Master'!B$3:D$699,2,)</f>
        <v>Fruit Cocktail杂果</v>
      </c>
      <c r="E27" s="480"/>
      <c r="F27" s="480"/>
      <c r="G27" s="90">
        <v>1</v>
      </c>
      <c r="H27" s="408" t="str">
        <f>VLOOKUP(C27,'Sales Master'!$B$3:$F$3247,5,0)</f>
        <v>(820gm x 12)/箱</v>
      </c>
      <c r="I27" s="513" t="str">
        <f>VLOOKUP(C27,'Sales Master'!$B$3:$E$3247,4,0)</f>
        <v>Mili</v>
      </c>
      <c r="J27" s="513"/>
      <c r="K27" s="98">
        <f>VLOOKUP(C27,'Sales Master'!B$3:BX$499,75,0)</f>
        <v>25</v>
      </c>
      <c r="L27" s="77">
        <f t="shared" si="9"/>
        <v>25</v>
      </c>
      <c r="M27" s="78"/>
      <c r="N27" s="225">
        <f>VLOOKUP(C27,'Sales Master'!$B$3:$DA$3038,104,0)</f>
        <v>20</v>
      </c>
      <c r="O27" s="225">
        <f t="shared" si="10"/>
        <v>5</v>
      </c>
      <c r="P27" s="225">
        <f t="shared" si="11"/>
        <v>5</v>
      </c>
    </row>
    <row r="28" spans="2:16" ht="20.149999999999999" customHeight="1" x14ac:dyDescent="0.45">
      <c r="B28" s="34"/>
      <c r="C28" s="22" t="s">
        <v>1788</v>
      </c>
      <c r="D28" s="480" t="str">
        <f>VLOOKUP(C28,'Sales Master'!B$3:D$699,2,)</f>
        <v>Tapioca木薯</v>
      </c>
      <c r="E28" s="480"/>
      <c r="F28" s="480"/>
      <c r="G28" s="90">
        <v>10</v>
      </c>
      <c r="H28" s="408" t="str">
        <f>VLOOKUP(C28,'Sales Master'!$B$3:$F$3247,5,0)</f>
        <v>1 kg</v>
      </c>
      <c r="I28" s="513" t="str">
        <f>VLOOKUP(C28,'Sales Master'!$B$3:$E$3247,4,0)</f>
        <v>Malaysia</v>
      </c>
      <c r="J28" s="513"/>
      <c r="K28" s="98">
        <f>VLOOKUP(C28,'Sales Master'!B$3:BX$499,75,0)</f>
        <v>1.8</v>
      </c>
      <c r="L28" s="77">
        <f t="shared" si="9"/>
        <v>18</v>
      </c>
      <c r="M28" s="78"/>
      <c r="N28" s="225">
        <f>VLOOKUP(C28,'Sales Master'!$B$3:$DA$3038,104,0)</f>
        <v>1</v>
      </c>
      <c r="O28" s="225">
        <f t="shared" si="10"/>
        <v>0.8</v>
      </c>
      <c r="P28" s="225">
        <f t="shared" si="11"/>
        <v>8</v>
      </c>
    </row>
    <row r="29" spans="2:16" ht="20.149999999999999" customHeight="1" x14ac:dyDescent="0.45">
      <c r="B29" s="34"/>
      <c r="C29" s="22" t="s">
        <v>1794</v>
      </c>
      <c r="D29" s="480" t="str">
        <f>VLOOKUP(C29,'Sales Master'!B$3:D$699,2,)</f>
        <v>Pandan Leaf 班兰叶</v>
      </c>
      <c r="E29" s="480"/>
      <c r="F29" s="480"/>
      <c r="G29" s="90">
        <v>5</v>
      </c>
      <c r="H29" s="408" t="str">
        <f>VLOOKUP(C29,'Sales Master'!$B$3:$F$3247,5,0)</f>
        <v>1 kg</v>
      </c>
      <c r="I29" s="513" t="str">
        <f>VLOOKUP(C29,'Sales Master'!$B$3:$E$3247,4,0)</f>
        <v>-</v>
      </c>
      <c r="J29" s="513"/>
      <c r="K29" s="98">
        <f>VLOOKUP(C29,'Sales Master'!B$3:BX$499,75,0)</f>
        <v>1.8</v>
      </c>
      <c r="L29" s="77">
        <f t="shared" ref="L29" si="12">K29*G29</f>
        <v>9</v>
      </c>
      <c r="M29" s="78"/>
      <c r="N29" s="225">
        <f>VLOOKUP(C29,'Sales Master'!$B$3:$DA$3038,104,0)</f>
        <v>1</v>
      </c>
      <c r="O29" s="225">
        <f t="shared" ref="O29" si="13">K29-N29</f>
        <v>0.8</v>
      </c>
      <c r="P29" s="225">
        <f t="shared" ref="P29" si="14">O29*G29</f>
        <v>4</v>
      </c>
    </row>
    <row r="30" spans="2:16" ht="20.149999999999999" customHeight="1" x14ac:dyDescent="0.45">
      <c r="B30" s="34"/>
      <c r="C30" s="22"/>
      <c r="D30" s="480"/>
      <c r="E30" s="480"/>
      <c r="F30" s="480"/>
      <c r="G30" s="90"/>
      <c r="H30" s="408"/>
      <c r="I30" s="513"/>
      <c r="J30" s="513"/>
      <c r="K30" s="98"/>
      <c r="L30" s="77"/>
      <c r="M30" s="78"/>
      <c r="N30" s="225"/>
      <c r="O30" s="225"/>
      <c r="P30" s="225"/>
    </row>
    <row r="31" spans="2:16" ht="20.149999999999999" customHeight="1" x14ac:dyDescent="0.45">
      <c r="B31" s="34"/>
      <c r="C31" s="230"/>
      <c r="G31" s="90"/>
      <c r="H31" s="408"/>
      <c r="I31" s="408"/>
      <c r="J31" s="408"/>
      <c r="K31" s="98"/>
      <c r="L31" s="77"/>
      <c r="M31" s="78"/>
      <c r="N31" s="225"/>
      <c r="O31" s="225"/>
      <c r="P31" s="225"/>
    </row>
    <row r="32" spans="2:16" ht="20.149999999999999" customHeight="1" x14ac:dyDescent="0.45">
      <c r="B32" s="34"/>
      <c r="C32" s="230"/>
      <c r="G32" s="90"/>
      <c r="H32" s="408"/>
      <c r="I32" s="408"/>
      <c r="J32" s="408"/>
      <c r="K32" s="98"/>
      <c r="L32" s="77"/>
      <c r="M32" s="78"/>
      <c r="N32" s="225"/>
      <c r="O32" s="225"/>
      <c r="P32" s="225"/>
    </row>
    <row r="33" spans="2:16" ht="20.149999999999999" customHeight="1" x14ac:dyDescent="0.45">
      <c r="B33" s="34"/>
      <c r="C33" s="389"/>
      <c r="G33" s="90"/>
      <c r="H33" s="97"/>
      <c r="I33" s="408"/>
      <c r="J33" s="408"/>
      <c r="K33" s="98"/>
      <c r="L33" s="77"/>
      <c r="N33" s="225"/>
      <c r="O33" s="225"/>
      <c r="P33" s="225"/>
    </row>
    <row r="34" spans="2:16" ht="20.149999999999999" customHeight="1" thickBot="1" x14ac:dyDescent="0.5">
      <c r="B34" s="37"/>
      <c r="C34" s="38"/>
      <c r="D34" s="348"/>
      <c r="E34" s="348"/>
      <c r="F34" s="348"/>
      <c r="G34" s="349"/>
      <c r="H34" s="350"/>
      <c r="I34" s="350"/>
      <c r="J34" s="350"/>
      <c r="K34" s="351"/>
      <c r="L34" s="89"/>
    </row>
    <row r="35" spans="2:16" ht="20" customHeight="1" thickBot="1" x14ac:dyDescent="0.5">
      <c r="B35" s="41"/>
      <c r="L35" s="42"/>
    </row>
    <row r="36" spans="2:16" ht="20.149999999999999" customHeight="1" x14ac:dyDescent="0.45">
      <c r="B36" s="11" t="s">
        <v>18</v>
      </c>
      <c r="C36" s="7"/>
      <c r="D36" s="7"/>
      <c r="E36" s="7"/>
      <c r="F36" s="7"/>
      <c r="G36" s="7"/>
      <c r="H36" s="7"/>
      <c r="I36" s="86"/>
      <c r="J36" s="510" t="s">
        <v>15</v>
      </c>
      <c r="K36" s="511"/>
      <c r="L36" s="43">
        <f>SUM(L17:L34)</f>
        <v>271</v>
      </c>
      <c r="M36" s="76">
        <f>SUM(P18:P34)-L36*0.02</f>
        <v>76.160000000000011</v>
      </c>
      <c r="N36" s="201">
        <f>M36/L36</f>
        <v>0.28103321033210338</v>
      </c>
    </row>
    <row r="37" spans="2:16" ht="20.149999999999999" customHeight="1" x14ac:dyDescent="0.45">
      <c r="B37" s="11" t="s">
        <v>19</v>
      </c>
      <c r="C37" s="7"/>
      <c r="D37" s="7"/>
      <c r="E37" s="7"/>
      <c r="F37" s="7"/>
      <c r="G37" s="7"/>
      <c r="H37" s="7"/>
      <c r="I37" s="86"/>
      <c r="J37" s="44" t="s">
        <v>22</v>
      </c>
      <c r="K37" s="45"/>
      <c r="L37" s="46">
        <f>L36*K37</f>
        <v>0</v>
      </c>
    </row>
    <row r="38" spans="2:16" ht="20.149999999999999" customHeight="1" x14ac:dyDescent="0.45">
      <c r="B38" s="11" t="s">
        <v>20</v>
      </c>
      <c r="C38" s="7"/>
      <c r="D38" s="7"/>
      <c r="E38" s="7"/>
      <c r="F38" s="7"/>
      <c r="G38" s="7"/>
      <c r="H38" s="7"/>
      <c r="I38" s="86"/>
      <c r="J38" s="486" t="s">
        <v>21</v>
      </c>
      <c r="K38" s="487"/>
      <c r="L38" s="46">
        <f>L36-L37</f>
        <v>271</v>
      </c>
    </row>
    <row r="39" spans="2:16" ht="20.149999999999999" customHeight="1" x14ac:dyDescent="0.45">
      <c r="B39" s="11" t="s">
        <v>24</v>
      </c>
      <c r="C39" s="7"/>
      <c r="D39" s="7"/>
      <c r="E39" s="7"/>
      <c r="F39" s="7"/>
      <c r="G39" s="7"/>
      <c r="H39" s="7"/>
      <c r="I39" s="86"/>
      <c r="J39" s="150" t="s">
        <v>17</v>
      </c>
      <c r="K39" s="151">
        <v>7.0000000000000007E-2</v>
      </c>
      <c r="L39" s="47">
        <f>L38*K39</f>
        <v>18.970000000000002</v>
      </c>
    </row>
    <row r="40" spans="2:16" ht="20.149999999999999" customHeight="1" thickBot="1" x14ac:dyDescent="0.5">
      <c r="B40" s="11" t="s">
        <v>1400</v>
      </c>
      <c r="C40" s="7"/>
      <c r="D40" s="7"/>
      <c r="E40" s="7"/>
      <c r="F40" s="7"/>
      <c r="G40" s="7"/>
      <c r="H40" s="7"/>
      <c r="I40" s="86"/>
      <c r="J40" s="488" t="s">
        <v>23</v>
      </c>
      <c r="K40" s="489"/>
      <c r="L40" s="48">
        <f>L38+L39</f>
        <v>289.97000000000003</v>
      </c>
    </row>
    <row r="41" spans="2:16" ht="20.149999999999999" customHeight="1" x14ac:dyDescent="0.45">
      <c r="B41" s="11" t="s">
        <v>26</v>
      </c>
      <c r="C41" s="7"/>
      <c r="D41" s="7"/>
      <c r="E41" s="7"/>
      <c r="F41" s="7"/>
      <c r="G41" s="7"/>
      <c r="H41" s="7"/>
      <c r="I41" s="86"/>
      <c r="L41" s="42"/>
    </row>
    <row r="42" spans="2:16" ht="20.149999999999999" customHeight="1" x14ac:dyDescent="0.45">
      <c r="B42" s="224" t="s">
        <v>1379</v>
      </c>
      <c r="L42" s="42"/>
    </row>
    <row r="43" spans="2:16" ht="20.149999999999999" customHeight="1" x14ac:dyDescent="0.45">
      <c r="B43" s="41"/>
      <c r="L43" s="42"/>
    </row>
    <row r="44" spans="2:16" ht="20.149999999999999" customHeight="1" x14ac:dyDescent="0.45">
      <c r="B44" s="41"/>
      <c r="L44" s="42"/>
    </row>
    <row r="45" spans="2:16" ht="20.149999999999999" customHeight="1" x14ac:dyDescent="0.45">
      <c r="B45" s="41"/>
      <c r="L45" s="42"/>
    </row>
    <row r="46" spans="2:16" ht="20.149999999999999" customHeight="1" x14ac:dyDescent="0.45">
      <c r="B46" s="49"/>
      <c r="C46" s="50"/>
      <c r="D46" s="50"/>
      <c r="J46" s="87"/>
      <c r="K46" s="50"/>
      <c r="L46" s="51"/>
    </row>
    <row r="47" spans="2:16" ht="20.149999999999999" customHeight="1" x14ac:dyDescent="0.45">
      <c r="B47" s="41" t="s">
        <v>27</v>
      </c>
      <c r="J47" s="81" t="s">
        <v>28</v>
      </c>
      <c r="L47" s="42"/>
    </row>
    <row r="48" spans="2:16" ht="19" thickBot="1" x14ac:dyDescent="0.5">
      <c r="B48" s="52"/>
      <c r="C48" s="53"/>
      <c r="D48" s="53"/>
      <c r="E48" s="53"/>
      <c r="F48" s="53"/>
      <c r="G48" s="53"/>
      <c r="H48" s="53"/>
      <c r="I48" s="88"/>
      <c r="J48" s="88"/>
      <c r="K48" s="53"/>
      <c r="L48" s="54"/>
    </row>
    <row r="49" spans="6:6" ht="20.5" x14ac:dyDescent="0.45">
      <c r="F49" s="427"/>
    </row>
  </sheetData>
  <mergeCells count="43">
    <mergeCell ref="D26:F26"/>
    <mergeCell ref="J40:K40"/>
    <mergeCell ref="J36:K36"/>
    <mergeCell ref="J38:K38"/>
    <mergeCell ref="I26:J26"/>
    <mergeCell ref="D27:F27"/>
    <mergeCell ref="D29:F29"/>
    <mergeCell ref="D30:F30"/>
    <mergeCell ref="I27:J27"/>
    <mergeCell ref="I29:J29"/>
    <mergeCell ref="I30:J30"/>
    <mergeCell ref="D28:F28"/>
    <mergeCell ref="I28:J28"/>
    <mergeCell ref="D18:F18"/>
    <mergeCell ref="D24:F24"/>
    <mergeCell ref="D19:F19"/>
    <mergeCell ref="D21:F21"/>
    <mergeCell ref="I24:J24"/>
    <mergeCell ref="I18:J18"/>
    <mergeCell ref="I25:J25"/>
    <mergeCell ref="D25:F25"/>
    <mergeCell ref="D22:F22"/>
    <mergeCell ref="I22:J22"/>
    <mergeCell ref="I19:J19"/>
    <mergeCell ref="I21:J21"/>
    <mergeCell ref="D20:F20"/>
    <mergeCell ref="I20:J20"/>
    <mergeCell ref="D23:F23"/>
    <mergeCell ref="I23:J23"/>
    <mergeCell ref="B1:L8"/>
    <mergeCell ref="D17:F17"/>
    <mergeCell ref="I17:J17"/>
    <mergeCell ref="K10:L10"/>
    <mergeCell ref="B11:D11"/>
    <mergeCell ref="F11:H15"/>
    <mergeCell ref="K14:L14"/>
    <mergeCell ref="K11:L11"/>
    <mergeCell ref="B12:D12"/>
    <mergeCell ref="K12:L12"/>
    <mergeCell ref="B13:D13"/>
    <mergeCell ref="K13:L13"/>
    <mergeCell ref="B14:D14"/>
    <mergeCell ref="B15:D15"/>
  </mergeCells>
  <pageMargins left="0.70866141732283472" right="0.31496062992125984" top="0.59055118110236227" bottom="0" header="0.31496062992125984" footer="0.31496062992125984"/>
  <pageSetup paperSize="9" scale="75" orientation="portrait" horizontalDpi="300" verticalDpi="300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5E23BA-C5FB-457A-8F39-B0644B71A68F}">
  <sheetPr codeName="Sheet72">
    <tabColor rgb="FF92D050"/>
    <pageSetUpPr fitToPage="1"/>
  </sheetPr>
  <dimension ref="B1:T37"/>
  <sheetViews>
    <sheetView workbookViewId="0">
      <selection activeCell="N5" sqref="N5"/>
    </sheetView>
  </sheetViews>
  <sheetFormatPr defaultColWidth="12.54296875" defaultRowHeight="18.5" x14ac:dyDescent="0.45"/>
  <cols>
    <col min="1" max="1" width="12.54296875" style="24"/>
    <col min="2" max="3" width="12.54296875" style="24" customWidth="1"/>
    <col min="4" max="4" width="14.54296875" style="24" customWidth="1"/>
    <col min="5" max="5" width="1.54296875" style="24" customWidth="1"/>
    <col min="6" max="6" width="14.54296875" style="24" customWidth="1"/>
    <col min="7" max="7" width="8.54296875" style="24" customWidth="1"/>
    <col min="8" max="8" width="15.54296875" style="24" customWidth="1"/>
    <col min="9" max="9" width="2.1796875" style="81" customWidth="1"/>
    <col min="10" max="10" width="15.54296875" style="81" customWidth="1"/>
    <col min="11" max="11" width="10.54296875" style="24" customWidth="1"/>
    <col min="12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205</v>
      </c>
      <c r="J10" s="82" t="s">
        <v>29</v>
      </c>
      <c r="K10" s="452">
        <v>202204033</v>
      </c>
      <c r="L10" s="453"/>
    </row>
    <row r="11" spans="2:12" ht="20.149999999999999" customHeight="1" x14ac:dyDescent="0.45">
      <c r="B11" s="454" t="s">
        <v>2037</v>
      </c>
      <c r="C11" s="455"/>
      <c r="D11" s="456"/>
      <c r="E11" s="30"/>
      <c r="F11" s="457" t="str">
        <f>VLOOKUP(H10,'Delivery Location'!A$4:N$416,2,0)</f>
        <v>Jem Cook House                                           50, Jurong Gateway Road #05-01 JEMS Singapore 608549                                         (Fruit)</v>
      </c>
      <c r="G11" s="458"/>
      <c r="H11" s="459"/>
      <c r="J11" s="83" t="s">
        <v>11</v>
      </c>
      <c r="K11" s="551">
        <v>44596</v>
      </c>
      <c r="L11" s="472"/>
    </row>
    <row r="12" spans="2:12" ht="20.149999999999999" customHeight="1" x14ac:dyDescent="0.45">
      <c r="B12" s="468" t="s">
        <v>2139</v>
      </c>
      <c r="C12" s="469"/>
      <c r="D12" s="470"/>
      <c r="E12" s="30"/>
      <c r="F12" s="460"/>
      <c r="G12" s="461"/>
      <c r="H12" s="462"/>
      <c r="J12" s="83" t="s">
        <v>171</v>
      </c>
      <c r="K12" s="471" t="s">
        <v>36</v>
      </c>
      <c r="L12" s="472"/>
    </row>
    <row r="13" spans="2:12" ht="20.149999999999999" customHeight="1" x14ac:dyDescent="0.45">
      <c r="B13" s="468" t="s">
        <v>2024</v>
      </c>
      <c r="C13" s="469"/>
      <c r="D13" s="470"/>
      <c r="E13" s="30"/>
      <c r="F13" s="460"/>
      <c r="G13" s="461"/>
      <c r="H13" s="462"/>
      <c r="J13" s="83" t="s">
        <v>12</v>
      </c>
      <c r="K13" s="471" t="s">
        <v>14</v>
      </c>
      <c r="L13" s="472"/>
    </row>
    <row r="14" spans="2:12" ht="20.149999999999999" customHeight="1" x14ac:dyDescent="0.45">
      <c r="B14" s="468" t="s">
        <v>2025</v>
      </c>
      <c r="C14" s="469"/>
      <c r="D14" s="470"/>
      <c r="E14" s="30"/>
      <c r="F14" s="460"/>
      <c r="G14" s="461"/>
      <c r="H14" s="462"/>
      <c r="J14" s="83" t="s">
        <v>30</v>
      </c>
      <c r="K14" s="471" t="s">
        <v>16</v>
      </c>
      <c r="L14" s="472"/>
    </row>
    <row r="15" spans="2:12" ht="18" customHeight="1" thickBot="1" x14ac:dyDescent="0.5">
      <c r="B15" s="463" t="s">
        <v>2026</v>
      </c>
      <c r="C15" s="464"/>
      <c r="D15" s="465"/>
      <c r="E15" s="26"/>
      <c r="F15" s="463"/>
      <c r="G15" s="464"/>
      <c r="H15" s="465"/>
      <c r="J15" s="84" t="s">
        <v>13</v>
      </c>
      <c r="K15" s="476"/>
      <c r="L15" s="477"/>
    </row>
    <row r="16" spans="2:12" ht="19" thickBot="1" x14ac:dyDescent="0.5">
      <c r="J16" s="85"/>
    </row>
    <row r="17" spans="2:20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20" ht="20.149999999999999" customHeight="1" x14ac:dyDescent="0.45">
      <c r="B18" s="34"/>
      <c r="C18" s="22" t="s">
        <v>1445</v>
      </c>
      <c r="D18" s="508" t="str">
        <f>VLOOKUP(C18,'Sales Master'!B$3:D$499,2,)</f>
        <v>Fresh Soursop 红毛榴莲(无)</v>
      </c>
      <c r="E18" s="508"/>
      <c r="F18" s="508"/>
      <c r="G18" s="90">
        <v>1</v>
      </c>
      <c r="H18" s="68" t="str">
        <f>VLOOKUP(C18,'Sales Master'!$B$3:$F$3179,5,0)</f>
        <v>5 KGS/TUB</v>
      </c>
      <c r="I18" s="481" t="str">
        <f>VLOOKUP(C18,'Sales Master'!$B$3:$E$3179,4,0)</f>
        <v>DO!</v>
      </c>
      <c r="J18" s="481"/>
      <c r="K18" s="35">
        <f>VLOOKUP(C18,'Sales Master'!B$3:J$499,9,0)</f>
        <v>35</v>
      </c>
      <c r="L18" s="77">
        <f>K18*G18</f>
        <v>35</v>
      </c>
      <c r="M18" s="78"/>
      <c r="N18" s="225">
        <f>VLOOKUP(C18,'Sales Master'!$B$3:$DA$3038,104,0)</f>
        <v>24.040624999999999</v>
      </c>
      <c r="O18" s="225">
        <f>K18-N18</f>
        <v>10.959375000000001</v>
      </c>
      <c r="P18" s="225">
        <f>O18*G18</f>
        <v>10.959375000000001</v>
      </c>
      <c r="R18" s="24">
        <v>1</v>
      </c>
      <c r="S18" s="24" t="s">
        <v>61</v>
      </c>
      <c r="T18" s="24" t="s">
        <v>657</v>
      </c>
    </row>
    <row r="19" spans="2:20" ht="20.149999999999999" customHeight="1" x14ac:dyDescent="0.45">
      <c r="B19" s="34"/>
      <c r="C19" s="22"/>
      <c r="D19" s="508"/>
      <c r="E19" s="508"/>
      <c r="F19" s="508"/>
      <c r="G19" s="90"/>
      <c r="H19" s="68"/>
      <c r="I19" s="481"/>
      <c r="J19" s="481"/>
      <c r="K19" s="35"/>
      <c r="L19" s="77"/>
      <c r="M19" s="78"/>
      <c r="N19" s="225"/>
      <c r="O19" s="225"/>
      <c r="P19" s="225"/>
      <c r="R19" s="24">
        <v>4</v>
      </c>
      <c r="S19" s="24" t="s">
        <v>61</v>
      </c>
      <c r="T19" s="24" t="s">
        <v>34</v>
      </c>
    </row>
    <row r="20" spans="2:20" ht="20.149999999999999" customHeight="1" x14ac:dyDescent="0.45">
      <c r="B20" s="34"/>
      <c r="C20" s="22"/>
      <c r="D20" s="508"/>
      <c r="E20" s="508"/>
      <c r="F20" s="508"/>
      <c r="G20" s="90"/>
      <c r="H20" s="68"/>
      <c r="I20" s="481"/>
      <c r="J20" s="481"/>
      <c r="K20" s="35"/>
      <c r="L20" s="77"/>
      <c r="M20" s="78"/>
      <c r="R20" s="24">
        <v>5</v>
      </c>
      <c r="S20" s="24" t="s">
        <v>61</v>
      </c>
      <c r="T20" s="24" t="s">
        <v>658</v>
      </c>
    </row>
    <row r="21" spans="2:20" ht="20.149999999999999" customHeight="1" x14ac:dyDescent="0.45">
      <c r="B21" s="34"/>
      <c r="C21" s="22"/>
      <c r="D21" s="508"/>
      <c r="E21" s="508"/>
      <c r="F21" s="508"/>
      <c r="G21" s="90"/>
      <c r="H21" s="68"/>
      <c r="I21" s="481"/>
      <c r="J21" s="481"/>
      <c r="K21" s="35"/>
      <c r="L21" s="77"/>
      <c r="M21" s="78"/>
      <c r="R21" s="24">
        <v>3</v>
      </c>
      <c r="S21" s="24" t="s">
        <v>260</v>
      </c>
      <c r="T21" s="24" t="s">
        <v>460</v>
      </c>
    </row>
    <row r="22" spans="2:20" ht="20.149999999999999" customHeight="1" x14ac:dyDescent="0.45">
      <c r="B22" s="34"/>
      <c r="C22" s="22"/>
      <c r="D22" s="508"/>
      <c r="E22" s="508"/>
      <c r="F22" s="508"/>
      <c r="G22" s="91"/>
      <c r="H22" s="68"/>
      <c r="I22" s="481"/>
      <c r="J22" s="481"/>
      <c r="K22" s="35"/>
      <c r="L22" s="77"/>
    </row>
    <row r="23" spans="2:20" ht="20.149999999999999" customHeight="1" thickBot="1" x14ac:dyDescent="0.5">
      <c r="B23" s="37"/>
      <c r="C23" s="38"/>
      <c r="D23" s="509"/>
      <c r="E23" s="509"/>
      <c r="F23" s="509"/>
      <c r="G23" s="38"/>
      <c r="H23" s="69"/>
      <c r="I23" s="588"/>
      <c r="J23" s="588"/>
      <c r="K23" s="39"/>
      <c r="L23" s="40"/>
    </row>
    <row r="24" spans="2:20" ht="20.149999999999999" customHeight="1" thickBot="1" x14ac:dyDescent="0.5">
      <c r="B24" s="41"/>
      <c r="L24" s="42"/>
    </row>
    <row r="25" spans="2:20" ht="20.149999999999999" customHeight="1" x14ac:dyDescent="0.45">
      <c r="B25" s="11" t="s">
        <v>18</v>
      </c>
      <c r="C25" s="7"/>
      <c r="D25" s="7"/>
      <c r="E25" s="7"/>
      <c r="F25" s="7"/>
      <c r="G25" s="7"/>
      <c r="H25" s="7"/>
      <c r="I25" s="86"/>
      <c r="J25" s="510" t="s">
        <v>15</v>
      </c>
      <c r="K25" s="511"/>
      <c r="L25" s="43">
        <f>SUM(L18:L22)</f>
        <v>35</v>
      </c>
      <c r="M25" s="76">
        <f>SUM(P18:P21)</f>
        <v>10.959375000000001</v>
      </c>
      <c r="N25" s="201">
        <f>M25/L25</f>
        <v>0.31312500000000004</v>
      </c>
    </row>
    <row r="26" spans="2:20" ht="20.149999999999999" customHeight="1" x14ac:dyDescent="0.45">
      <c r="B26" s="11" t="s">
        <v>19</v>
      </c>
      <c r="C26" s="7"/>
      <c r="D26" s="7"/>
      <c r="E26" s="7"/>
      <c r="F26" s="7"/>
      <c r="G26" s="7"/>
      <c r="H26" s="7"/>
      <c r="I26" s="86"/>
      <c r="J26" s="44" t="s">
        <v>22</v>
      </c>
      <c r="K26" s="45"/>
      <c r="L26" s="46">
        <f>L25*K26</f>
        <v>0</v>
      </c>
    </row>
    <row r="27" spans="2:20" ht="20.149999999999999" customHeight="1" x14ac:dyDescent="0.45">
      <c r="B27" s="11" t="s">
        <v>20</v>
      </c>
      <c r="C27" s="7"/>
      <c r="D27" s="7"/>
      <c r="E27" s="7"/>
      <c r="F27" s="7"/>
      <c r="G27" s="7"/>
      <c r="H27" s="7"/>
      <c r="I27" s="86"/>
      <c r="J27" s="486" t="s">
        <v>21</v>
      </c>
      <c r="K27" s="487"/>
      <c r="L27" s="46">
        <f>L25-L26</f>
        <v>35</v>
      </c>
    </row>
    <row r="28" spans="2:20" ht="20.149999999999999" customHeight="1" x14ac:dyDescent="0.45">
      <c r="B28" s="11" t="s">
        <v>24</v>
      </c>
      <c r="C28" s="7"/>
      <c r="D28" s="7"/>
      <c r="E28" s="7"/>
      <c r="F28" s="7"/>
      <c r="G28" s="7"/>
      <c r="H28" s="7"/>
      <c r="I28" s="86"/>
      <c r="J28" s="150" t="s">
        <v>17</v>
      </c>
      <c r="K28" s="151">
        <v>7.0000000000000007E-2</v>
      </c>
      <c r="L28" s="47">
        <f>L27*K28</f>
        <v>2.4500000000000002</v>
      </c>
    </row>
    <row r="29" spans="2:20" ht="20.149999999999999" customHeight="1" thickBot="1" x14ac:dyDescent="0.5">
      <c r="B29" s="11" t="s">
        <v>1400</v>
      </c>
      <c r="C29" s="7"/>
      <c r="D29" s="7"/>
      <c r="E29" s="7"/>
      <c r="F29" s="7"/>
      <c r="G29" s="7"/>
      <c r="H29" s="7"/>
      <c r="I29" s="86"/>
      <c r="J29" s="488" t="s">
        <v>23</v>
      </c>
      <c r="K29" s="489"/>
      <c r="L29" s="48">
        <f>L27+L28</f>
        <v>37.450000000000003</v>
      </c>
    </row>
    <row r="30" spans="2:20" ht="20.149999999999999" customHeight="1" x14ac:dyDescent="0.45">
      <c r="B30" s="11" t="s">
        <v>26</v>
      </c>
      <c r="C30" s="7"/>
      <c r="D30" s="7"/>
      <c r="E30" s="7"/>
      <c r="F30" s="7"/>
      <c r="G30" s="7"/>
      <c r="H30" s="7"/>
      <c r="I30" s="86"/>
      <c r="L30" s="42"/>
    </row>
    <row r="31" spans="2:20" ht="20.149999999999999" customHeight="1" x14ac:dyDescent="0.45">
      <c r="B31" s="224" t="s">
        <v>1379</v>
      </c>
      <c r="L31" s="42"/>
    </row>
    <row r="32" spans="2:20" ht="20.149999999999999" customHeight="1" x14ac:dyDescent="0.45">
      <c r="B32" s="41"/>
      <c r="L32" s="42"/>
    </row>
    <row r="33" spans="2:12" ht="20.149999999999999" customHeight="1" x14ac:dyDescent="0.45">
      <c r="B33" s="41"/>
      <c r="L33" s="42"/>
    </row>
    <row r="34" spans="2:12" ht="20.149999999999999" customHeight="1" x14ac:dyDescent="0.45">
      <c r="B34" s="41"/>
      <c r="L34" s="42"/>
    </row>
    <row r="35" spans="2:12" ht="20.149999999999999" customHeight="1" x14ac:dyDescent="0.45">
      <c r="B35" s="49"/>
      <c r="C35" s="50"/>
      <c r="D35" s="50"/>
      <c r="J35" s="87"/>
      <c r="K35" s="50"/>
      <c r="L35" s="51"/>
    </row>
    <row r="36" spans="2:12" ht="20.149999999999999" customHeight="1" x14ac:dyDescent="0.45">
      <c r="B36" s="41" t="s">
        <v>27</v>
      </c>
      <c r="J36" s="81" t="s">
        <v>28</v>
      </c>
      <c r="L36" s="42"/>
    </row>
    <row r="37" spans="2:12" ht="19" thickBot="1" x14ac:dyDescent="0.5">
      <c r="B37" s="52"/>
      <c r="C37" s="53"/>
      <c r="D37" s="53"/>
      <c r="E37" s="53"/>
      <c r="F37" s="53"/>
      <c r="G37" s="53"/>
      <c r="H37" s="53"/>
      <c r="I37" s="88"/>
      <c r="J37" s="88"/>
      <c r="K37" s="53"/>
      <c r="L37" s="54"/>
    </row>
  </sheetData>
  <mergeCells count="30">
    <mergeCell ref="B15:D15"/>
    <mergeCell ref="J27:K27"/>
    <mergeCell ref="J29:K29"/>
    <mergeCell ref="D23:F23"/>
    <mergeCell ref="I23:J23"/>
    <mergeCell ref="J25:K25"/>
    <mergeCell ref="D22:F22"/>
    <mergeCell ref="I22:J22"/>
    <mergeCell ref="D20:F20"/>
    <mergeCell ref="I20:J20"/>
    <mergeCell ref="D21:F21"/>
    <mergeCell ref="I21:J21"/>
    <mergeCell ref="D19:F19"/>
    <mergeCell ref="I19:J19"/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18:J18"/>
  </mergeCells>
  <pageMargins left="0.70866141732283505" right="0.31496062992126" top="0.59055118110236204" bottom="0" header="0.31496062992126" footer="0.31496062992126"/>
  <pageSetup paperSize="9" scale="78" orientation="portrait" horizontalDpi="300" verticalDpi="300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FAE616-FE40-4466-8DD9-00AB30292B97}">
  <sheetPr codeName="Sheet73">
    <tabColor rgb="FF92D050"/>
    <pageSetUpPr fitToPage="1"/>
  </sheetPr>
  <dimension ref="B1:R44"/>
  <sheetViews>
    <sheetView topLeftCell="B20" zoomScale="90" zoomScaleNormal="90" workbookViewId="0">
      <selection activeCell="J32" sqref="J32:K32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7.7265625" style="24" customWidth="1"/>
    <col min="7" max="7" width="8.54296875" style="24" customWidth="1"/>
    <col min="8" max="8" width="18.26953125" style="24" customWidth="1"/>
    <col min="9" max="9" width="2.1796875" style="24" customWidth="1"/>
    <col min="10" max="10" width="15.54296875" style="24" customWidth="1"/>
    <col min="11" max="11" width="10.54296875" style="24" customWidth="1"/>
    <col min="12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208</v>
      </c>
      <c r="J10" s="29" t="s">
        <v>29</v>
      </c>
      <c r="K10" s="452">
        <v>202210025</v>
      </c>
      <c r="L10" s="453"/>
    </row>
    <row r="11" spans="2:12" ht="20.149999999999999" customHeight="1" x14ac:dyDescent="0.45">
      <c r="B11" s="454" t="s">
        <v>2037</v>
      </c>
      <c r="C11" s="455"/>
      <c r="D11" s="456"/>
      <c r="E11" s="30"/>
      <c r="F11" s="457" t="str">
        <f>VLOOKUP(H10,'Delivery Location'!A$4:N$416,2,0)</f>
        <v>Happy Hawker                                                   Block 132 Jurong East  #01-271      Singapore 600132                                               (Dessert)</v>
      </c>
      <c r="G11" s="458"/>
      <c r="H11" s="459"/>
      <c r="J11" s="31" t="s">
        <v>11</v>
      </c>
      <c r="K11" s="466">
        <v>44835</v>
      </c>
      <c r="L11" s="467"/>
    </row>
    <row r="12" spans="2:12" ht="20.149999999999999" customHeight="1" x14ac:dyDescent="0.45">
      <c r="B12" s="468" t="s">
        <v>2139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533</v>
      </c>
      <c r="L12" s="472"/>
    </row>
    <row r="13" spans="2:12" ht="20.149999999999999" customHeight="1" x14ac:dyDescent="0.45">
      <c r="B13" s="468" t="s">
        <v>2024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14</v>
      </c>
      <c r="L13" s="472"/>
    </row>
    <row r="14" spans="2:12" ht="20.149999999999999" customHeight="1" x14ac:dyDescent="0.45">
      <c r="B14" s="468" t="s">
        <v>2025</v>
      </c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463" t="s">
        <v>2026</v>
      </c>
      <c r="C15" s="464"/>
      <c r="D15" s="465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18" ht="30" customHeight="1" thickBot="1" x14ac:dyDescent="0.5">
      <c r="B17" s="164" t="s">
        <v>2</v>
      </c>
      <c r="C17" s="165" t="s">
        <v>3</v>
      </c>
      <c r="D17" s="586" t="s">
        <v>4</v>
      </c>
      <c r="E17" s="586"/>
      <c r="F17" s="586"/>
      <c r="G17" s="173" t="s">
        <v>620</v>
      </c>
      <c r="H17" s="165" t="s">
        <v>31</v>
      </c>
      <c r="I17" s="586" t="s">
        <v>60</v>
      </c>
      <c r="J17" s="586"/>
      <c r="K17" s="165" t="s">
        <v>6</v>
      </c>
      <c r="L17" s="166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18" ht="20.149999999999999" customHeight="1" x14ac:dyDescent="0.45">
      <c r="B18" s="34"/>
      <c r="C18" s="90" t="s">
        <v>1457</v>
      </c>
      <c r="D18" s="508" t="str">
        <f>VLOOKUP(C18,'Sales Master'!B$3:D$499,2,)</f>
        <v>Bobo ChaCha Cubes 摩摩喳喳</v>
      </c>
      <c r="E18" s="508"/>
      <c r="F18" s="508"/>
      <c r="G18" s="90">
        <v>2</v>
      </c>
      <c r="H18" s="102" t="str">
        <f>VLOOKUP(C18,'Sales Master'!$B$3:$F$3179,5,0)</f>
        <v>800 GM/BAG</v>
      </c>
      <c r="I18" s="482" t="str">
        <f>VLOOKUP(C18,'Sales Master'!$B$3:$E$3179,4,0)</f>
        <v>DO!</v>
      </c>
      <c r="J18" s="482"/>
      <c r="K18" s="387">
        <f>VLOOKUP(C18,'Sales Master'!$B$3:$AQ$3161,42,0)</f>
        <v>6</v>
      </c>
      <c r="L18" s="99">
        <f t="shared" ref="L18:L20" si="0">K18*G18</f>
        <v>12</v>
      </c>
      <c r="N18" s="225">
        <f>VLOOKUP(C18,'Sales Master'!$B$3:$DA$3038,104,0)</f>
        <v>0.71</v>
      </c>
      <c r="O18" s="225">
        <f t="shared" ref="O18:O20" si="1">K18-N18</f>
        <v>5.29</v>
      </c>
      <c r="P18" s="225">
        <f t="shared" ref="P18:P20" si="2">O18*G18</f>
        <v>10.58</v>
      </c>
    </row>
    <row r="19" spans="2:18" ht="20.149999999999999" customHeight="1" x14ac:dyDescent="0.45">
      <c r="B19" s="34"/>
      <c r="C19" s="90" t="s">
        <v>1462</v>
      </c>
      <c r="D19" s="508" t="str">
        <f>VLOOKUP(C19,'Sales Master'!B$3:D$499,2,)</f>
        <v>Pong Thai Hai (Wet) 碰大海</v>
      </c>
      <c r="E19" s="508"/>
      <c r="F19" s="508"/>
      <c r="G19" s="90">
        <v>2</v>
      </c>
      <c r="H19" s="102" t="str">
        <f>VLOOKUP(C19,'Sales Master'!$B$3:$F$3179,5,0)</f>
        <v>1KG</v>
      </c>
      <c r="I19" s="482" t="str">
        <f>VLOOKUP(C19,'Sales Master'!$B$3:$E$3179,4,0)</f>
        <v>DO!</v>
      </c>
      <c r="J19" s="482"/>
      <c r="K19" s="387">
        <f>VLOOKUP(C19,'Sales Master'!$B$3:$AQ$3161,42,0)</f>
        <v>7</v>
      </c>
      <c r="L19" s="99">
        <f t="shared" si="0"/>
        <v>14</v>
      </c>
      <c r="N19" s="225">
        <f>VLOOKUP(C19,'Sales Master'!$B$3:$DA$3038,104,0)</f>
        <v>0.85</v>
      </c>
      <c r="O19" s="225">
        <f t="shared" si="1"/>
        <v>6.15</v>
      </c>
      <c r="P19" s="225">
        <f t="shared" si="2"/>
        <v>12.3</v>
      </c>
    </row>
    <row r="20" spans="2:18" ht="20.149999999999999" customHeight="1" x14ac:dyDescent="0.45">
      <c r="B20" s="34"/>
      <c r="C20" s="22" t="s">
        <v>1569</v>
      </c>
      <c r="D20" s="508" t="str">
        <f>VLOOKUP(C20,'Sales Master'!B$3:D$499,2,)</f>
        <v>GingKo Nut (Peel off)白果仁</v>
      </c>
      <c r="E20" s="508"/>
      <c r="F20" s="508"/>
      <c r="G20" s="90">
        <v>3</v>
      </c>
      <c r="H20" s="102" t="str">
        <f>VLOOKUP(C20,'Sales Master'!$B$3:$F$3179,5,0)</f>
        <v>1 kg (2 X 500GM)</v>
      </c>
      <c r="I20" s="482" t="str">
        <f>VLOOKUP(C20,'Sales Master'!$B$3:$E$3179,4,0)</f>
        <v>-</v>
      </c>
      <c r="J20" s="482"/>
      <c r="K20" s="387">
        <f>VLOOKUP(C20,'Sales Master'!$B$3:$AQ$3161,42,0)</f>
        <v>5</v>
      </c>
      <c r="L20" s="99">
        <f t="shared" si="0"/>
        <v>15</v>
      </c>
      <c r="N20" s="225">
        <f>VLOOKUP(C20,'Sales Master'!$B$3:$DA$3038,104,0)</f>
        <v>3.1666666666666665</v>
      </c>
      <c r="O20" s="225">
        <f t="shared" si="1"/>
        <v>1.8333333333333335</v>
      </c>
      <c r="P20" s="225">
        <f t="shared" si="2"/>
        <v>5.5</v>
      </c>
    </row>
    <row r="21" spans="2:18" ht="20.149999999999999" customHeight="1" x14ac:dyDescent="0.45">
      <c r="B21" s="80"/>
      <c r="C21" s="22" t="s">
        <v>1736</v>
      </c>
      <c r="D21" s="508" t="str">
        <f>VLOOKUP(C21,'Sales Master'!B$3:D$499,2,)</f>
        <v>Coconut Milk 椰浆</v>
      </c>
      <c r="E21" s="508"/>
      <c r="F21" s="508"/>
      <c r="G21" s="90">
        <v>2</v>
      </c>
      <c r="H21" s="102" t="str">
        <f>VLOOKUP(C21,'Sales Master'!$B$3:$F$3179,5,0)</f>
        <v>(1L x 12bag)/箱</v>
      </c>
      <c r="I21" s="482" t="str">
        <f>VLOOKUP(C21,'Sales Master'!$B$3:$E$3179,4,0)</f>
        <v>Kara UHT</v>
      </c>
      <c r="J21" s="482"/>
      <c r="K21" s="387">
        <f>VLOOKUP(C21,'Sales Master'!$B$3:$AQ$3161,42,0)</f>
        <v>42</v>
      </c>
      <c r="L21" s="99">
        <f t="shared" ref="L21" si="3">K21*G21</f>
        <v>84</v>
      </c>
      <c r="N21" s="225">
        <f>VLOOKUP(C21,'Sales Master'!$B$3:$DA$3038,104,0)</f>
        <v>35.5</v>
      </c>
      <c r="O21" s="225">
        <f t="shared" ref="O21" si="4">K21-N21</f>
        <v>6.5</v>
      </c>
      <c r="P21" s="225">
        <f t="shared" ref="P21" si="5">O21*G21</f>
        <v>13</v>
      </c>
    </row>
    <row r="22" spans="2:18" ht="20.149999999999999" customHeight="1" x14ac:dyDescent="0.45">
      <c r="B22" s="80"/>
      <c r="C22" s="22" t="s">
        <v>2035</v>
      </c>
      <c r="D22" s="508" t="str">
        <f>VLOOKUP(C22,'Sales Master'!B$3:D$499,2,)</f>
        <v>Fruit Cocktail杂果</v>
      </c>
      <c r="E22" s="508"/>
      <c r="F22" s="508"/>
      <c r="G22" s="90">
        <v>1</v>
      </c>
      <c r="H22" s="102" t="str">
        <f>VLOOKUP(C22,'Sales Master'!$B$3:$F$3179,5,0)</f>
        <v>(820gm x 12)/箱</v>
      </c>
      <c r="I22" s="482" t="str">
        <f>VLOOKUP(C22,'Sales Master'!$B$3:$E$3179,4,0)</f>
        <v>Mili</v>
      </c>
      <c r="J22" s="482"/>
      <c r="K22" s="387">
        <f>VLOOKUP(C22,'Sales Master'!$B$3:$AQ$3161,42,0)</f>
        <v>25</v>
      </c>
      <c r="L22" s="99">
        <f t="shared" ref="L22" si="6">K22*G22</f>
        <v>25</v>
      </c>
      <c r="N22" s="225">
        <f>VLOOKUP(C22,'Sales Master'!$B$3:$DA$3038,104,0)</f>
        <v>20</v>
      </c>
      <c r="O22" s="225">
        <f t="shared" ref="O22" si="7">K22-N22</f>
        <v>5</v>
      </c>
      <c r="P22" s="225">
        <f t="shared" ref="P22" si="8">O22*G22</f>
        <v>5</v>
      </c>
    </row>
    <row r="23" spans="2:18" ht="20.149999999999999" customHeight="1" x14ac:dyDescent="0.45">
      <c r="B23" s="80"/>
      <c r="C23" s="22" t="s">
        <v>1763</v>
      </c>
      <c r="D23" s="508" t="str">
        <f>VLOOKUP(C23,'Sales Master'!B$3:D$499,2,)</f>
        <v>Rock Sugar冰糖</v>
      </c>
      <c r="E23" s="508"/>
      <c r="F23" s="508"/>
      <c r="G23" s="90">
        <v>2</v>
      </c>
      <c r="H23" s="102" t="str">
        <f>VLOOKUP(C23,'Sales Master'!$B$3:$F$3179,5,0)</f>
        <v>3 KGS/PKT</v>
      </c>
      <c r="I23" s="482" t="str">
        <f>VLOOKUP(C23,'Sales Master'!$B$3:$E$3179,4,0)</f>
        <v>-</v>
      </c>
      <c r="J23" s="482"/>
      <c r="K23" s="387">
        <f>VLOOKUP(C23,'Sales Master'!$B$3:$AQ$3161,42,0)</f>
        <v>6.5</v>
      </c>
      <c r="L23" s="99">
        <f t="shared" ref="L23" si="9">K23*G23</f>
        <v>13</v>
      </c>
      <c r="N23" s="225">
        <f>VLOOKUP(C23,'Sales Master'!$B$3:$DA$3038,104,0)</f>
        <v>4.666666666666667</v>
      </c>
      <c r="O23" s="225">
        <f t="shared" ref="O23" si="10">K23-N23</f>
        <v>1.833333333333333</v>
      </c>
      <c r="P23" s="225">
        <f t="shared" ref="P23" si="11">O23*G23</f>
        <v>3.6666666666666661</v>
      </c>
    </row>
    <row r="24" spans="2:18" ht="20.149999999999999" customHeight="1" x14ac:dyDescent="0.45">
      <c r="B24" s="80"/>
      <c r="C24" s="22" t="s">
        <v>1788</v>
      </c>
      <c r="D24" s="508" t="str">
        <f>VLOOKUP(C24,'Sales Master'!B$3:D$499,2,)</f>
        <v>Tapioca木薯</v>
      </c>
      <c r="E24" s="508"/>
      <c r="F24" s="508"/>
      <c r="G24" s="90">
        <v>20</v>
      </c>
      <c r="H24" s="102" t="str">
        <f>VLOOKUP(C24,'Sales Master'!$B$3:$F$3179,5,0)</f>
        <v>1 kg</v>
      </c>
      <c r="I24" s="482" t="str">
        <f>VLOOKUP(C24,'Sales Master'!$B$3:$E$3179,4,0)</f>
        <v>Malaysia</v>
      </c>
      <c r="J24" s="482"/>
      <c r="K24" s="387">
        <f>VLOOKUP(C24,'Sales Master'!$B$3:$AQ$3161,42,0)</f>
        <v>1.8</v>
      </c>
      <c r="L24" s="99">
        <f t="shared" ref="L24:L26" si="12">K24*G24</f>
        <v>36</v>
      </c>
      <c r="N24" s="225">
        <f>VLOOKUP(C24,'Sales Master'!$B$3:$DA$3038,104,0)</f>
        <v>1</v>
      </c>
      <c r="O24" s="225">
        <f t="shared" ref="O24:O26" si="13">K24-N24</f>
        <v>0.8</v>
      </c>
      <c r="P24" s="225">
        <f t="shared" ref="P24:P26" si="14">O24*G24</f>
        <v>16</v>
      </c>
    </row>
    <row r="25" spans="2:18" ht="20.149999999999999" customHeight="1" x14ac:dyDescent="0.45">
      <c r="B25" s="80"/>
      <c r="C25" s="22" t="s">
        <v>1789</v>
      </c>
      <c r="D25" s="508" t="str">
        <f>VLOOKUP(C25,'Sales Master'!B$3:D$499,2,)</f>
        <v>Sweet Potato 番薯</v>
      </c>
      <c r="E25" s="508"/>
      <c r="F25" s="508"/>
      <c r="G25" s="90">
        <v>10</v>
      </c>
      <c r="H25" s="102" t="str">
        <f>VLOOKUP(C25,'Sales Master'!$B$3:$F$3179,5,0)</f>
        <v>1 KG</v>
      </c>
      <c r="I25" s="482" t="str">
        <f>VLOOKUP(C25,'Sales Master'!$B$3:$E$3179,4,0)</f>
        <v>Malaysia</v>
      </c>
      <c r="J25" s="482"/>
      <c r="K25" s="387">
        <f>VLOOKUP(C25,'Sales Master'!$B$3:$AQ$3161,42,0)</f>
        <v>2.5</v>
      </c>
      <c r="L25" s="99">
        <f t="shared" si="12"/>
        <v>25</v>
      </c>
      <c r="N25" s="225">
        <f>VLOOKUP(C25,'Sales Master'!$B$3:$DA$3038,104,0)</f>
        <v>1.8666666666666665</v>
      </c>
      <c r="O25" s="225">
        <f t="shared" si="13"/>
        <v>0.63333333333333353</v>
      </c>
      <c r="P25" s="225">
        <f t="shared" si="14"/>
        <v>6.3333333333333357</v>
      </c>
    </row>
    <row r="26" spans="2:18" ht="20.149999999999999" customHeight="1" x14ac:dyDescent="0.45">
      <c r="B26" s="80"/>
      <c r="C26" s="22" t="s">
        <v>1792</v>
      </c>
      <c r="D26" s="508" t="str">
        <f>VLOOKUP(C26,'Sales Master'!B$3:D$499,2,)</f>
        <v>Yam 芋头</v>
      </c>
      <c r="E26" s="508"/>
      <c r="F26" s="508"/>
      <c r="G26" s="90">
        <v>10</v>
      </c>
      <c r="H26" s="102" t="str">
        <f>VLOOKUP(C26,'Sales Master'!$B$3:$F$3179,5,0)</f>
        <v>1 KG</v>
      </c>
      <c r="I26" s="482" t="str">
        <f>VLOOKUP(C26,'Sales Master'!$B$3:$E$3179,4,0)</f>
        <v>Malaysia</v>
      </c>
      <c r="J26" s="482"/>
      <c r="K26" s="387">
        <f>VLOOKUP(C26,'Sales Master'!$B$3:$AQ$3161,42,0)</f>
        <v>3</v>
      </c>
      <c r="L26" s="99">
        <f t="shared" si="12"/>
        <v>30</v>
      </c>
      <c r="N26" s="225">
        <f>VLOOKUP(C26,'Sales Master'!$B$3:$DA$3038,104,0)</f>
        <v>1.8</v>
      </c>
      <c r="O26" s="225">
        <f t="shared" si="13"/>
        <v>1.2</v>
      </c>
      <c r="P26" s="225">
        <f t="shared" si="14"/>
        <v>12</v>
      </c>
    </row>
    <row r="27" spans="2:18" ht="20.149999999999999" customHeight="1" x14ac:dyDescent="0.45">
      <c r="B27" s="80"/>
      <c r="C27" s="230"/>
      <c r="G27" s="90"/>
      <c r="H27" s="102"/>
      <c r="I27" s="102"/>
      <c r="J27" s="102"/>
      <c r="K27" s="387"/>
      <c r="L27" s="99"/>
      <c r="N27" s="225"/>
      <c r="O27" s="225"/>
      <c r="P27" s="225"/>
    </row>
    <row r="28" spans="2:18" ht="20.149999999999999" customHeight="1" x14ac:dyDescent="0.45">
      <c r="B28" s="80"/>
      <c r="C28" s="22"/>
      <c r="D28" s="508"/>
      <c r="E28" s="508"/>
      <c r="F28" s="508"/>
      <c r="G28" s="90"/>
      <c r="H28" s="102"/>
      <c r="I28" s="482"/>
      <c r="J28" s="482"/>
      <c r="K28" s="387"/>
      <c r="L28" s="99"/>
      <c r="N28" s="225"/>
      <c r="O28" s="225"/>
      <c r="P28" s="225"/>
    </row>
    <row r="29" spans="2:18" ht="20.149999999999999" customHeight="1" x14ac:dyDescent="0.45">
      <c r="B29" s="80"/>
      <c r="C29" s="22"/>
      <c r="D29" s="508"/>
      <c r="E29" s="508"/>
      <c r="F29" s="508"/>
      <c r="G29" s="90"/>
      <c r="H29" s="102"/>
      <c r="I29" s="560"/>
      <c r="J29" s="560"/>
      <c r="K29" s="387"/>
      <c r="L29" s="99"/>
      <c r="N29" s="225"/>
      <c r="O29" s="225"/>
      <c r="P29" s="225"/>
    </row>
    <row r="30" spans="2:18" ht="20.149999999999999" customHeight="1" x14ac:dyDescent="0.45">
      <c r="B30" s="34"/>
      <c r="C30" s="230"/>
      <c r="G30" s="22"/>
      <c r="H30" s="68"/>
      <c r="I30" s="389"/>
      <c r="J30" s="389"/>
      <c r="K30" s="387"/>
      <c r="L30" s="99"/>
    </row>
    <row r="31" spans="2:18" ht="20.149999999999999" customHeight="1" thickBot="1" x14ac:dyDescent="0.5">
      <c r="B31" s="52"/>
      <c r="C31" s="53"/>
      <c r="D31" s="53"/>
      <c r="E31" s="53"/>
      <c r="F31" s="53"/>
      <c r="G31" s="53"/>
      <c r="H31" s="53"/>
      <c r="I31" s="53"/>
      <c r="J31" s="53"/>
      <c r="K31" s="53"/>
      <c r="L31" s="54"/>
    </row>
    <row r="32" spans="2:18" ht="20.149999999999999" customHeight="1" x14ac:dyDescent="0.45">
      <c r="B32" s="11" t="s">
        <v>18</v>
      </c>
      <c r="C32" s="7"/>
      <c r="D32" s="7"/>
      <c r="E32" s="7"/>
      <c r="F32" s="7"/>
      <c r="G32" s="7"/>
      <c r="H32" s="7"/>
      <c r="I32" s="7"/>
      <c r="J32" s="484" t="s">
        <v>15</v>
      </c>
      <c r="K32" s="485"/>
      <c r="L32" s="185">
        <f>SUM(L18:L31)</f>
        <v>254</v>
      </c>
      <c r="M32" s="76">
        <f>SUM(P18:P31)-L32*0.02</f>
        <v>79.3</v>
      </c>
      <c r="N32" s="201">
        <f>M32/L32</f>
        <v>0.3122047244094488</v>
      </c>
      <c r="R32" s="201" t="e">
        <f>#REF!/L32</f>
        <v>#REF!</v>
      </c>
    </row>
    <row r="33" spans="2:12" ht="20.149999999999999" customHeight="1" x14ac:dyDescent="0.45">
      <c r="B33" s="11" t="s">
        <v>19</v>
      </c>
      <c r="C33" s="7"/>
      <c r="D33" s="7"/>
      <c r="E33" s="7"/>
      <c r="F33" s="7"/>
      <c r="G33" s="7"/>
      <c r="H33" s="7"/>
      <c r="I33" s="7"/>
      <c r="J33" s="44" t="s">
        <v>22</v>
      </c>
      <c r="K33" s="45"/>
      <c r="L33" s="46">
        <v>0</v>
      </c>
    </row>
    <row r="34" spans="2:12" ht="20.149999999999999" customHeight="1" x14ac:dyDescent="0.45">
      <c r="B34" s="11" t="s">
        <v>20</v>
      </c>
      <c r="C34" s="7"/>
      <c r="D34" s="7"/>
      <c r="E34" s="7"/>
      <c r="F34" s="7"/>
      <c r="G34" s="7"/>
      <c r="H34" s="7"/>
      <c r="I34" s="7"/>
      <c r="J34" s="486" t="s">
        <v>21</v>
      </c>
      <c r="K34" s="487"/>
      <c r="L34" s="46">
        <f>L32-L33</f>
        <v>254</v>
      </c>
    </row>
    <row r="35" spans="2:12" ht="20.149999999999999" customHeight="1" x14ac:dyDescent="0.45">
      <c r="B35" s="11" t="s">
        <v>24</v>
      </c>
      <c r="C35" s="7"/>
      <c r="D35" s="7"/>
      <c r="E35" s="7"/>
      <c r="F35" s="7"/>
      <c r="G35" s="7"/>
      <c r="H35" s="7"/>
      <c r="I35" s="7"/>
      <c r="J35" s="150" t="s">
        <v>17</v>
      </c>
      <c r="K35" s="151">
        <v>7.0000000000000007E-2</v>
      </c>
      <c r="L35" s="47">
        <f>L34*K35</f>
        <v>17.78</v>
      </c>
    </row>
    <row r="36" spans="2:12" ht="20.149999999999999" customHeight="1" thickBot="1" x14ac:dyDescent="0.5">
      <c r="B36" s="11" t="s">
        <v>1400</v>
      </c>
      <c r="C36" s="7"/>
      <c r="D36" s="7"/>
      <c r="E36" s="7"/>
      <c r="F36" s="7"/>
      <c r="G36" s="7"/>
      <c r="H36" s="7"/>
      <c r="I36" s="7"/>
      <c r="J36" s="488" t="s">
        <v>23</v>
      </c>
      <c r="K36" s="489"/>
      <c r="L36" s="48">
        <f>L34+L35</f>
        <v>271.77999999999997</v>
      </c>
    </row>
    <row r="37" spans="2:12" ht="20.149999999999999" customHeight="1" x14ac:dyDescent="0.45">
      <c r="B37" s="11" t="s">
        <v>26</v>
      </c>
      <c r="C37" s="7"/>
      <c r="D37" s="7"/>
      <c r="E37" s="7"/>
      <c r="F37" s="7"/>
      <c r="G37" s="7"/>
      <c r="H37" s="7"/>
      <c r="I37" s="7"/>
      <c r="L37" s="42"/>
    </row>
    <row r="38" spans="2:12" ht="20.149999999999999" customHeight="1" x14ac:dyDescent="0.45">
      <c r="B38" s="224" t="s">
        <v>1379</v>
      </c>
      <c r="L38" s="42"/>
    </row>
    <row r="39" spans="2:12" ht="20.149999999999999" customHeight="1" x14ac:dyDescent="0.45">
      <c r="B39" s="41"/>
      <c r="L39" s="42"/>
    </row>
    <row r="40" spans="2:12" ht="20.149999999999999" customHeight="1" x14ac:dyDescent="0.45">
      <c r="B40" s="41"/>
      <c r="L40" s="42"/>
    </row>
    <row r="41" spans="2:12" ht="20.149999999999999" customHeight="1" x14ac:dyDescent="0.45">
      <c r="B41" s="49"/>
      <c r="C41" s="50"/>
      <c r="D41" s="50"/>
      <c r="J41" s="50"/>
      <c r="K41" s="50"/>
      <c r="L41" s="51"/>
    </row>
    <row r="42" spans="2:12" ht="20.149999999999999" customHeight="1" x14ac:dyDescent="0.45">
      <c r="B42" s="41" t="s">
        <v>27</v>
      </c>
      <c r="J42" s="24" t="s">
        <v>28</v>
      </c>
      <c r="L42" s="42"/>
    </row>
    <row r="43" spans="2:12" ht="19" thickBot="1" x14ac:dyDescent="0.5">
      <c r="B43" s="52"/>
      <c r="C43" s="53"/>
      <c r="D43" s="53"/>
      <c r="E43" s="53"/>
      <c r="F43" s="53"/>
      <c r="G43" s="53"/>
      <c r="H43" s="53"/>
      <c r="I43" s="53"/>
      <c r="J43" s="53"/>
      <c r="K43" s="53"/>
      <c r="L43" s="54"/>
    </row>
    <row r="44" spans="2:12" ht="20.5" x14ac:dyDescent="0.45">
      <c r="F44" s="426"/>
    </row>
  </sheetData>
  <mergeCells count="40">
    <mergeCell ref="D29:F29"/>
    <mergeCell ref="D20:F20"/>
    <mergeCell ref="D21:F21"/>
    <mergeCell ref="D28:F28"/>
    <mergeCell ref="I20:J20"/>
    <mergeCell ref="I21:J21"/>
    <mergeCell ref="I25:J25"/>
    <mergeCell ref="D25:F25"/>
    <mergeCell ref="D26:F26"/>
    <mergeCell ref="D22:F22"/>
    <mergeCell ref="D23:F23"/>
    <mergeCell ref="D24:F24"/>
    <mergeCell ref="I22:J22"/>
    <mergeCell ref="I23:J23"/>
    <mergeCell ref="I24:J24"/>
    <mergeCell ref="J36:K36"/>
    <mergeCell ref="J32:K32"/>
    <mergeCell ref="J34:K34"/>
    <mergeCell ref="I26:J26"/>
    <mergeCell ref="I29:J29"/>
    <mergeCell ref="I28:J28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  <mergeCell ref="D17:F17"/>
    <mergeCell ref="D18:F18"/>
    <mergeCell ref="D19:F19"/>
    <mergeCell ref="I17:J17"/>
    <mergeCell ref="I18:J18"/>
    <mergeCell ref="I19:J19"/>
  </mergeCells>
  <pageMargins left="0.70866141732283472" right="0.31496062992125984" top="0.59055118110236227" bottom="0" header="0.31496062992125984" footer="0.31496062992125984"/>
  <pageSetup paperSize="9" scale="75" orientation="portrait" horizontalDpi="300" verticalDpi="300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3B879-C1DF-45D7-899C-A321A606473C}">
  <sheetPr codeName="Sheet74">
    <tabColor rgb="FF92D050"/>
    <pageSetUpPr fitToPage="1"/>
  </sheetPr>
  <dimension ref="B1:P95"/>
  <sheetViews>
    <sheetView topLeftCell="A36" zoomScaleNormal="100" workbookViewId="0">
      <selection activeCell="K48" sqref="K48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6.54296875" style="24" customWidth="1"/>
    <col min="7" max="7" width="8.54296875" style="24" customWidth="1"/>
    <col min="8" max="8" width="17.54296875" style="24" customWidth="1"/>
    <col min="9" max="9" width="1.54296875" style="24" customWidth="1"/>
    <col min="10" max="10" width="15.54296875" style="24" customWidth="1"/>
    <col min="11" max="11" width="12.26953125" style="24" customWidth="1"/>
    <col min="12" max="12" width="12.54296875" style="24" customWidth="1"/>
    <col min="13" max="16384" width="12.54296875" style="24"/>
  </cols>
  <sheetData>
    <row r="1" spans="2:15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5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5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5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5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5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5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5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5" ht="19" thickBot="1" x14ac:dyDescent="0.5">
      <c r="B9" s="23"/>
    </row>
    <row r="10" spans="2:15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232</v>
      </c>
      <c r="J10" s="29" t="s">
        <v>29</v>
      </c>
      <c r="K10" s="452">
        <v>202210018</v>
      </c>
      <c r="L10" s="453"/>
    </row>
    <row r="11" spans="2:15" ht="20.149999999999999" customHeight="1" x14ac:dyDescent="0.45">
      <c r="B11" s="454"/>
      <c r="C11" s="455"/>
      <c r="D11" s="456"/>
      <c r="E11" s="30"/>
      <c r="F11" s="457" t="str">
        <f>VLOOKUP(H10,'Delivery Location'!A$4:N$416,2,0)</f>
        <v>滨海甜品                                                      Blk 248, Simei St 5. Singapore 520120</v>
      </c>
      <c r="G11" s="458"/>
      <c r="H11" s="459"/>
      <c r="J11" s="31" t="s">
        <v>11</v>
      </c>
      <c r="K11" s="466">
        <v>44835</v>
      </c>
      <c r="L11" s="467"/>
    </row>
    <row r="12" spans="2:15" ht="20.149999999999999" customHeight="1" x14ac:dyDescent="0.45">
      <c r="B12" s="468"/>
      <c r="C12" s="469"/>
      <c r="D12" s="470"/>
      <c r="E12" s="30"/>
      <c r="F12" s="460"/>
      <c r="G12" s="461"/>
      <c r="H12" s="462"/>
      <c r="J12" s="31" t="s">
        <v>171</v>
      </c>
      <c r="K12" s="471" t="s">
        <v>533</v>
      </c>
      <c r="L12" s="472"/>
    </row>
    <row r="13" spans="2:15" ht="20.149999999999999" customHeight="1" x14ac:dyDescent="0.45">
      <c r="B13" s="589"/>
      <c r="C13" s="590"/>
      <c r="D13" s="591"/>
      <c r="E13" s="30"/>
      <c r="F13" s="460"/>
      <c r="G13" s="461"/>
      <c r="H13" s="462"/>
      <c r="J13" s="31" t="s">
        <v>12</v>
      </c>
      <c r="K13" s="471" t="s">
        <v>14</v>
      </c>
      <c r="L13" s="472"/>
      <c r="N13" s="299" t="s">
        <v>1900</v>
      </c>
      <c r="O13" s="23"/>
    </row>
    <row r="14" spans="2:15" ht="20.149999999999999" customHeight="1" x14ac:dyDescent="0.45">
      <c r="B14" s="468"/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5" ht="18" customHeight="1" thickBot="1" x14ac:dyDescent="0.5">
      <c r="B15" s="55"/>
      <c r="C15" s="56"/>
      <c r="D15" s="57"/>
      <c r="E15" s="26"/>
      <c r="F15" s="463"/>
      <c r="G15" s="464"/>
      <c r="H15" s="465"/>
      <c r="J15" s="32" t="s">
        <v>13</v>
      </c>
      <c r="K15" s="476"/>
      <c r="L15" s="477"/>
    </row>
    <row r="16" spans="2:15" ht="19" thickBot="1" x14ac:dyDescent="0.5">
      <c r="J16" s="22"/>
    </row>
    <row r="17" spans="2:16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16" ht="20.149999999999999" customHeight="1" x14ac:dyDescent="0.45">
      <c r="B18" s="34"/>
      <c r="C18" s="22" t="s">
        <v>1447</v>
      </c>
      <c r="D18" s="508" t="str">
        <f>VLOOKUP(C18,'Sales Master'!B$3:D$499,2,)</f>
        <v>Durian Puree 榴莲</v>
      </c>
      <c r="E18" s="508"/>
      <c r="F18" s="508"/>
      <c r="G18" s="90">
        <v>1</v>
      </c>
      <c r="H18" s="102" t="str">
        <f>VLOOKUP(C18,'Sales Master'!$B$3:$F$3248,5,0)</f>
        <v>BOX/盒</v>
      </c>
      <c r="I18" s="482" t="str">
        <f>VLOOKUP(C18,'Sales Master'!$B$3:$E$3248,4,0)</f>
        <v>DO!</v>
      </c>
      <c r="J18" s="482"/>
      <c r="K18" s="139">
        <f>VLOOKUP(C18,'Sales Master'!B$3:N$499,13,0)</f>
        <v>7</v>
      </c>
      <c r="L18" s="99">
        <f>K18*G18</f>
        <v>7</v>
      </c>
      <c r="M18" s="78"/>
      <c r="N18" s="225">
        <f>VLOOKUP(C18,'Sales Master'!$B$3:$DA$3038,104,0)</f>
        <v>4.95</v>
      </c>
      <c r="O18" s="225">
        <f>K18-N18</f>
        <v>2.0499999999999998</v>
      </c>
      <c r="P18" s="225">
        <f>O18*G18</f>
        <v>2.0499999999999998</v>
      </c>
    </row>
    <row r="19" spans="2:16" ht="20.149999999999999" customHeight="1" x14ac:dyDescent="0.45">
      <c r="B19" s="34"/>
      <c r="C19" s="22" t="s">
        <v>1459</v>
      </c>
      <c r="D19" s="508" t="str">
        <f>VLOOKUP(C19,'Sales Master'!B$3:D$499,2,)</f>
        <v>Chendol浆咯</v>
      </c>
      <c r="E19" s="508"/>
      <c r="F19" s="508"/>
      <c r="G19" s="90">
        <v>3</v>
      </c>
      <c r="H19" s="102" t="str">
        <f>VLOOKUP(C19,'Sales Master'!$B$3:$F$3248,5,0)</f>
        <v>3 kgs</v>
      </c>
      <c r="I19" s="482" t="str">
        <f>VLOOKUP(C19,'Sales Master'!$B$3:$E$3248,4,0)</f>
        <v>TSM</v>
      </c>
      <c r="J19" s="482"/>
      <c r="K19" s="139">
        <f>VLOOKUP(C19,'Sales Master'!B$3:N$499,13,0)</f>
        <v>10</v>
      </c>
      <c r="L19" s="99">
        <f>K19*G19</f>
        <v>30</v>
      </c>
      <c r="M19" s="78"/>
      <c r="N19" s="225">
        <f>VLOOKUP(C19,'Sales Master'!$B$3:$DA$3038,104,0)</f>
        <v>6.5</v>
      </c>
      <c r="O19" s="225">
        <f>K19-N19</f>
        <v>3.5</v>
      </c>
      <c r="P19" s="225">
        <f>O19*G19</f>
        <v>10.5</v>
      </c>
    </row>
    <row r="20" spans="2:16" ht="20.149999999999999" customHeight="1" x14ac:dyDescent="0.45">
      <c r="B20" s="34"/>
      <c r="C20" s="22" t="s">
        <v>1543</v>
      </c>
      <c r="D20" s="508" t="str">
        <f>VLOOKUP(C20,'Sales Master'!B$3:D$499,2,)</f>
        <v>Tapioca Flour 茨粉</v>
      </c>
      <c r="E20" s="508"/>
      <c r="F20" s="508"/>
      <c r="G20" s="90">
        <v>10</v>
      </c>
      <c r="H20" s="102" t="str">
        <f>VLOOKUP(C20,'Sales Master'!$B$3:$F$3248,5,0)</f>
        <v xml:space="preserve">500gm/pkt </v>
      </c>
      <c r="I20" s="482" t="str">
        <f>VLOOKUP(C20,'Sales Master'!$B$3:$E$3248,4,0)</f>
        <v>F/man 飞人</v>
      </c>
      <c r="J20" s="482"/>
      <c r="K20" s="98">
        <f>VLOOKUP(C20,'Sales Master'!B$3:N$499,13,0)</f>
        <v>0.9</v>
      </c>
      <c r="L20" s="99">
        <f t="shared" ref="L20:L24" si="0">K20*G20</f>
        <v>9</v>
      </c>
      <c r="M20" s="78"/>
      <c r="N20" s="225">
        <f>VLOOKUP(C20,'Sales Master'!$B$3:$DA$3038,104,0)</f>
        <v>0.57999999999999996</v>
      </c>
      <c r="O20" s="225">
        <f t="shared" ref="O20:O24" si="1">K20-N20</f>
        <v>0.32000000000000006</v>
      </c>
      <c r="P20" s="225">
        <f t="shared" ref="P20:P24" si="2">O20*G20</f>
        <v>3.2000000000000006</v>
      </c>
    </row>
    <row r="21" spans="2:16" ht="20.149999999999999" customHeight="1" x14ac:dyDescent="0.45">
      <c r="B21" s="34"/>
      <c r="C21" s="22" t="s">
        <v>1563</v>
      </c>
      <c r="D21" s="508" t="str">
        <f>VLOOKUP(C21,'Sales Master'!B$3:D$499,2,)</f>
        <v>Atap Seeds in Syrup亚嗒子</v>
      </c>
      <c r="E21" s="508"/>
      <c r="F21" s="508"/>
      <c r="G21" s="90">
        <v>2</v>
      </c>
      <c r="H21" s="102" t="str">
        <f>VLOOKUP(C21,'Sales Master'!$B$3:$F$3248,5,0)</f>
        <v>NW (2.1:0.9) 3 kgs</v>
      </c>
      <c r="I21" s="482" t="str">
        <f>VLOOKUP(C21,'Sales Master'!$B$3:$E$3248,4,0)</f>
        <v>DO!</v>
      </c>
      <c r="J21" s="482"/>
      <c r="K21" s="139">
        <f>VLOOKUP(C21,'Sales Master'!B$3:N$499,13,0)</f>
        <v>10.5</v>
      </c>
      <c r="L21" s="99">
        <f t="shared" si="0"/>
        <v>21</v>
      </c>
      <c r="M21" s="78"/>
      <c r="N21" s="225">
        <f>VLOOKUP(C21,'Sales Master'!$B$3:$DA$3038,104,0)</f>
        <v>5.628000000000001</v>
      </c>
      <c r="O21" s="225">
        <f t="shared" si="1"/>
        <v>4.871999999999999</v>
      </c>
      <c r="P21" s="225">
        <f t="shared" si="2"/>
        <v>9.743999999999998</v>
      </c>
    </row>
    <row r="22" spans="2:16" ht="20.149999999999999" customHeight="1" x14ac:dyDescent="0.45">
      <c r="B22" s="34"/>
      <c r="C22" s="22" t="s">
        <v>1566</v>
      </c>
      <c r="D22" s="508" t="str">
        <f>VLOOKUP(C22,'Sales Master'!B$3:D$499,2,)</f>
        <v>Chin Chow  仙草</v>
      </c>
      <c r="E22" s="508"/>
      <c r="F22" s="508"/>
      <c r="G22" s="90">
        <v>1</v>
      </c>
      <c r="H22" s="102" t="str">
        <f>VLOOKUP(C22,'Sales Master'!$B$3:$F$3248,5,0)</f>
        <v>5KGS/PKT</v>
      </c>
      <c r="I22" s="482" t="str">
        <f>VLOOKUP(C22,'Sales Master'!$B$3:$E$3248,4,0)</f>
        <v>TSM</v>
      </c>
      <c r="J22" s="482"/>
      <c r="K22" s="139">
        <f>VLOOKUP(C22,'Sales Master'!B$3:N$499,13,0)</f>
        <v>5</v>
      </c>
      <c r="L22" s="99">
        <f>K22*G22</f>
        <v>5</v>
      </c>
      <c r="M22" s="78"/>
      <c r="N22" s="225">
        <f>VLOOKUP(C22,'Sales Master'!$B$3:$DA$3038,104,0)</f>
        <v>4</v>
      </c>
      <c r="O22" s="225">
        <f>K22-N22</f>
        <v>1</v>
      </c>
      <c r="P22" s="225">
        <f>O22*G22</f>
        <v>1</v>
      </c>
    </row>
    <row r="23" spans="2:16" ht="20.149999999999999" customHeight="1" x14ac:dyDescent="0.45">
      <c r="B23" s="34"/>
      <c r="C23" s="22" t="s">
        <v>1572</v>
      </c>
      <c r="D23" s="508" t="str">
        <f>VLOOKUP(C23,'Sales Master'!B$3:D$499,2,)</f>
        <v>Red Bean红豆 (5.5 mm)</v>
      </c>
      <c r="E23" s="508"/>
      <c r="F23" s="508"/>
      <c r="G23" s="90">
        <v>2</v>
      </c>
      <c r="H23" s="102" t="str">
        <f>VLOOKUP(C23,'Sales Master'!$B$3:$F$3248,5,0)</f>
        <v>5 kgs</v>
      </c>
      <c r="I23" s="482" t="str">
        <f>VLOOKUP(C23,'Sales Master'!$B$3:$E$3248,4,0)</f>
        <v>-</v>
      </c>
      <c r="J23" s="482"/>
      <c r="K23" s="139">
        <f>VLOOKUP(C23,'Sales Master'!B$3:N$499,13,0)</f>
        <v>20.5</v>
      </c>
      <c r="L23" s="99">
        <f t="shared" si="0"/>
        <v>41</v>
      </c>
      <c r="M23" s="78"/>
      <c r="N23" s="225">
        <f>VLOOKUP(C23,'Sales Master'!$B$3:$DA$3038,104,0)</f>
        <v>17</v>
      </c>
      <c r="O23" s="225">
        <f t="shared" si="1"/>
        <v>3.5</v>
      </c>
      <c r="P23" s="225">
        <f t="shared" si="2"/>
        <v>7</v>
      </c>
    </row>
    <row r="24" spans="2:16" ht="20.149999999999999" customHeight="1" x14ac:dyDescent="0.45">
      <c r="B24" s="34"/>
      <c r="C24" s="22" t="s">
        <v>1582</v>
      </c>
      <c r="D24" s="508" t="str">
        <f>VLOOKUP(C24,'Sales Master'!B$3:D$499,2,)</f>
        <v>Chia Tao赤豆</v>
      </c>
      <c r="E24" s="508"/>
      <c r="F24" s="508"/>
      <c r="G24" s="90">
        <v>1</v>
      </c>
      <c r="H24" s="102" t="str">
        <f>VLOOKUP(C24,'Sales Master'!$B$3:$F$3248,5,0)</f>
        <v>5 kgs</v>
      </c>
      <c r="I24" s="482" t="str">
        <f>VLOOKUP(C24,'Sales Master'!$B$3:$E$3248,4,0)</f>
        <v>-</v>
      </c>
      <c r="J24" s="482"/>
      <c r="K24" s="139">
        <f>VLOOKUP(C24,'Sales Master'!B$3:N$499,13,0)</f>
        <v>18</v>
      </c>
      <c r="L24" s="99">
        <f t="shared" si="0"/>
        <v>18</v>
      </c>
      <c r="M24" s="78"/>
      <c r="N24" s="225">
        <f>VLOOKUP(C24,'Sales Master'!$B$3:$DA$3038,104,0)</f>
        <v>12.5</v>
      </c>
      <c r="O24" s="225">
        <f t="shared" si="1"/>
        <v>5.5</v>
      </c>
      <c r="P24" s="225">
        <f t="shared" si="2"/>
        <v>5.5</v>
      </c>
    </row>
    <row r="25" spans="2:16" ht="20.149999999999999" customHeight="1" x14ac:dyDescent="0.45">
      <c r="B25" s="34"/>
      <c r="C25" s="22" t="s">
        <v>1585</v>
      </c>
      <c r="D25" s="508" t="str">
        <f>VLOOKUP(C25,'Sales Master'!B$3:D$499,2,)</f>
        <v>Green Bean 绿豆</v>
      </c>
      <c r="E25" s="508"/>
      <c r="F25" s="508"/>
      <c r="G25" s="90">
        <v>2</v>
      </c>
      <c r="H25" s="102" t="str">
        <f>VLOOKUP(C25,'Sales Master'!$B$3:$F$3248,5,0)</f>
        <v>5 kgs</v>
      </c>
      <c r="I25" s="482" t="str">
        <f>VLOOKUP(C25,'Sales Master'!$B$3:$E$3248,4,0)</f>
        <v>-</v>
      </c>
      <c r="J25" s="482"/>
      <c r="K25" s="139">
        <f>VLOOKUP(C25,'Sales Master'!B$3:N$499,13,0)</f>
        <v>14</v>
      </c>
      <c r="L25" s="99">
        <f>K25*G25</f>
        <v>28</v>
      </c>
      <c r="M25" s="78"/>
      <c r="N25" s="225">
        <f>VLOOKUP(C25,'Sales Master'!$B$3:$DA$3038,104,0)</f>
        <v>9.3999999999999986</v>
      </c>
      <c r="O25" s="225">
        <f t="shared" ref="O25:O27" si="3">K25-N25</f>
        <v>4.6000000000000014</v>
      </c>
      <c r="P25" s="225">
        <f t="shared" ref="P25:P27" si="4">O25*G25</f>
        <v>9.2000000000000028</v>
      </c>
    </row>
    <row r="26" spans="2:16" ht="20.149999999999999" customHeight="1" x14ac:dyDescent="0.45">
      <c r="B26" s="34"/>
      <c r="C26" s="22" t="s">
        <v>1599</v>
      </c>
      <c r="D26" s="508" t="str">
        <f>VLOOKUP(C26,'Sales Master'!B$3:D$499,2,)</f>
        <v>Black Glutinous Rice 黑糯米</v>
      </c>
      <c r="E26" s="508"/>
      <c r="F26" s="508"/>
      <c r="G26" s="90">
        <v>1</v>
      </c>
      <c r="H26" s="102" t="str">
        <f>VLOOKUP(C26,'Sales Master'!$B$3:$F$3248,5,0)</f>
        <v>5 kgs</v>
      </c>
      <c r="I26" s="482" t="str">
        <f>VLOOKUP(C26,'Sales Master'!$B$3:$E$3248,4,0)</f>
        <v>-</v>
      </c>
      <c r="J26" s="482"/>
      <c r="K26" s="139">
        <f>VLOOKUP(C26,'Sales Master'!B$3:N$499,13,0)</f>
        <v>18</v>
      </c>
      <c r="L26" s="99">
        <f t="shared" ref="L26:L27" si="5">K26*G26</f>
        <v>18</v>
      </c>
      <c r="M26" s="78"/>
      <c r="N26" s="225">
        <f>VLOOKUP(C26,'Sales Master'!$B$3:$DA$3038,104,0)</f>
        <v>12</v>
      </c>
      <c r="O26" s="225">
        <f t="shared" si="3"/>
        <v>6</v>
      </c>
      <c r="P26" s="225">
        <f t="shared" si="4"/>
        <v>6</v>
      </c>
    </row>
    <row r="27" spans="2:16" ht="20.149999999999999" customHeight="1" x14ac:dyDescent="0.45">
      <c r="B27" s="34"/>
      <c r="C27" s="22" t="s">
        <v>1608</v>
      </c>
      <c r="D27" s="508" t="str">
        <f>VLOOKUP(C27,'Sales Master'!B$3:D$499,2,)</f>
        <v>Pearl Barley 薏米</v>
      </c>
      <c r="E27" s="508"/>
      <c r="F27" s="508"/>
      <c r="G27" s="90">
        <v>1</v>
      </c>
      <c r="H27" s="102" t="str">
        <f>VLOOKUP(C27,'Sales Master'!$B$3:$F$3248,5,0)</f>
        <v>5 kgs</v>
      </c>
      <c r="I27" s="482" t="str">
        <f>VLOOKUP(C27,'Sales Master'!$B$3:$E$3248,4,0)</f>
        <v>-</v>
      </c>
      <c r="J27" s="482"/>
      <c r="K27" s="139">
        <f>VLOOKUP(C27,'Sales Master'!B$3:N$499,13,0)</f>
        <v>10</v>
      </c>
      <c r="L27" s="99">
        <f t="shared" si="5"/>
        <v>10</v>
      </c>
      <c r="M27" s="78"/>
      <c r="N27" s="225">
        <f>VLOOKUP(C27,'Sales Master'!$B$3:$DA$3038,104,0)</f>
        <v>6.8000000000000007</v>
      </c>
      <c r="O27" s="225">
        <f t="shared" si="3"/>
        <v>3.1999999999999993</v>
      </c>
      <c r="P27" s="225">
        <f t="shared" si="4"/>
        <v>3.1999999999999993</v>
      </c>
    </row>
    <row r="28" spans="2:16" ht="20.149999999999999" customHeight="1" x14ac:dyDescent="0.45">
      <c r="B28" s="34"/>
      <c r="C28" s="22" t="s">
        <v>1611</v>
      </c>
      <c r="D28" s="508" t="str">
        <f>VLOOKUP(C28,'Sales Master'!B$3:D$499,2,)</f>
        <v>Big Sago 大丸</v>
      </c>
      <c r="E28" s="508"/>
      <c r="F28" s="508"/>
      <c r="G28" s="90">
        <v>1</v>
      </c>
      <c r="H28" s="102" t="str">
        <f>VLOOKUP(C28,'Sales Master'!$B$3:$F$3248,5,0)</f>
        <v>5 kgs</v>
      </c>
      <c r="I28" s="482" t="str">
        <f>VLOOKUP(C28,'Sales Master'!$B$3:$E$3248,4,0)</f>
        <v>-</v>
      </c>
      <c r="J28" s="482"/>
      <c r="K28" s="139">
        <f>VLOOKUP(C28,'Sales Master'!B$3:N$499,13,0)</f>
        <v>11</v>
      </c>
      <c r="L28" s="99">
        <f t="shared" ref="L28:L29" si="6">K28*G28</f>
        <v>11</v>
      </c>
      <c r="M28" s="78"/>
      <c r="N28" s="225">
        <f>VLOOKUP(C28,'Sales Master'!$B$3:$DA$3038,104,0)</f>
        <v>8.6666666666666679</v>
      </c>
      <c r="O28" s="225">
        <f t="shared" ref="O28:O29" si="7">K28-N28</f>
        <v>2.3333333333333321</v>
      </c>
      <c r="P28" s="225">
        <f t="shared" ref="P28:P29" si="8">O28*G28</f>
        <v>2.3333333333333321</v>
      </c>
    </row>
    <row r="29" spans="2:16" ht="20.149999999999999" customHeight="1" x14ac:dyDescent="0.45">
      <c r="B29" s="34"/>
      <c r="C29" s="22" t="s">
        <v>1618</v>
      </c>
      <c r="D29" s="508" t="str">
        <f>VLOOKUP(C29,'Sales Master'!B$3:D$499,2,)</f>
        <v>Dried Longan 龙眼干</v>
      </c>
      <c r="E29" s="508"/>
      <c r="F29" s="508"/>
      <c r="G29" s="90">
        <v>3</v>
      </c>
      <c r="H29" s="102" t="str">
        <f>VLOOKUP(C29,'Sales Master'!$B$3:$F$3248,5,0)</f>
        <v>1 kg</v>
      </c>
      <c r="I29" s="482" t="str">
        <f>VLOOKUP(C29,'Sales Master'!$B$3:$E$3248,4,0)</f>
        <v>TL</v>
      </c>
      <c r="J29" s="482"/>
      <c r="K29" s="139">
        <f>VLOOKUP(C29,'Sales Master'!B$3:N$499,13,0)</f>
        <v>12</v>
      </c>
      <c r="L29" s="99">
        <f t="shared" si="6"/>
        <v>36</v>
      </c>
      <c r="M29" s="78"/>
      <c r="N29" s="225">
        <f>VLOOKUP(C29,'Sales Master'!$B$3:$DA$3038,104,0)</f>
        <v>8.5</v>
      </c>
      <c r="O29" s="225">
        <f t="shared" si="7"/>
        <v>3.5</v>
      </c>
      <c r="P29" s="225">
        <f t="shared" si="8"/>
        <v>10.5</v>
      </c>
    </row>
    <row r="30" spans="2:16" ht="20.149999999999999" customHeight="1" x14ac:dyDescent="0.45">
      <c r="B30" s="34"/>
      <c r="C30" s="22" t="s">
        <v>1639</v>
      </c>
      <c r="D30" s="508" t="str">
        <f>VLOOKUP(C30,'Sales Master'!B$3:D$499,2,)</f>
        <v>Bean Curd Sheet 腐竹</v>
      </c>
      <c r="E30" s="508"/>
      <c r="F30" s="508"/>
      <c r="G30" s="90">
        <v>10</v>
      </c>
      <c r="H30" s="102" t="str">
        <f>VLOOKUP(C30,'Sales Master'!$B$3:$F$3248,5,0)</f>
        <v xml:space="preserve">150g/pkt </v>
      </c>
      <c r="I30" s="482" t="str">
        <f>VLOOKUP(C30,'Sales Master'!$B$3:$E$3248,4,0)</f>
        <v>生记</v>
      </c>
      <c r="J30" s="482"/>
      <c r="K30" s="139">
        <f>VLOOKUP(C30,'Sales Master'!B$3:N$499,13,0)</f>
        <v>3.1</v>
      </c>
      <c r="L30" s="99">
        <f t="shared" ref="L30" si="9">K30*G30</f>
        <v>31</v>
      </c>
      <c r="M30" s="78"/>
      <c r="N30" s="225">
        <f>VLOOKUP(C30,'Sales Master'!$B$3:$DA$3038,104,0)</f>
        <v>2.5</v>
      </c>
      <c r="O30" s="225">
        <f t="shared" ref="O30" si="10">K30-N30</f>
        <v>0.60000000000000009</v>
      </c>
      <c r="P30" s="225">
        <f t="shared" ref="P30" si="11">O30*G30</f>
        <v>6.0000000000000009</v>
      </c>
    </row>
    <row r="31" spans="2:16" ht="20.149999999999999" customHeight="1" x14ac:dyDescent="0.45">
      <c r="B31" s="34"/>
      <c r="C31" s="22" t="s">
        <v>1689</v>
      </c>
      <c r="D31" s="508" t="str">
        <f>VLOOKUP(C31,'Sales Master'!B$3:D$499,2,)</f>
        <v>Sea Coconut海底椰</v>
      </c>
      <c r="E31" s="508"/>
      <c r="F31" s="508"/>
      <c r="G31" s="90">
        <v>2</v>
      </c>
      <c r="H31" s="102" t="str">
        <f>VLOOKUP(C31,'Sales Master'!$B$3:$F$3248,5,0)</f>
        <v>1 Can X A10</v>
      </c>
      <c r="I31" s="482" t="str">
        <f>VLOOKUP(C31,'Sales Master'!$B$3:$E$3248,4,0)</f>
        <v>Chefs</v>
      </c>
      <c r="J31" s="482"/>
      <c r="K31" s="139">
        <f>VLOOKUP(C31,'Sales Master'!B$3:N$499,13,0)</f>
        <v>18</v>
      </c>
      <c r="L31" s="99">
        <f t="shared" ref="L31:L33" si="12">K31*G31</f>
        <v>36</v>
      </c>
      <c r="M31" s="78"/>
      <c r="N31" s="225">
        <f>VLOOKUP(C31,'Sales Master'!$B$3:$DA$3038,104,0)</f>
        <v>14.333333333333334</v>
      </c>
      <c r="O31" s="225">
        <f t="shared" ref="O31:O33" si="13">K31-N31</f>
        <v>3.6666666666666661</v>
      </c>
      <c r="P31" s="225">
        <f t="shared" ref="P31:P33" si="14">O31*G31</f>
        <v>7.3333333333333321</v>
      </c>
    </row>
    <row r="32" spans="2:16" ht="20.149999999999999" customHeight="1" x14ac:dyDescent="0.45">
      <c r="B32" s="34"/>
      <c r="C32" s="22" t="s">
        <v>1696</v>
      </c>
      <c r="D32" s="508" t="str">
        <f>VLOOKUP(C32,'Sales Master'!B$3:D$499,2,)</f>
        <v>Longan in Syrup龙眼</v>
      </c>
      <c r="E32" s="508"/>
      <c r="F32" s="508"/>
      <c r="G32" s="90">
        <v>1</v>
      </c>
      <c r="H32" s="102" t="str">
        <f>VLOOKUP(C32,'Sales Master'!$B$3:$F$3248,5,0)</f>
        <v>(565gm x 12)/箱</v>
      </c>
      <c r="I32" s="482" t="str">
        <f>VLOOKUP(C32,'Sales Master'!$B$3:$E$3248,4,0)</f>
        <v>YiFong</v>
      </c>
      <c r="J32" s="482"/>
      <c r="K32" s="139">
        <f>VLOOKUP(C32,'Sales Master'!B$3:N$499,13,0)</f>
        <v>23</v>
      </c>
      <c r="L32" s="99">
        <f t="shared" si="12"/>
        <v>23</v>
      </c>
      <c r="M32" s="78"/>
      <c r="N32" s="225">
        <f>VLOOKUP(C32,'Sales Master'!$B$3:$DA$3038,104,0)</f>
        <v>18.055555555555557</v>
      </c>
      <c r="O32" s="225">
        <f t="shared" si="13"/>
        <v>4.9444444444444429</v>
      </c>
      <c r="P32" s="225">
        <f t="shared" si="14"/>
        <v>4.9444444444444429</v>
      </c>
    </row>
    <row r="33" spans="2:16" ht="20.149999999999999" customHeight="1" x14ac:dyDescent="0.45">
      <c r="B33" s="34"/>
      <c r="C33" s="22" t="s">
        <v>1716</v>
      </c>
      <c r="D33" s="508" t="str">
        <f>VLOOKUP(C33,'Sales Master'!B$3:D$499,2,)</f>
        <v>Carnation Milk三花淡奶水</v>
      </c>
      <c r="E33" s="508"/>
      <c r="F33" s="508"/>
      <c r="G33" s="90">
        <v>12</v>
      </c>
      <c r="H33" s="102" t="str">
        <f>VLOOKUP(C33,'Sales Master'!$B$3:$F$3248,5,0)</f>
        <v>405gm/can/罐</v>
      </c>
      <c r="I33" s="482" t="str">
        <f>VLOOKUP(C33,'Sales Master'!$B$3:$E$3248,4,0)</f>
        <v>Threeflower</v>
      </c>
      <c r="J33" s="482"/>
      <c r="K33" s="139">
        <f>VLOOKUP(C33,'Sales Master'!B$3:N$499,13,0)</f>
        <v>1.3</v>
      </c>
      <c r="L33" s="99">
        <f t="shared" si="12"/>
        <v>15.600000000000001</v>
      </c>
      <c r="M33" s="78"/>
      <c r="N33" s="225">
        <f>VLOOKUP(C33,'Sales Master'!$B$3:$DA$3038,104,0)</f>
        <v>1.0416666666666667</v>
      </c>
      <c r="O33" s="225">
        <f t="shared" si="13"/>
        <v>0.2583333333333333</v>
      </c>
      <c r="P33" s="225">
        <f t="shared" si="14"/>
        <v>3.0999999999999996</v>
      </c>
    </row>
    <row r="34" spans="2:16" ht="20.149999999999999" customHeight="1" x14ac:dyDescent="0.45">
      <c r="B34" s="34"/>
      <c r="C34" s="22" t="s">
        <v>1766</v>
      </c>
      <c r="D34" s="508" t="str">
        <f>VLOOKUP(C34,'Sales Master'!B$3:D$499,2,)</f>
        <v>Brown Sugar 黑糖</v>
      </c>
      <c r="E34" s="508"/>
      <c r="F34" s="508"/>
      <c r="G34" s="90">
        <v>1</v>
      </c>
      <c r="H34" s="102" t="str">
        <f>VLOOKUP(C34,'Sales Master'!$B$3:$F$3248,5,0)</f>
        <v>6 kgs</v>
      </c>
      <c r="I34" s="482" t="str">
        <f>VLOOKUP(C34,'Sales Master'!$B$3:$E$3248,4,0)</f>
        <v>Star</v>
      </c>
      <c r="J34" s="482"/>
      <c r="K34" s="139">
        <f>VLOOKUP(C34,'Sales Master'!B$3:N$499,13,0)</f>
        <v>16.5</v>
      </c>
      <c r="L34" s="99">
        <f t="shared" ref="L34" si="15">K34*G34</f>
        <v>16.5</v>
      </c>
      <c r="M34" s="78"/>
      <c r="N34" s="225">
        <f>VLOOKUP(C34,'Sales Master'!$B$3:$DA$3038,104,0)</f>
        <v>10.5</v>
      </c>
      <c r="O34" s="225">
        <f t="shared" ref="O34" si="16">K34-N34</f>
        <v>6</v>
      </c>
      <c r="P34" s="225">
        <f t="shared" ref="P34" si="17">O34*G34</f>
        <v>6</v>
      </c>
    </row>
    <row r="35" spans="2:16" ht="20.149999999999999" customHeight="1" x14ac:dyDescent="0.45">
      <c r="B35" s="34"/>
      <c r="C35" s="22" t="s">
        <v>1789</v>
      </c>
      <c r="D35" s="508" t="str">
        <f>VLOOKUP(C35,'Sales Master'!B$3:D$499,2,)</f>
        <v>Sweet Potato 番薯</v>
      </c>
      <c r="E35" s="508"/>
      <c r="F35" s="508"/>
      <c r="G35" s="90">
        <v>12</v>
      </c>
      <c r="H35" s="102" t="str">
        <f>VLOOKUP(C35,'Sales Master'!$B$3:$F$3248,5,0)</f>
        <v>1 KG</v>
      </c>
      <c r="I35" s="482" t="str">
        <f>VLOOKUP(C35,'Sales Master'!$B$3:$E$3248,4,0)</f>
        <v>Malaysia</v>
      </c>
      <c r="J35" s="482"/>
      <c r="K35" s="139">
        <f>VLOOKUP(C35,'Sales Master'!B$3:N$499,13,0)</f>
        <v>2.5</v>
      </c>
      <c r="L35" s="99">
        <f t="shared" ref="L35" si="18">K35*G35</f>
        <v>30</v>
      </c>
      <c r="M35" s="78"/>
      <c r="N35" s="225">
        <f>VLOOKUP(C35,'Sales Master'!$B$3:$DA$3038,104,0)</f>
        <v>1.8666666666666665</v>
      </c>
      <c r="O35" s="225">
        <f t="shared" ref="O35" si="19">K35-N35</f>
        <v>0.63333333333333353</v>
      </c>
      <c r="P35" s="225">
        <f t="shared" ref="P35" si="20">O35*G35</f>
        <v>7.6000000000000023</v>
      </c>
    </row>
    <row r="36" spans="2:16" ht="20.149999999999999" customHeight="1" x14ac:dyDescent="0.45">
      <c r="B36" s="34"/>
      <c r="C36" s="22"/>
      <c r="G36" s="90"/>
      <c r="H36" s="389"/>
      <c r="I36" s="389"/>
      <c r="J36" s="389"/>
      <c r="K36" s="139"/>
      <c r="L36" s="99"/>
      <c r="M36" s="78"/>
      <c r="N36" s="225"/>
      <c r="O36" s="225"/>
      <c r="P36" s="225"/>
    </row>
    <row r="37" spans="2:16" ht="20.149999999999999" customHeight="1" x14ac:dyDescent="0.45">
      <c r="B37" s="34"/>
      <c r="C37" s="411" t="s">
        <v>2317</v>
      </c>
      <c r="G37" s="90"/>
      <c r="H37" s="389"/>
      <c r="I37" s="389"/>
      <c r="J37" s="389"/>
      <c r="K37" s="139"/>
      <c r="L37" s="99"/>
      <c r="M37" s="78"/>
      <c r="N37" s="225"/>
      <c r="O37" s="225"/>
      <c r="P37" s="225"/>
    </row>
    <row r="38" spans="2:16" ht="20.149999999999999" customHeight="1" x14ac:dyDescent="0.45">
      <c r="B38" s="34"/>
      <c r="C38" s="22" t="s">
        <v>1563</v>
      </c>
      <c r="D38" s="480" t="str">
        <f>VLOOKUP(C38,'[1]Sales Master'!B$3:D$603,2,0)</f>
        <v>Atap Seeds in Syrup亚嗒子</v>
      </c>
      <c r="E38" s="480"/>
      <c r="F38" s="480"/>
      <c r="G38" s="90">
        <v>1</v>
      </c>
      <c r="H38" s="389" t="str">
        <f>VLOOKUP(C38,'[1]Sales Master'!B$3:F$896,5,0)</f>
        <v>NW (2.1:0.9) 3 kgs</v>
      </c>
      <c r="I38" s="482" t="str">
        <f>VLOOKUP(C38,'[1]Sales Master'!B$3:E$896,4,0)</f>
        <v>2P</v>
      </c>
      <c r="J38" s="482"/>
      <c r="K38" s="394">
        <v>11.5</v>
      </c>
      <c r="L38" s="99"/>
      <c r="M38" s="78"/>
      <c r="N38" s="225"/>
      <c r="O38" s="225"/>
      <c r="P38" s="225"/>
    </row>
    <row r="39" spans="2:16" ht="20.149999999999999" customHeight="1" x14ac:dyDescent="0.45">
      <c r="B39" s="34"/>
      <c r="C39" s="22" t="s">
        <v>1716</v>
      </c>
      <c r="D39" s="508" t="str">
        <f>VLOOKUP(C39,'Sales Master'!B$3:D$499,2,)</f>
        <v>Carnation Milk三花淡奶水</v>
      </c>
      <c r="E39" s="508"/>
      <c r="F39" s="508"/>
      <c r="G39" s="90">
        <v>12</v>
      </c>
      <c r="H39" s="102" t="str">
        <f>VLOOKUP(C39,'Sales Master'!$B$3:$F$3248,5,0)</f>
        <v>405gm/can/罐</v>
      </c>
      <c r="I39" s="482" t="str">
        <f>VLOOKUP(C39,'Sales Master'!$B$3:$E$3248,4,0)</f>
        <v>Threeflower</v>
      </c>
      <c r="J39" s="482"/>
      <c r="K39" s="139">
        <v>1.3</v>
      </c>
      <c r="L39" s="99"/>
      <c r="M39" s="78"/>
      <c r="N39" s="225"/>
      <c r="O39" s="225"/>
      <c r="P39" s="225"/>
    </row>
    <row r="40" spans="2:16" ht="20.149999999999999" customHeight="1" x14ac:dyDescent="0.45">
      <c r="B40" s="155"/>
      <c r="C40" s="196"/>
      <c r="D40" s="50"/>
      <c r="E40" s="50"/>
      <c r="F40" s="50"/>
      <c r="G40" s="196"/>
      <c r="H40" s="189"/>
      <c r="I40" s="189"/>
      <c r="J40" s="189"/>
      <c r="K40" s="163"/>
      <c r="L40" s="158"/>
      <c r="M40" s="78"/>
    </row>
    <row r="41" spans="2:16" ht="20.149999999999999" customHeight="1" thickBot="1" x14ac:dyDescent="0.5">
      <c r="B41" s="41"/>
      <c r="G41" s="78"/>
      <c r="L41" s="42"/>
    </row>
    <row r="42" spans="2:16" ht="20.149999999999999" customHeight="1" x14ac:dyDescent="0.45">
      <c r="B42" s="11" t="s">
        <v>18</v>
      </c>
      <c r="C42" s="7"/>
      <c r="D42" s="7"/>
      <c r="E42" s="7"/>
      <c r="F42" s="7"/>
      <c r="G42" s="207"/>
      <c r="H42" s="7"/>
      <c r="I42" s="7"/>
      <c r="J42" s="510" t="s">
        <v>15</v>
      </c>
      <c r="K42" s="511"/>
      <c r="L42" s="43">
        <f>SUM(L17:L40)</f>
        <v>386.1</v>
      </c>
      <c r="M42" s="76">
        <f>SUM(P18:P34)</f>
        <v>97.6051111111111</v>
      </c>
      <c r="N42" s="201">
        <f>M42/L42</f>
        <v>0.25279749057526829</v>
      </c>
    </row>
    <row r="43" spans="2:16" ht="20.149999999999999" customHeight="1" x14ac:dyDescent="0.45">
      <c r="B43" s="11" t="s">
        <v>19</v>
      </c>
      <c r="C43" s="7"/>
      <c r="D43" s="7"/>
      <c r="E43" s="7"/>
      <c r="F43" s="7"/>
      <c r="G43" s="207"/>
      <c r="H43" s="7"/>
      <c r="I43" s="7"/>
      <c r="J43" s="44" t="s">
        <v>22</v>
      </c>
      <c r="K43" s="45"/>
      <c r="L43" s="46">
        <v>0</v>
      </c>
    </row>
    <row r="44" spans="2:16" ht="20.149999999999999" customHeight="1" x14ac:dyDescent="0.45">
      <c r="B44" s="11" t="s">
        <v>20</v>
      </c>
      <c r="C44" s="7"/>
      <c r="D44" s="7"/>
      <c r="E44" s="7"/>
      <c r="F44" s="7"/>
      <c r="G44" s="7"/>
      <c r="H44" s="7"/>
      <c r="I44" s="7"/>
      <c r="J44" s="486" t="s">
        <v>21</v>
      </c>
      <c r="K44" s="487"/>
      <c r="L44" s="46">
        <f>L42-L43</f>
        <v>386.1</v>
      </c>
    </row>
    <row r="45" spans="2:16" ht="20.149999999999999" customHeight="1" x14ac:dyDescent="0.45">
      <c r="B45" s="11" t="s">
        <v>24</v>
      </c>
      <c r="C45" s="7"/>
      <c r="D45" s="7"/>
      <c r="E45" s="7"/>
      <c r="F45" s="7"/>
      <c r="G45" s="7"/>
      <c r="H45" s="7"/>
      <c r="I45" s="7"/>
      <c r="J45" s="150" t="s">
        <v>17</v>
      </c>
      <c r="K45" s="151">
        <v>7.0000000000000007E-2</v>
      </c>
      <c r="L45" s="47">
        <f>L44*K45</f>
        <v>27.027000000000005</v>
      </c>
    </row>
    <row r="46" spans="2:16" ht="20.149999999999999" customHeight="1" thickBot="1" x14ac:dyDescent="0.5">
      <c r="B46" s="11" t="s">
        <v>1400</v>
      </c>
      <c r="C46" s="7"/>
      <c r="D46" s="7"/>
      <c r="E46" s="7"/>
      <c r="F46" s="7"/>
      <c r="G46" s="7" t="s">
        <v>720</v>
      </c>
      <c r="H46" s="7"/>
      <c r="I46" s="7"/>
      <c r="J46" s="488" t="s">
        <v>23</v>
      </c>
      <c r="K46" s="489"/>
      <c r="L46" s="48">
        <f>L44+L45</f>
        <v>413.12700000000001</v>
      </c>
    </row>
    <row r="47" spans="2:16" ht="20.149999999999999" customHeight="1" x14ac:dyDescent="0.45">
      <c r="B47" s="11" t="s">
        <v>26</v>
      </c>
      <c r="C47" s="7"/>
      <c r="D47" s="7"/>
      <c r="E47" s="7"/>
      <c r="F47" s="7"/>
      <c r="G47" s="7"/>
      <c r="H47" s="7"/>
      <c r="I47" s="7"/>
      <c r="L47" s="42"/>
    </row>
    <row r="48" spans="2:16" ht="20.149999999999999" customHeight="1" x14ac:dyDescent="0.45">
      <c r="B48" s="224" t="s">
        <v>1379</v>
      </c>
      <c r="L48" s="42"/>
    </row>
    <row r="49" spans="2:12" ht="20.149999999999999" customHeight="1" x14ac:dyDescent="0.45">
      <c r="B49" s="224"/>
      <c r="L49" s="42"/>
    </row>
    <row r="50" spans="2:12" ht="20.149999999999999" customHeight="1" x14ac:dyDescent="0.45">
      <c r="B50" s="224"/>
      <c r="L50" s="42"/>
    </row>
    <row r="51" spans="2:12" ht="20.149999999999999" customHeight="1" x14ac:dyDescent="0.45">
      <c r="B51" s="49"/>
      <c r="C51" s="50"/>
      <c r="D51" s="50"/>
      <c r="J51" s="50"/>
      <c r="K51" s="50"/>
      <c r="L51" s="51"/>
    </row>
    <row r="52" spans="2:12" ht="20.149999999999999" customHeight="1" x14ac:dyDescent="0.45">
      <c r="B52" s="41" t="s">
        <v>27</v>
      </c>
      <c r="J52" s="24" t="s">
        <v>28</v>
      </c>
      <c r="L52" s="42"/>
    </row>
    <row r="53" spans="2:12" ht="19" thickBot="1" x14ac:dyDescent="0.5">
      <c r="B53" s="52"/>
      <c r="C53" s="53"/>
      <c r="D53" s="53"/>
      <c r="E53" s="53"/>
      <c r="F53" s="53"/>
      <c r="G53" s="53"/>
      <c r="H53" s="53"/>
      <c r="I53" s="53"/>
      <c r="J53" s="53"/>
      <c r="K53" s="53"/>
      <c r="L53" s="54"/>
    </row>
    <row r="54" spans="2:12" ht="20.5" x14ac:dyDescent="0.45">
      <c r="F54" s="426"/>
    </row>
    <row r="95" spans="14:14" x14ac:dyDescent="0.45">
      <c r="N95" s="24">
        <v>0.9</v>
      </c>
    </row>
  </sheetData>
  <mergeCells count="57">
    <mergeCell ref="J46:K46"/>
    <mergeCell ref="J42:K42"/>
    <mergeCell ref="J44:K44"/>
    <mergeCell ref="D29:F29"/>
    <mergeCell ref="D31:F31"/>
    <mergeCell ref="I29:J29"/>
    <mergeCell ref="I31:J31"/>
    <mergeCell ref="I32:J32"/>
    <mergeCell ref="I33:J33"/>
    <mergeCell ref="D38:F38"/>
    <mergeCell ref="I38:J38"/>
    <mergeCell ref="I30:J30"/>
    <mergeCell ref="D39:F39"/>
    <mergeCell ref="I39:J39"/>
    <mergeCell ref="D35:F35"/>
    <mergeCell ref="I35:J35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D20:F20"/>
    <mergeCell ref="D22:F22"/>
    <mergeCell ref="I22:J22"/>
    <mergeCell ref="D23:F23"/>
    <mergeCell ref="I20:J20"/>
    <mergeCell ref="I23:J23"/>
    <mergeCell ref="D21:F21"/>
    <mergeCell ref="I21:J21"/>
    <mergeCell ref="I17:J17"/>
    <mergeCell ref="D17:F17"/>
    <mergeCell ref="D19:F19"/>
    <mergeCell ref="I19:J19"/>
    <mergeCell ref="D18:F18"/>
    <mergeCell ref="I18:J18"/>
    <mergeCell ref="D27:F27"/>
    <mergeCell ref="D26:F26"/>
    <mergeCell ref="D25:F25"/>
    <mergeCell ref="I24:J24"/>
    <mergeCell ref="I26:J26"/>
    <mergeCell ref="I27:J27"/>
    <mergeCell ref="I25:J25"/>
    <mergeCell ref="D24:F24"/>
    <mergeCell ref="D28:F28"/>
    <mergeCell ref="I28:J28"/>
    <mergeCell ref="I34:J34"/>
    <mergeCell ref="D32:F32"/>
    <mergeCell ref="D33:F33"/>
    <mergeCell ref="D34:F34"/>
    <mergeCell ref="D30:F30"/>
  </mergeCells>
  <conditionalFormatting sqref="C34">
    <cfRule type="duplicateValues" dxfId="25" priority="4"/>
  </conditionalFormatting>
  <conditionalFormatting sqref="C37">
    <cfRule type="duplicateValues" dxfId="24" priority="3"/>
  </conditionalFormatting>
  <conditionalFormatting sqref="C38:C39">
    <cfRule type="duplicateValues" dxfId="23" priority="1"/>
  </conditionalFormatting>
  <printOptions horizontalCentered="1"/>
  <pageMargins left="0.70866141732283472" right="0.51181102362204722" top="0.51181102362204722" bottom="0.51181102362204722" header="0.31496062992125984" footer="0.31496062992125984"/>
  <pageSetup paperSize="9" scale="73" orientation="portrait" horizontalDpi="300" verticalDpi="300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58607-BE58-44CF-A2E0-24A0DD7AFB50}">
  <sheetPr codeName="Sheet75">
    <tabColor rgb="FF92D050"/>
    <pageSetUpPr fitToPage="1"/>
  </sheetPr>
  <dimension ref="B1:P41"/>
  <sheetViews>
    <sheetView topLeftCell="A12" workbookViewId="0">
      <selection activeCell="G20" sqref="G20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7.453125" style="24" customWidth="1"/>
    <col min="7" max="7" width="8.54296875" style="24" customWidth="1"/>
    <col min="8" max="8" width="15.54296875" style="24" customWidth="1"/>
    <col min="9" max="9" width="2.54296875" style="24" customWidth="1"/>
    <col min="10" max="10" width="13.81640625" style="24" customWidth="1"/>
    <col min="11" max="11" width="15" style="24" customWidth="1"/>
    <col min="12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717</v>
      </c>
      <c r="J10" s="29" t="s">
        <v>29</v>
      </c>
      <c r="K10" s="452">
        <v>202209455</v>
      </c>
      <c r="L10" s="453"/>
    </row>
    <row r="11" spans="2:12" ht="20.149999999999999" customHeight="1" x14ac:dyDescent="0.45">
      <c r="B11" s="454" t="s">
        <v>714</v>
      </c>
      <c r="C11" s="455"/>
      <c r="D11" s="456"/>
      <c r="E11" s="30"/>
      <c r="F11" s="457" t="str">
        <f>VLOOKUP(H10,'Delivery Location'!A$4:N$416,2,0)</f>
        <v>K&amp;B                                                                  Blk 15, Woodland Loop.                           #03-10 Singapore 738322</v>
      </c>
      <c r="G11" s="458"/>
      <c r="H11" s="459"/>
      <c r="J11" s="31" t="s">
        <v>11</v>
      </c>
      <c r="K11" s="466">
        <v>44832</v>
      </c>
      <c r="L11" s="467"/>
    </row>
    <row r="12" spans="2:12" ht="20.149999999999999" customHeight="1" x14ac:dyDescent="0.45">
      <c r="B12" s="468" t="s">
        <v>718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533</v>
      </c>
      <c r="L12" s="472"/>
    </row>
    <row r="13" spans="2:12" ht="20.149999999999999" customHeight="1" x14ac:dyDescent="0.45">
      <c r="B13" s="468" t="s">
        <v>719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688</v>
      </c>
      <c r="L13" s="472"/>
    </row>
    <row r="14" spans="2:12" ht="20.149999999999999" customHeight="1" x14ac:dyDescent="0.45">
      <c r="B14" s="468"/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552"/>
      <c r="C15" s="474"/>
      <c r="D15" s="475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16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16" ht="20.149999999999999" customHeight="1" x14ac:dyDescent="0.45">
      <c r="B18" s="70"/>
      <c r="C18" s="22" t="s">
        <v>1606</v>
      </c>
      <c r="D18" s="508" t="str">
        <f>VLOOKUP(C18,'Sales Master'!B$3:D$499,2,)</f>
        <v>White Wheat 大麦</v>
      </c>
      <c r="E18" s="508"/>
      <c r="F18" s="508"/>
      <c r="G18" s="90">
        <v>2</v>
      </c>
      <c r="H18" s="102" t="str">
        <f>VLOOKUP(C18,'Sales Master'!$B$3:$F$3179,5,0)</f>
        <v>10PKT/BAG</v>
      </c>
      <c r="I18" s="482" t="str">
        <f>VLOOKUP(C18,'Sales Master'!$B$3:$E$3179,4,0)</f>
        <v>-</v>
      </c>
      <c r="J18" s="482"/>
      <c r="K18" s="98">
        <f>VLOOKUP(C18,'Sales Master'!B3:$AG$3199,32,0)</f>
        <v>10.5</v>
      </c>
      <c r="L18" s="99">
        <f>K18*G18</f>
        <v>21</v>
      </c>
      <c r="M18" s="78"/>
      <c r="N18" s="225">
        <f>VLOOKUP(C18,'Sales Master'!$B$3:$DA$3038,104,0)</f>
        <v>7.5</v>
      </c>
      <c r="O18" s="225">
        <f>K18-N18</f>
        <v>3</v>
      </c>
      <c r="P18" s="225">
        <f>O18*G18</f>
        <v>6</v>
      </c>
    </row>
    <row r="19" spans="2:16" ht="20.149999999999999" customHeight="1" x14ac:dyDescent="0.45">
      <c r="B19" s="70"/>
      <c r="C19" s="22" t="s">
        <v>1779</v>
      </c>
      <c r="D19" s="508" t="str">
        <f>VLOOKUP(C19,'Sales Master'!B$3:D$499,2,)</f>
        <v>Coconut Sugar椰糖</v>
      </c>
      <c r="E19" s="508"/>
      <c r="F19" s="508"/>
      <c r="G19" s="90">
        <v>4</v>
      </c>
      <c r="H19" s="102" t="str">
        <f>VLOOKUP(C19,'Sales Master'!$B$3:$F$3179,5,0)</f>
        <v>10kgs/ctn</v>
      </c>
      <c r="I19" s="482" t="str">
        <f>VLOOKUP(C19,'Sales Master'!$B$3:$E$3179,4,0)</f>
        <v>Indonesia</v>
      </c>
      <c r="J19" s="482"/>
      <c r="K19" s="98">
        <f>VLOOKUP(C19,'Sales Master'!B4:$AG$3199,32,0)</f>
        <v>34</v>
      </c>
      <c r="L19" s="99">
        <f>K19*G19</f>
        <v>136</v>
      </c>
      <c r="M19" s="78"/>
      <c r="N19" s="225">
        <f>VLOOKUP(C19,'Sales Master'!$B$3:$DA$3038,104,0)</f>
        <v>28</v>
      </c>
      <c r="O19" s="225">
        <f>K19-N19</f>
        <v>6</v>
      </c>
      <c r="P19" s="225">
        <f>O19*G19</f>
        <v>24</v>
      </c>
    </row>
    <row r="20" spans="2:16" ht="20.149999999999999" customHeight="1" x14ac:dyDescent="0.45">
      <c r="B20" s="70"/>
      <c r="C20" s="22"/>
      <c r="D20" s="508"/>
      <c r="E20" s="508"/>
      <c r="F20" s="508"/>
      <c r="G20" s="90"/>
      <c r="H20" s="102"/>
      <c r="I20" s="482"/>
      <c r="J20" s="482"/>
      <c r="K20" s="98"/>
      <c r="L20" s="99"/>
      <c r="M20" s="78"/>
      <c r="N20" s="225"/>
      <c r="O20" s="225"/>
      <c r="P20" s="225"/>
    </row>
    <row r="21" spans="2:16" ht="20.149999999999999" customHeight="1" x14ac:dyDescent="0.45">
      <c r="B21" s="70"/>
      <c r="C21" s="22"/>
      <c r="D21" s="508"/>
      <c r="E21" s="508"/>
      <c r="F21" s="508"/>
      <c r="G21" s="90"/>
      <c r="H21" s="102"/>
      <c r="I21" s="560"/>
      <c r="J21" s="560"/>
      <c r="K21" s="98"/>
      <c r="L21" s="99"/>
      <c r="M21" s="78"/>
      <c r="N21" s="225"/>
      <c r="O21" s="225"/>
      <c r="P21" s="225"/>
    </row>
    <row r="22" spans="2:16" ht="20.149999999999999" customHeight="1" x14ac:dyDescent="0.45">
      <c r="B22" s="70"/>
      <c r="C22" s="22"/>
      <c r="D22" s="508"/>
      <c r="E22" s="508"/>
      <c r="F22" s="508"/>
      <c r="G22" s="90"/>
      <c r="H22" s="102"/>
      <c r="I22" s="560"/>
      <c r="J22" s="560"/>
      <c r="K22" s="98"/>
      <c r="L22" s="99"/>
      <c r="M22" s="78"/>
      <c r="N22" s="225"/>
      <c r="O22" s="225"/>
      <c r="P22" s="225"/>
    </row>
    <row r="23" spans="2:16" ht="20.149999999999999" customHeight="1" x14ac:dyDescent="0.45">
      <c r="B23" s="70"/>
      <c r="C23" s="22"/>
      <c r="G23" s="90"/>
      <c r="H23" s="102"/>
      <c r="I23" s="102"/>
      <c r="J23" s="102"/>
      <c r="K23" s="98"/>
      <c r="L23" s="99"/>
      <c r="M23" s="78"/>
      <c r="N23" s="225"/>
      <c r="O23" s="225"/>
      <c r="P23" s="225"/>
    </row>
    <row r="24" spans="2:16" ht="20.149999999999999" customHeight="1" x14ac:dyDescent="0.45">
      <c r="B24" s="70"/>
      <c r="C24" s="22"/>
      <c r="G24" s="90"/>
      <c r="H24" s="68"/>
      <c r="I24" s="68"/>
      <c r="J24" s="68"/>
      <c r="K24" s="98"/>
      <c r="L24" s="99"/>
      <c r="M24" s="78"/>
      <c r="N24" s="225"/>
      <c r="O24" s="225"/>
      <c r="P24" s="225"/>
    </row>
    <row r="25" spans="2:16" ht="20.149999999999999" customHeight="1" x14ac:dyDescent="0.45">
      <c r="B25" s="70"/>
      <c r="C25" s="22"/>
      <c r="D25" s="480"/>
      <c r="E25" s="480"/>
      <c r="F25" s="480"/>
      <c r="G25" s="90"/>
      <c r="H25" s="68"/>
      <c r="I25" s="481"/>
      <c r="J25" s="481"/>
      <c r="K25" s="394"/>
      <c r="L25" s="99"/>
      <c r="M25" s="78"/>
      <c r="N25" s="225"/>
      <c r="O25" s="225"/>
      <c r="P25" s="225"/>
    </row>
    <row r="26" spans="2:16" ht="20.149999999999999" customHeight="1" x14ac:dyDescent="0.45">
      <c r="B26" s="70"/>
      <c r="C26" s="22"/>
      <c r="D26" s="480"/>
      <c r="E26" s="480"/>
      <c r="F26" s="480"/>
      <c r="G26" s="90"/>
      <c r="H26" s="68"/>
      <c r="I26" s="481"/>
      <c r="J26" s="481"/>
      <c r="K26" s="394"/>
      <c r="L26" s="99"/>
      <c r="M26" s="78"/>
    </row>
    <row r="27" spans="2:16" ht="20.149999999999999" customHeight="1" x14ac:dyDescent="0.45">
      <c r="B27" s="70"/>
      <c r="C27" s="22"/>
      <c r="D27" s="508"/>
      <c r="E27" s="508"/>
      <c r="F27" s="508"/>
      <c r="G27" s="90"/>
      <c r="H27" s="97"/>
      <c r="I27" s="506"/>
      <c r="J27" s="506"/>
      <c r="K27" s="98"/>
      <c r="L27" s="99"/>
      <c r="M27" s="78"/>
    </row>
    <row r="28" spans="2:16" ht="20.149999999999999" customHeight="1" thickBot="1" x14ac:dyDescent="0.5">
      <c r="B28" s="52"/>
      <c r="C28" s="53"/>
      <c r="D28" s="53"/>
      <c r="E28" s="53"/>
      <c r="F28" s="53"/>
      <c r="G28" s="53"/>
      <c r="H28" s="53"/>
      <c r="I28" s="53"/>
      <c r="J28" s="53"/>
      <c r="K28" s="53"/>
      <c r="L28" s="54"/>
    </row>
    <row r="29" spans="2:16" ht="20.149999999999999" customHeight="1" x14ac:dyDescent="0.45">
      <c r="B29" s="11" t="s">
        <v>18</v>
      </c>
      <c r="C29" s="7"/>
      <c r="D29" s="7"/>
      <c r="E29" s="7"/>
      <c r="F29" s="7"/>
      <c r="G29" s="7"/>
      <c r="H29" s="7"/>
      <c r="I29" s="7"/>
      <c r="J29" s="510" t="s">
        <v>15</v>
      </c>
      <c r="K29" s="511"/>
      <c r="L29" s="43">
        <f>SUM(L17:L27)</f>
        <v>157</v>
      </c>
      <c r="M29" s="76">
        <f>SUM(P18:P27)</f>
        <v>30</v>
      </c>
      <c r="N29" s="201">
        <f>M29/L29</f>
        <v>0.19108280254777071</v>
      </c>
    </row>
    <row r="30" spans="2:16" ht="20.149999999999999" customHeight="1" x14ac:dyDescent="0.45">
      <c r="B30" s="11" t="s">
        <v>19</v>
      </c>
      <c r="C30" s="7"/>
      <c r="D30" s="7"/>
      <c r="E30" s="7"/>
      <c r="F30" s="7"/>
      <c r="G30" s="7"/>
      <c r="H30" s="7"/>
      <c r="I30" s="7"/>
      <c r="J30" s="44" t="s">
        <v>22</v>
      </c>
      <c r="K30" s="45"/>
      <c r="L30" s="46">
        <f>L29*K30</f>
        <v>0</v>
      </c>
    </row>
    <row r="31" spans="2:16" ht="20.149999999999999" customHeight="1" x14ac:dyDescent="0.45">
      <c r="B31" s="11" t="s">
        <v>20</v>
      </c>
      <c r="C31" s="7"/>
      <c r="D31" s="7"/>
      <c r="E31" s="7"/>
      <c r="F31" s="7"/>
      <c r="G31" s="7"/>
      <c r="H31" s="7"/>
      <c r="I31" s="7"/>
      <c r="J31" s="486" t="s">
        <v>21</v>
      </c>
      <c r="K31" s="487"/>
      <c r="L31" s="46">
        <f>L29-L30</f>
        <v>157</v>
      </c>
    </row>
    <row r="32" spans="2:16" ht="20.149999999999999" customHeight="1" x14ac:dyDescent="0.45">
      <c r="B32" s="11" t="s">
        <v>24</v>
      </c>
      <c r="C32" s="7"/>
      <c r="D32" s="7"/>
      <c r="E32" s="7"/>
      <c r="F32" s="7"/>
      <c r="G32" s="7"/>
      <c r="H32" s="7"/>
      <c r="I32" s="7"/>
      <c r="J32" s="150" t="s">
        <v>17</v>
      </c>
      <c r="K32" s="151">
        <v>7.0000000000000007E-2</v>
      </c>
      <c r="L32" s="47">
        <f>L31*K32</f>
        <v>10.99</v>
      </c>
    </row>
    <row r="33" spans="2:12" ht="20.149999999999999" customHeight="1" thickBot="1" x14ac:dyDescent="0.5">
      <c r="B33" s="11" t="s">
        <v>25</v>
      </c>
      <c r="C33" s="7"/>
      <c r="D33" s="7"/>
      <c r="E33" s="7"/>
      <c r="F33" s="7"/>
      <c r="G33" s="7"/>
      <c r="H33" s="7"/>
      <c r="I33" s="7"/>
      <c r="J33" s="488" t="s">
        <v>23</v>
      </c>
      <c r="K33" s="489"/>
      <c r="L33" s="48">
        <f>L31+L32</f>
        <v>167.99</v>
      </c>
    </row>
    <row r="34" spans="2:12" ht="20.149999999999999" customHeight="1" x14ac:dyDescent="0.45">
      <c r="B34" s="11" t="s">
        <v>26</v>
      </c>
      <c r="C34" s="7"/>
      <c r="D34" s="7"/>
      <c r="E34" s="7"/>
      <c r="F34" s="7"/>
      <c r="G34" s="7"/>
      <c r="H34" s="7"/>
      <c r="I34" s="7"/>
      <c r="J34" s="377"/>
      <c r="K34" s="362"/>
      <c r="L34" s="42"/>
    </row>
    <row r="35" spans="2:12" ht="20.149999999999999" customHeight="1" x14ac:dyDescent="0.45">
      <c r="B35" s="224" t="s">
        <v>1379</v>
      </c>
      <c r="J35" s="362"/>
      <c r="L35" s="42"/>
    </row>
    <row r="36" spans="2:12" ht="20.149999999999999" customHeight="1" x14ac:dyDescent="0.45">
      <c r="B36" s="41"/>
      <c r="L36" s="42"/>
    </row>
    <row r="37" spans="2:12" ht="20.149999999999999" customHeight="1" x14ac:dyDescent="0.45">
      <c r="B37" s="41"/>
      <c r="K37" s="22"/>
      <c r="L37" s="390"/>
    </row>
    <row r="38" spans="2:12" ht="20.149999999999999" customHeight="1" x14ac:dyDescent="0.45">
      <c r="B38" s="41"/>
      <c r="L38" s="42"/>
    </row>
    <row r="39" spans="2:12" ht="20.149999999999999" customHeight="1" x14ac:dyDescent="0.45">
      <c r="B39" s="49"/>
      <c r="C39" s="50"/>
      <c r="D39" s="50"/>
      <c r="J39" s="50"/>
      <c r="K39" s="50"/>
      <c r="L39" s="51"/>
    </row>
    <row r="40" spans="2:12" ht="20.149999999999999" customHeight="1" x14ac:dyDescent="0.45">
      <c r="B40" s="41" t="s">
        <v>27</v>
      </c>
      <c r="J40" s="24" t="s">
        <v>28</v>
      </c>
      <c r="L40" s="42"/>
    </row>
    <row r="41" spans="2:12" ht="19" thickBot="1" x14ac:dyDescent="0.5">
      <c r="B41" s="52"/>
      <c r="C41" s="53"/>
      <c r="D41" s="53"/>
      <c r="E41" s="53"/>
      <c r="F41" s="53"/>
      <c r="G41" s="53"/>
      <c r="H41" s="53"/>
      <c r="I41" s="53"/>
      <c r="J41" s="53"/>
      <c r="K41" s="53"/>
      <c r="L41" s="54"/>
    </row>
  </sheetData>
  <mergeCells count="34">
    <mergeCell ref="J31:K31"/>
    <mergeCell ref="J33:K33"/>
    <mergeCell ref="J29:K29"/>
    <mergeCell ref="D27:F27"/>
    <mergeCell ref="I27:J27"/>
    <mergeCell ref="B1:L8"/>
    <mergeCell ref="D25:F25"/>
    <mergeCell ref="I25:J25"/>
    <mergeCell ref="D26:F26"/>
    <mergeCell ref="I26:J26"/>
    <mergeCell ref="D17:F17"/>
    <mergeCell ref="I17:J17"/>
    <mergeCell ref="D18:F18"/>
    <mergeCell ref="I18:J18"/>
    <mergeCell ref="K10:L10"/>
    <mergeCell ref="B11:D11"/>
    <mergeCell ref="F11:H15"/>
    <mergeCell ref="K11:L11"/>
    <mergeCell ref="B12:D12"/>
    <mergeCell ref="B15:D15"/>
    <mergeCell ref="K15:L15"/>
    <mergeCell ref="D22:F22"/>
    <mergeCell ref="I21:J21"/>
    <mergeCell ref="I22:J22"/>
    <mergeCell ref="K12:L12"/>
    <mergeCell ref="B13:D13"/>
    <mergeCell ref="K13:L13"/>
    <mergeCell ref="B14:D14"/>
    <mergeCell ref="K14:L14"/>
    <mergeCell ref="D19:F19"/>
    <mergeCell ref="I19:J19"/>
    <mergeCell ref="D20:F20"/>
    <mergeCell ref="I20:J20"/>
    <mergeCell ref="D21:F21"/>
  </mergeCells>
  <conditionalFormatting sqref="C25:C26">
    <cfRule type="duplicateValues" dxfId="22" priority="1148"/>
  </conditionalFormatting>
  <pageMargins left="0.70866141732283472" right="0.31496062992125984" top="0.59055118110236227" bottom="0" header="0.31496062992125984" footer="0.31496062992125984"/>
  <pageSetup paperSize="9" scale="75" orientation="portrait" horizontalDpi="300" verticalDpi="300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7573D5-EFAE-45A4-915E-ABBCE110CFC5}">
  <sheetPr codeName="Sheet202">
    <tabColor rgb="FF92D050"/>
    <pageSetUpPr fitToPage="1"/>
  </sheetPr>
  <dimension ref="B1:P42"/>
  <sheetViews>
    <sheetView topLeftCell="A8" workbookViewId="0">
      <selection activeCell="K12" sqref="K12:L12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7.453125" style="24" customWidth="1"/>
    <col min="7" max="7" width="8.54296875" style="24" customWidth="1"/>
    <col min="8" max="8" width="15.54296875" style="24" customWidth="1"/>
    <col min="9" max="9" width="2.54296875" style="24" customWidth="1"/>
    <col min="10" max="10" width="13.81640625" style="24" customWidth="1"/>
    <col min="11" max="11" width="15" style="24" customWidth="1"/>
    <col min="12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717</v>
      </c>
      <c r="J10" s="29" t="s">
        <v>29</v>
      </c>
      <c r="K10" s="452">
        <v>202209124</v>
      </c>
      <c r="L10" s="453"/>
    </row>
    <row r="11" spans="2:12" ht="20.149999999999999" customHeight="1" x14ac:dyDescent="0.45">
      <c r="B11" s="454" t="s">
        <v>714</v>
      </c>
      <c r="C11" s="455"/>
      <c r="D11" s="456"/>
      <c r="E11" s="30"/>
      <c r="F11" s="457" t="str">
        <f>VLOOKUP(H10,'Delivery Location'!A$4:N$416,2,0)</f>
        <v>K&amp;B                                                                  Blk 15, Woodland Loop.                           #03-10 Singapore 738322</v>
      </c>
      <c r="G11" s="458"/>
      <c r="H11" s="459"/>
      <c r="J11" s="31" t="s">
        <v>11</v>
      </c>
      <c r="K11" s="466">
        <v>44811</v>
      </c>
      <c r="L11" s="467"/>
    </row>
    <row r="12" spans="2:12" ht="20.149999999999999" customHeight="1" x14ac:dyDescent="0.45">
      <c r="B12" s="468" t="s">
        <v>718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533</v>
      </c>
      <c r="L12" s="472"/>
    </row>
    <row r="13" spans="2:12" ht="20.149999999999999" customHeight="1" x14ac:dyDescent="0.45">
      <c r="B13" s="468" t="s">
        <v>719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688</v>
      </c>
      <c r="L13" s="472"/>
    </row>
    <row r="14" spans="2:12" ht="20.149999999999999" customHeight="1" x14ac:dyDescent="0.45">
      <c r="B14" s="468"/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552"/>
      <c r="C15" s="474"/>
      <c r="D15" s="475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16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16" ht="20.149999999999999" customHeight="1" x14ac:dyDescent="0.45">
      <c r="B18" s="70"/>
      <c r="C18" s="22" t="s">
        <v>1779</v>
      </c>
      <c r="D18" s="508" t="str">
        <f>VLOOKUP(C18,'Sales Master'!B$3:D$499,2,)</f>
        <v>Coconut Sugar椰糖</v>
      </c>
      <c r="E18" s="508"/>
      <c r="F18" s="508"/>
      <c r="G18" s="90">
        <v>4</v>
      </c>
      <c r="H18" s="102" t="str">
        <f>VLOOKUP(C18,'Sales Master'!$B$3:$F$3179,5,0)</f>
        <v>10kgs/ctn</v>
      </c>
      <c r="I18" s="560" t="str">
        <f>VLOOKUP(C18,'Sales Master'!$B$3:$E$3179,4,0)</f>
        <v>Indonesia</v>
      </c>
      <c r="J18" s="560"/>
      <c r="K18" s="98">
        <f>VLOOKUP(C18,'Sales Master'!B3:$AG$3199,32,0)</f>
        <v>34</v>
      </c>
      <c r="L18" s="99">
        <f>K18*G18</f>
        <v>136</v>
      </c>
      <c r="M18" s="78"/>
      <c r="N18" s="225">
        <f>VLOOKUP(C18,'Sales Master'!$B$3:$DA$3038,104,0)</f>
        <v>28</v>
      </c>
      <c r="O18" s="225">
        <f>K18-N18</f>
        <v>6</v>
      </c>
      <c r="P18" s="225">
        <f>O18*G18</f>
        <v>24</v>
      </c>
    </row>
    <row r="19" spans="2:16" ht="20.149999999999999" customHeight="1" x14ac:dyDescent="0.45">
      <c r="B19" s="70"/>
      <c r="C19" s="22"/>
      <c r="D19" s="508"/>
      <c r="E19" s="508"/>
      <c r="F19" s="508"/>
      <c r="G19" s="90"/>
      <c r="H19" s="102"/>
      <c r="I19" s="560"/>
      <c r="J19" s="560"/>
      <c r="K19" s="98"/>
      <c r="L19" s="99"/>
      <c r="M19" s="78"/>
      <c r="N19" s="225"/>
      <c r="O19" s="225"/>
      <c r="P19" s="225"/>
    </row>
    <row r="20" spans="2:16" ht="20.149999999999999" customHeight="1" x14ac:dyDescent="0.45">
      <c r="B20" s="70"/>
      <c r="C20" s="22"/>
      <c r="D20" s="508"/>
      <c r="E20" s="508"/>
      <c r="F20" s="508"/>
      <c r="G20" s="90"/>
      <c r="H20" s="102"/>
      <c r="I20" s="560"/>
      <c r="J20" s="560"/>
      <c r="K20" s="98"/>
      <c r="L20" s="99"/>
      <c r="M20" s="78"/>
      <c r="N20" s="225"/>
      <c r="O20" s="225"/>
      <c r="P20" s="225"/>
    </row>
    <row r="21" spans="2:16" ht="20.149999999999999" customHeight="1" x14ac:dyDescent="0.45">
      <c r="B21" s="70"/>
      <c r="C21" s="22"/>
      <c r="D21" s="508"/>
      <c r="E21" s="508"/>
      <c r="F21" s="508"/>
      <c r="G21" s="90"/>
      <c r="H21" s="102"/>
      <c r="I21" s="560"/>
      <c r="J21" s="560"/>
      <c r="K21" s="98"/>
      <c r="L21" s="99"/>
      <c r="M21" s="78"/>
      <c r="N21" s="225"/>
      <c r="O21" s="225"/>
      <c r="P21" s="225"/>
    </row>
    <row r="22" spans="2:16" ht="20.149999999999999" customHeight="1" x14ac:dyDescent="0.45">
      <c r="B22" s="70"/>
      <c r="C22" s="22"/>
      <c r="D22" s="508"/>
      <c r="E22" s="508"/>
      <c r="F22" s="508"/>
      <c r="G22" s="90"/>
      <c r="H22" s="102"/>
      <c r="I22" s="560"/>
      <c r="J22" s="560"/>
      <c r="K22" s="98"/>
      <c r="L22" s="99"/>
      <c r="M22" s="78"/>
      <c r="N22" s="225"/>
      <c r="O22" s="225"/>
      <c r="P22" s="225"/>
    </row>
    <row r="23" spans="2:16" ht="20.149999999999999" customHeight="1" x14ac:dyDescent="0.45">
      <c r="B23" s="70"/>
      <c r="C23" s="22"/>
      <c r="G23" s="90"/>
      <c r="H23" s="102"/>
      <c r="I23" s="102"/>
      <c r="J23" s="102"/>
      <c r="K23" s="98"/>
      <c r="L23" s="99"/>
      <c r="M23" s="78"/>
      <c r="N23" s="225"/>
      <c r="O23" s="225"/>
      <c r="P23" s="225"/>
    </row>
    <row r="24" spans="2:16" ht="20.149999999999999" customHeight="1" x14ac:dyDescent="0.45">
      <c r="B24" s="70"/>
      <c r="C24" s="22"/>
      <c r="G24" s="90"/>
      <c r="H24" s="68"/>
      <c r="I24" s="68"/>
      <c r="J24" s="68"/>
      <c r="K24" s="98"/>
      <c r="L24" s="99"/>
      <c r="M24" s="78"/>
      <c r="N24" s="225"/>
      <c r="O24" s="225"/>
      <c r="P24" s="225"/>
    </row>
    <row r="25" spans="2:16" ht="20.149999999999999" customHeight="1" x14ac:dyDescent="0.45">
      <c r="B25" s="70"/>
      <c r="C25" s="411" t="s">
        <v>2282</v>
      </c>
      <c r="D25" s="230"/>
      <c r="E25" s="230"/>
      <c r="F25" s="230"/>
      <c r="G25" s="90"/>
      <c r="H25" s="68"/>
      <c r="I25" s="68"/>
      <c r="J25" s="68"/>
      <c r="K25" s="394"/>
      <c r="L25" s="99"/>
      <c r="M25" s="78"/>
      <c r="N25" s="225"/>
      <c r="O25" s="225"/>
      <c r="P25" s="225"/>
    </row>
    <row r="26" spans="2:16" ht="20.149999999999999" customHeight="1" x14ac:dyDescent="0.45">
      <c r="B26" s="70"/>
      <c r="C26" s="22" t="s">
        <v>1572</v>
      </c>
      <c r="D26" s="480" t="str">
        <f>VLOOKUP(C26,'[1]Sales Master'!B$3:D$603,2,0)</f>
        <v>Red Bean红豆</v>
      </c>
      <c r="E26" s="480"/>
      <c r="F26" s="480"/>
      <c r="G26" s="90">
        <v>1</v>
      </c>
      <c r="H26" s="68" t="str">
        <f>VLOOKUP(C26,'[1]Sales Master'!B$3:F$896,5,0)</f>
        <v>5 kgs</v>
      </c>
      <c r="I26" s="481" t="str">
        <f>VLOOKUP(C26,'[1]Sales Master'!B$3:E$896,4,0)</f>
        <v>-</v>
      </c>
      <c r="J26" s="481"/>
      <c r="K26" s="394">
        <v>21</v>
      </c>
      <c r="L26" s="99"/>
      <c r="M26" s="78"/>
      <c r="N26" s="225"/>
      <c r="O26" s="225"/>
      <c r="P26" s="225"/>
    </row>
    <row r="27" spans="2:16" ht="20.149999999999999" customHeight="1" x14ac:dyDescent="0.45">
      <c r="B27" s="70"/>
      <c r="C27" s="22"/>
      <c r="D27" s="480"/>
      <c r="E27" s="480"/>
      <c r="F27" s="480"/>
      <c r="G27" s="90"/>
      <c r="H27" s="68"/>
      <c r="I27" s="481"/>
      <c r="J27" s="481"/>
      <c r="K27" s="394"/>
      <c r="L27" s="99"/>
      <c r="M27" s="78"/>
    </row>
    <row r="28" spans="2:16" ht="20.149999999999999" customHeight="1" x14ac:dyDescent="0.45">
      <c r="B28" s="70"/>
      <c r="C28" s="22"/>
      <c r="D28" s="508"/>
      <c r="E28" s="508"/>
      <c r="F28" s="508"/>
      <c r="G28" s="90"/>
      <c r="H28" s="97"/>
      <c r="I28" s="506"/>
      <c r="J28" s="506"/>
      <c r="K28" s="98"/>
      <c r="L28" s="99"/>
      <c r="M28" s="78"/>
    </row>
    <row r="29" spans="2:16" ht="20.149999999999999" customHeight="1" thickBot="1" x14ac:dyDescent="0.5">
      <c r="B29" s="52"/>
      <c r="C29" s="53"/>
      <c r="D29" s="53"/>
      <c r="E29" s="53"/>
      <c r="F29" s="53"/>
      <c r="G29" s="53"/>
      <c r="H29" s="53"/>
      <c r="I29" s="53"/>
      <c r="J29" s="53"/>
      <c r="K29" s="53"/>
      <c r="L29" s="54"/>
    </row>
    <row r="30" spans="2:16" ht="20.149999999999999" customHeight="1" x14ac:dyDescent="0.45">
      <c r="B30" s="11" t="s">
        <v>18</v>
      </c>
      <c r="C30" s="7"/>
      <c r="D30" s="7"/>
      <c r="E30" s="7"/>
      <c r="F30" s="7"/>
      <c r="G30" s="7"/>
      <c r="H30" s="7"/>
      <c r="I30" s="7"/>
      <c r="J30" s="510" t="s">
        <v>15</v>
      </c>
      <c r="K30" s="511"/>
      <c r="L30" s="43">
        <f>SUM(L17:L28)</f>
        <v>136</v>
      </c>
      <c r="M30" s="76">
        <f>SUM(P18:P28)</f>
        <v>24</v>
      </c>
      <c r="N30" s="201">
        <f>M30/L30</f>
        <v>0.17647058823529413</v>
      </c>
    </row>
    <row r="31" spans="2:16" ht="20.149999999999999" customHeight="1" x14ac:dyDescent="0.45">
      <c r="B31" s="11" t="s">
        <v>19</v>
      </c>
      <c r="C31" s="7"/>
      <c r="D31" s="7"/>
      <c r="E31" s="7"/>
      <c r="F31" s="7"/>
      <c r="G31" s="7"/>
      <c r="H31" s="7"/>
      <c r="I31" s="7"/>
      <c r="J31" s="44" t="s">
        <v>22</v>
      </c>
      <c r="K31" s="45"/>
      <c r="L31" s="46">
        <f>L30*K31</f>
        <v>0</v>
      </c>
    </row>
    <row r="32" spans="2:16" ht="20.149999999999999" customHeight="1" x14ac:dyDescent="0.45">
      <c r="B32" s="11" t="s">
        <v>20</v>
      </c>
      <c r="C32" s="7"/>
      <c r="D32" s="7"/>
      <c r="E32" s="7"/>
      <c r="F32" s="7"/>
      <c r="G32" s="7"/>
      <c r="H32" s="7"/>
      <c r="I32" s="7"/>
      <c r="J32" s="486" t="s">
        <v>21</v>
      </c>
      <c r="K32" s="487"/>
      <c r="L32" s="46">
        <f>L30-L31</f>
        <v>136</v>
      </c>
    </row>
    <row r="33" spans="2:12" ht="20.149999999999999" customHeight="1" x14ac:dyDescent="0.45">
      <c r="B33" s="11" t="s">
        <v>24</v>
      </c>
      <c r="C33" s="7"/>
      <c r="D33" s="7"/>
      <c r="E33" s="7"/>
      <c r="F33" s="7"/>
      <c r="G33" s="7"/>
      <c r="H33" s="7"/>
      <c r="I33" s="7"/>
      <c r="J33" s="150" t="s">
        <v>17</v>
      </c>
      <c r="K33" s="151">
        <v>7.0000000000000007E-2</v>
      </c>
      <c r="L33" s="47">
        <f>L32*K33</f>
        <v>9.5200000000000014</v>
      </c>
    </row>
    <row r="34" spans="2:12" ht="20.149999999999999" customHeight="1" thickBot="1" x14ac:dyDescent="0.5">
      <c r="B34" s="11" t="s">
        <v>25</v>
      </c>
      <c r="C34" s="7"/>
      <c r="D34" s="7"/>
      <c r="E34" s="7"/>
      <c r="F34" s="7"/>
      <c r="G34" s="7"/>
      <c r="H34" s="7"/>
      <c r="I34" s="7"/>
      <c r="J34" s="488" t="s">
        <v>23</v>
      </c>
      <c r="K34" s="489"/>
      <c r="L34" s="48">
        <f>L32+L33</f>
        <v>145.52000000000001</v>
      </c>
    </row>
    <row r="35" spans="2:12" ht="20.149999999999999" customHeight="1" x14ac:dyDescent="0.45">
      <c r="B35" s="11" t="s">
        <v>26</v>
      </c>
      <c r="C35" s="7"/>
      <c r="D35" s="7"/>
      <c r="E35" s="7"/>
      <c r="F35" s="7"/>
      <c r="G35" s="7"/>
      <c r="H35" s="7"/>
      <c r="I35" s="7"/>
      <c r="J35" s="377"/>
      <c r="K35" s="362"/>
      <c r="L35" s="42"/>
    </row>
    <row r="36" spans="2:12" ht="20.149999999999999" customHeight="1" x14ac:dyDescent="0.45">
      <c r="B36" s="224" t="s">
        <v>1379</v>
      </c>
      <c r="J36" s="362"/>
      <c r="L36" s="42"/>
    </row>
    <row r="37" spans="2:12" ht="20.149999999999999" customHeight="1" x14ac:dyDescent="0.45">
      <c r="B37" s="41"/>
      <c r="L37" s="42"/>
    </row>
    <row r="38" spans="2:12" ht="20.149999999999999" customHeight="1" x14ac:dyDescent="0.45">
      <c r="B38" s="41"/>
      <c r="K38" s="22"/>
      <c r="L38" s="390"/>
    </row>
    <row r="39" spans="2:12" ht="20.149999999999999" customHeight="1" x14ac:dyDescent="0.45">
      <c r="B39" s="41"/>
      <c r="L39" s="42"/>
    </row>
    <row r="40" spans="2:12" ht="20.149999999999999" customHeight="1" x14ac:dyDescent="0.45">
      <c r="B40" s="49"/>
      <c r="C40" s="50"/>
      <c r="D40" s="50"/>
      <c r="J40" s="50"/>
      <c r="K40" s="50"/>
      <c r="L40" s="51"/>
    </row>
    <row r="41" spans="2:12" ht="20.149999999999999" customHeight="1" x14ac:dyDescent="0.45">
      <c r="B41" s="41" t="s">
        <v>27</v>
      </c>
      <c r="J41" s="24" t="s">
        <v>28</v>
      </c>
      <c r="L41" s="42"/>
    </row>
    <row r="42" spans="2:12" ht="19" thickBot="1" x14ac:dyDescent="0.5">
      <c r="B42" s="52"/>
      <c r="C42" s="53"/>
      <c r="D42" s="53"/>
      <c r="E42" s="53"/>
      <c r="F42" s="53"/>
      <c r="G42" s="53"/>
      <c r="H42" s="53"/>
      <c r="I42" s="53"/>
      <c r="J42" s="53"/>
      <c r="K42" s="53"/>
      <c r="L42" s="54"/>
    </row>
  </sheetData>
  <mergeCells count="34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6:F26"/>
    <mergeCell ref="I26:J26"/>
    <mergeCell ref="J32:K32"/>
    <mergeCell ref="J34:K34"/>
    <mergeCell ref="D27:F27"/>
    <mergeCell ref="I27:J27"/>
    <mergeCell ref="D28:F28"/>
    <mergeCell ref="I28:J28"/>
    <mergeCell ref="J30:K30"/>
  </mergeCells>
  <conditionalFormatting sqref="C25:C27">
    <cfRule type="duplicateValues" dxfId="21" priority="1"/>
  </conditionalFormatting>
  <pageMargins left="0.70866141732283472" right="0.31496062992125984" top="0.59055118110236227" bottom="0" header="0.31496062992125984" footer="0.31496062992125984"/>
  <pageSetup paperSize="9" scale="74" orientation="portrait" horizontalDpi="300" verticalDpi="300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7B1104-3DAD-494A-9B30-9066D363BD43}">
  <sheetPr codeName="Sheet79">
    <tabColor rgb="FF92D050"/>
    <pageSetUpPr fitToPage="1"/>
  </sheetPr>
  <dimension ref="A1:P46"/>
  <sheetViews>
    <sheetView topLeftCell="A34" zoomScaleNormal="100" workbookViewId="0">
      <selection activeCell="H24" sqref="H24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6.54296875" style="24" customWidth="1"/>
    <col min="7" max="7" width="8.54296875" style="24" customWidth="1"/>
    <col min="8" max="8" width="15.54296875" style="24" customWidth="1"/>
    <col min="9" max="9" width="2.54296875" style="24" customWidth="1"/>
    <col min="10" max="10" width="15.54296875" style="24" customWidth="1"/>
    <col min="11" max="11" width="10.54296875" style="24" customWidth="1"/>
    <col min="12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159</v>
      </c>
      <c r="J10" s="29" t="s">
        <v>29</v>
      </c>
      <c r="K10" s="452">
        <v>202209411</v>
      </c>
      <c r="L10" s="453"/>
    </row>
    <row r="11" spans="2:12" ht="20.149999999999999" customHeight="1" x14ac:dyDescent="0.45">
      <c r="B11" s="454" t="s">
        <v>513</v>
      </c>
      <c r="C11" s="455"/>
      <c r="D11" s="456"/>
      <c r="E11" s="30"/>
      <c r="F11" s="457" t="str">
        <f>VLOOKUP(H10,'Delivery Location'!A$4:N$416,2,0)</f>
        <v>Dessert Station                                         270 Queen Street #01-41 Albert Centre. Singapore</v>
      </c>
      <c r="G11" s="458"/>
      <c r="H11" s="459"/>
      <c r="J11" s="31" t="s">
        <v>11</v>
      </c>
      <c r="K11" s="466">
        <v>44830</v>
      </c>
      <c r="L11" s="467"/>
    </row>
    <row r="12" spans="2:12" ht="20.149999999999999" customHeight="1" x14ac:dyDescent="0.45">
      <c r="B12" s="468" t="s">
        <v>644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533</v>
      </c>
      <c r="L12" s="472"/>
    </row>
    <row r="13" spans="2:12" ht="20.149999999999999" customHeight="1" x14ac:dyDescent="0.45">
      <c r="B13" s="468" t="s">
        <v>514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14</v>
      </c>
      <c r="L13" s="472"/>
    </row>
    <row r="14" spans="2:12" ht="20.149999999999999" customHeight="1" x14ac:dyDescent="0.45">
      <c r="B14" s="468" t="s">
        <v>2210</v>
      </c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55"/>
      <c r="C15" s="56"/>
      <c r="D15" s="57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1:16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1:16" ht="20.149999999999999" customHeight="1" x14ac:dyDescent="0.45">
      <c r="A18" s="24" t="s">
        <v>720</v>
      </c>
      <c r="B18" s="34"/>
      <c r="C18" s="22" t="s">
        <v>1440</v>
      </c>
      <c r="D18" s="508" t="str">
        <f>VLOOKUP(C18,'Sales Master'!B$3:D$499,2,)</f>
        <v xml:space="preserve">Fresh Soursop 红毛榴莲 </v>
      </c>
      <c r="E18" s="508"/>
      <c r="F18" s="508"/>
      <c r="G18" s="90">
        <v>2</v>
      </c>
      <c r="H18" s="389" t="str">
        <f>VLOOKUP(C18,'Sales Master'!$B$3:$F$3249,5,0)</f>
        <v>5 KGS/PKT</v>
      </c>
      <c r="I18" s="482" t="str">
        <f>VLOOKUP(C18,'Sales Master'!$B$3:$E$3249,4,0)</f>
        <v>DO!</v>
      </c>
      <c r="J18" s="482"/>
      <c r="K18" s="94">
        <f>VLOOKUP(C18,'Sales Master'!B$3:M$499,12,0)</f>
        <v>32</v>
      </c>
      <c r="L18" s="77">
        <f>K18*G18</f>
        <v>64</v>
      </c>
      <c r="M18" s="78"/>
      <c r="N18" s="225">
        <f>VLOOKUP(C18,'Sales Master'!$B$3:$DA$3038,104,0)</f>
        <v>18.95</v>
      </c>
      <c r="O18" s="225">
        <f>K18-N18</f>
        <v>13.05</v>
      </c>
      <c r="P18" s="225">
        <f>O18*G18</f>
        <v>26.1</v>
      </c>
    </row>
    <row r="19" spans="1:16" ht="20.149999999999999" customHeight="1" x14ac:dyDescent="0.45">
      <c r="B19" s="34"/>
      <c r="C19" s="22" t="s">
        <v>1482</v>
      </c>
      <c r="D19" s="508" t="str">
        <f>VLOOKUP(C19,'Sales Master'!B$3:D$499,2,)</f>
        <v>Tadpole蝌蚪</v>
      </c>
      <c r="E19" s="508"/>
      <c r="F19" s="508"/>
      <c r="G19" s="90">
        <v>2</v>
      </c>
      <c r="H19" s="389" t="str">
        <f>VLOOKUP(C19,'Sales Master'!$B$3:$F$3249,5,0)</f>
        <v>1 kg/Bag</v>
      </c>
      <c r="I19" s="482" t="str">
        <f>VLOOKUP(C19,'Sales Master'!$B$3:$E$3249,4,0)</f>
        <v>FJ</v>
      </c>
      <c r="J19" s="482"/>
      <c r="K19" s="94">
        <f>VLOOKUP(C19,'Sales Master'!B$3:M$499,12,0)</f>
        <v>6.5</v>
      </c>
      <c r="L19" s="77">
        <f>K19*G19</f>
        <v>13</v>
      </c>
      <c r="M19" s="78"/>
      <c r="N19" s="225">
        <f>VLOOKUP(C19,'Sales Master'!$B$3:$DA$3038,104,0)</f>
        <v>5</v>
      </c>
      <c r="O19" s="225">
        <f>K19-N19</f>
        <v>1.5</v>
      </c>
      <c r="P19" s="225">
        <f>O19*G19</f>
        <v>3</v>
      </c>
    </row>
    <row r="20" spans="1:16" ht="20.149999999999999" customHeight="1" x14ac:dyDescent="0.45">
      <c r="B20" s="34"/>
      <c r="C20" s="22" t="s">
        <v>1563</v>
      </c>
      <c r="D20" s="508" t="str">
        <f>VLOOKUP(C20,'Sales Master'!B$3:D$499,2,)</f>
        <v>Atap Seeds in Syrup亚嗒子</v>
      </c>
      <c r="E20" s="508"/>
      <c r="F20" s="508"/>
      <c r="G20" s="90">
        <v>6</v>
      </c>
      <c r="H20" s="429" t="str">
        <f>VLOOKUP(C20,'Sales Master'!$B$3:$F$3249,5,0)</f>
        <v>NW (2.1:0.9) 3 kgs</v>
      </c>
      <c r="I20" s="482" t="str">
        <f>VLOOKUP(C20,'Sales Master'!$B$3:$E$3249,4,0)</f>
        <v>DO!</v>
      </c>
      <c r="J20" s="482"/>
      <c r="K20" s="94">
        <f>VLOOKUP(C20,'Sales Master'!B$3:M$499,12,0)</f>
        <v>11.5</v>
      </c>
      <c r="L20" s="77">
        <f>K20*G20</f>
        <v>69</v>
      </c>
      <c r="M20" s="78"/>
      <c r="N20" s="225">
        <f>VLOOKUP(C20,'Sales Master'!$B$3:$DA$3038,104,0)</f>
        <v>5.628000000000001</v>
      </c>
      <c r="O20" s="225">
        <f>K20-N20</f>
        <v>5.871999999999999</v>
      </c>
      <c r="P20" s="225">
        <f>O20*G20</f>
        <v>35.231999999999992</v>
      </c>
    </row>
    <row r="21" spans="1:16" ht="20.149999999999999" customHeight="1" x14ac:dyDescent="0.45">
      <c r="B21" s="34"/>
      <c r="C21" s="22" t="s">
        <v>1805</v>
      </c>
      <c r="D21" s="508" t="str">
        <f>VLOOKUP(C21,'Sales Master'!B$3:D$499,2,)</f>
        <v>Food Coloring - Liquid)颜色-水</v>
      </c>
      <c r="E21" s="508"/>
      <c r="F21" s="508"/>
      <c r="G21" s="90">
        <v>1</v>
      </c>
      <c r="H21" s="391" t="str">
        <f>VLOOKUP(C21,'Sales Master'!$B$3:$F$3249,5,0)</f>
        <v>500 ML/BTL</v>
      </c>
      <c r="I21" s="482" t="str">
        <f>VLOOKUP(C21,'Sales Master'!$B$3:$E$3249,4,0)</f>
        <v>Red/红</v>
      </c>
      <c r="J21" s="482"/>
      <c r="K21" s="94">
        <f>VLOOKUP(C21,'Sales Master'!B$3:M$499,12,0)</f>
        <v>2.5</v>
      </c>
      <c r="L21" s="77">
        <f t="shared" ref="L21:L22" si="0">K21*G21</f>
        <v>2.5</v>
      </c>
      <c r="M21" s="78"/>
      <c r="N21" s="225">
        <f>VLOOKUP(C21,'Sales Master'!$B$3:$DA$3038,104,0)</f>
        <v>1.5999999999999999</v>
      </c>
      <c r="O21" s="225">
        <f t="shared" ref="O21:O22" si="1">K21-N21</f>
        <v>0.90000000000000013</v>
      </c>
      <c r="P21" s="225">
        <f t="shared" ref="P21:P22" si="2">O21*G21</f>
        <v>0.90000000000000013</v>
      </c>
    </row>
    <row r="22" spans="1:16" ht="20.149999999999999" customHeight="1" x14ac:dyDescent="0.45">
      <c r="B22" s="34"/>
      <c r="C22" s="22" t="s">
        <v>1806</v>
      </c>
      <c r="D22" s="508" t="str">
        <f>VLOOKUP(C22,'Sales Master'!B$3:D$499,2,)</f>
        <v>Food Coloring - Liquid)颜色-水</v>
      </c>
      <c r="E22" s="508"/>
      <c r="F22" s="508"/>
      <c r="G22" s="90">
        <v>3</v>
      </c>
      <c r="H22" s="391" t="str">
        <f>VLOOKUP(C22,'Sales Master'!$B$3:$F$3249,5,0)</f>
        <v>500 ML/BTL</v>
      </c>
      <c r="I22" s="482" t="str">
        <f>VLOOKUP(C22,'Sales Master'!$B$3:$E$3249,4,0)</f>
        <v>Green/青</v>
      </c>
      <c r="J22" s="482"/>
      <c r="K22" s="94">
        <f>VLOOKUP(C22,'Sales Master'!B$3:M$499,12,0)</f>
        <v>2.5</v>
      </c>
      <c r="L22" s="77">
        <f t="shared" si="0"/>
        <v>7.5</v>
      </c>
      <c r="M22" s="78"/>
      <c r="N22" s="225">
        <f>VLOOKUP(C22,'Sales Master'!$B$3:$DA$3038,104,0)</f>
        <v>1.6</v>
      </c>
      <c r="O22" s="225">
        <f t="shared" si="1"/>
        <v>0.89999999999999991</v>
      </c>
      <c r="P22" s="225">
        <f t="shared" si="2"/>
        <v>2.6999999999999997</v>
      </c>
    </row>
    <row r="23" spans="1:16" ht="20.149999999999999" customHeight="1" x14ac:dyDescent="0.45">
      <c r="B23" s="34"/>
      <c r="C23" s="22"/>
      <c r="D23" s="508"/>
      <c r="E23" s="508"/>
      <c r="F23" s="508"/>
      <c r="G23" s="90" t="s">
        <v>720</v>
      </c>
      <c r="H23" s="391"/>
      <c r="I23" s="512"/>
      <c r="J23" s="512"/>
      <c r="K23" s="94"/>
      <c r="L23" s="77"/>
      <c r="M23" s="78"/>
      <c r="N23" s="225"/>
      <c r="O23" s="225"/>
      <c r="P23" s="225"/>
    </row>
    <row r="24" spans="1:16" ht="20.149999999999999" customHeight="1" x14ac:dyDescent="0.45">
      <c r="B24" s="34"/>
      <c r="C24" s="22"/>
      <c r="G24" s="90"/>
      <c r="H24" s="391"/>
      <c r="I24" s="389"/>
      <c r="J24" s="389"/>
      <c r="K24" s="94"/>
      <c r="L24" s="77"/>
      <c r="M24" s="78"/>
      <c r="N24" s="225"/>
      <c r="O24" s="225"/>
      <c r="P24" s="225"/>
    </row>
    <row r="25" spans="1:16" ht="20.149999999999999" customHeight="1" x14ac:dyDescent="0.45">
      <c r="B25" s="34"/>
      <c r="C25" s="402"/>
      <c r="G25" s="90"/>
      <c r="H25" s="68"/>
      <c r="I25" s="68"/>
      <c r="J25" s="68"/>
      <c r="K25" s="286"/>
      <c r="L25" s="99"/>
      <c r="M25" s="78"/>
    </row>
    <row r="26" spans="1:16" ht="20.149999999999999" customHeight="1" x14ac:dyDescent="0.45">
      <c r="B26" s="34"/>
      <c r="C26" s="22"/>
      <c r="D26" s="505"/>
      <c r="E26" s="505"/>
      <c r="F26" s="505"/>
      <c r="G26" s="90"/>
      <c r="H26" s="97"/>
      <c r="I26" s="506"/>
      <c r="J26" s="506"/>
      <c r="K26" s="286"/>
      <c r="L26" s="99"/>
      <c r="M26" s="78"/>
    </row>
    <row r="27" spans="1:16" ht="20.149999999999999" customHeight="1" x14ac:dyDescent="0.45">
      <c r="B27" s="34"/>
      <c r="C27" s="90"/>
      <c r="D27" s="402"/>
      <c r="E27" s="402"/>
      <c r="F27" s="402"/>
      <c r="G27" s="90"/>
      <c r="H27" s="68"/>
      <c r="I27" s="68"/>
      <c r="J27" s="68"/>
      <c r="K27" s="286"/>
      <c r="L27" s="99"/>
      <c r="M27" s="78"/>
    </row>
    <row r="28" spans="1:16" ht="20.149999999999999" customHeight="1" x14ac:dyDescent="0.45">
      <c r="B28" s="34"/>
      <c r="C28" s="299"/>
      <c r="G28" s="90"/>
      <c r="H28" s="68"/>
      <c r="I28" s="68"/>
      <c r="J28" s="68"/>
      <c r="K28" s="286"/>
      <c r="L28" s="99"/>
      <c r="M28" s="78"/>
    </row>
    <row r="29" spans="1:16" ht="20.149999999999999" customHeight="1" x14ac:dyDescent="0.45">
      <c r="B29" s="34"/>
      <c r="C29" s="22"/>
      <c r="D29" s="505"/>
      <c r="E29" s="505"/>
      <c r="F29" s="505"/>
      <c r="G29" s="90"/>
      <c r="H29" s="97"/>
      <c r="I29" s="506"/>
      <c r="J29" s="506"/>
      <c r="K29" s="286"/>
      <c r="L29" s="99"/>
      <c r="M29" s="78"/>
    </row>
    <row r="30" spans="1:16" ht="20.149999999999999" customHeight="1" x14ac:dyDescent="0.45">
      <c r="B30" s="34"/>
      <c r="C30" s="22"/>
      <c r="D30" s="230"/>
      <c r="E30" s="230"/>
      <c r="F30" s="230"/>
      <c r="G30" s="90"/>
      <c r="H30" s="68"/>
      <c r="I30" s="68"/>
      <c r="J30" s="68"/>
      <c r="K30" s="286"/>
      <c r="L30" s="99"/>
      <c r="M30" s="78"/>
    </row>
    <row r="31" spans="1:16" ht="20.149999999999999" customHeight="1" x14ac:dyDescent="0.45">
      <c r="B31" s="34"/>
      <c r="C31" s="299"/>
      <c r="G31" s="90"/>
      <c r="H31" s="68"/>
      <c r="I31" s="68"/>
      <c r="J31" s="68"/>
      <c r="K31" s="286"/>
      <c r="L31" s="99"/>
      <c r="M31" s="78"/>
    </row>
    <row r="32" spans="1:16" ht="20.149999999999999" customHeight="1" x14ac:dyDescent="0.45">
      <c r="B32" s="34"/>
      <c r="C32" s="22"/>
      <c r="D32" s="505"/>
      <c r="E32" s="505"/>
      <c r="F32" s="505"/>
      <c r="G32" s="90"/>
      <c r="H32" s="97"/>
      <c r="I32" s="506"/>
      <c r="J32" s="506"/>
      <c r="K32" s="286"/>
      <c r="L32" s="99"/>
      <c r="M32" s="78"/>
    </row>
    <row r="33" spans="2:14" ht="20.149999999999999" customHeight="1" thickBot="1" x14ac:dyDescent="0.5">
      <c r="B33" s="37"/>
      <c r="C33" s="38"/>
      <c r="D33" s="509"/>
      <c r="E33" s="509"/>
      <c r="F33" s="509"/>
      <c r="G33" s="38"/>
      <c r="H33" s="69"/>
      <c r="I33" s="451"/>
      <c r="J33" s="451"/>
      <c r="K33" s="39"/>
      <c r="L33" s="40"/>
    </row>
    <row r="34" spans="2:14" ht="20.149999999999999" customHeight="1" thickBot="1" x14ac:dyDescent="0.5">
      <c r="B34" s="41"/>
      <c r="L34" s="42"/>
    </row>
    <row r="35" spans="2:14" ht="20.149999999999999" customHeight="1" x14ac:dyDescent="0.45">
      <c r="B35" s="41"/>
      <c r="C35" s="7"/>
      <c r="D35" s="7"/>
      <c r="E35" s="7"/>
      <c r="F35" s="7"/>
      <c r="G35" s="7"/>
      <c r="H35" s="7"/>
      <c r="I35" s="7"/>
      <c r="J35" s="510" t="s">
        <v>15</v>
      </c>
      <c r="K35" s="511"/>
      <c r="L35" s="43">
        <f>SUM(L17:L32)</f>
        <v>156</v>
      </c>
      <c r="M35" s="76">
        <f>SUM(P18:P22)</f>
        <v>67.932000000000002</v>
      </c>
      <c r="N35" s="201">
        <f>M35/L35</f>
        <v>0.43546153846153846</v>
      </c>
    </row>
    <row r="36" spans="2:14" ht="20.149999999999999" customHeight="1" x14ac:dyDescent="0.45">
      <c r="B36" s="11" t="s">
        <v>18</v>
      </c>
      <c r="C36" s="7"/>
      <c r="D36" s="7"/>
      <c r="E36" s="7"/>
      <c r="F36" s="7"/>
      <c r="G36" s="7"/>
      <c r="H36" s="7"/>
      <c r="I36" s="7"/>
      <c r="J36" s="44" t="s">
        <v>22</v>
      </c>
      <c r="K36" s="45"/>
      <c r="L36" s="46">
        <f>L35*K36</f>
        <v>0</v>
      </c>
      <c r="M36" s="76"/>
    </row>
    <row r="37" spans="2:14" ht="20.149999999999999" customHeight="1" x14ac:dyDescent="0.45">
      <c r="B37" s="11" t="s">
        <v>19</v>
      </c>
      <c r="C37" s="7"/>
      <c r="D37" s="7"/>
      <c r="E37" s="7"/>
      <c r="F37" s="7"/>
      <c r="G37" s="7"/>
      <c r="H37" s="7"/>
      <c r="I37" s="7"/>
      <c r="J37" s="486" t="s">
        <v>21</v>
      </c>
      <c r="K37" s="487"/>
      <c r="L37" s="46">
        <f>L35-L36</f>
        <v>156</v>
      </c>
    </row>
    <row r="38" spans="2:14" ht="20.149999999999999" customHeight="1" x14ac:dyDescent="0.45">
      <c r="B38" s="11" t="s">
        <v>20</v>
      </c>
      <c r="C38" s="7"/>
      <c r="D38" s="7"/>
      <c r="E38" s="7"/>
      <c r="F38" s="7"/>
      <c r="G38" s="7"/>
      <c r="H38" s="7"/>
      <c r="I38" s="7"/>
      <c r="J38" s="150" t="s">
        <v>17</v>
      </c>
      <c r="K38" s="151">
        <v>7.0000000000000007E-2</v>
      </c>
      <c r="L38" s="47">
        <f>L37*K38</f>
        <v>10.920000000000002</v>
      </c>
    </row>
    <row r="39" spans="2:14" ht="20.149999999999999" customHeight="1" thickBot="1" x14ac:dyDescent="0.5">
      <c r="B39" s="11" t="s">
        <v>24</v>
      </c>
      <c r="C39" s="7"/>
      <c r="D39" s="7"/>
      <c r="E39" s="7"/>
      <c r="F39" s="7"/>
      <c r="G39" s="7"/>
      <c r="H39" s="7"/>
      <c r="I39" s="7"/>
      <c r="J39" s="488" t="s">
        <v>23</v>
      </c>
      <c r="K39" s="489"/>
      <c r="L39" s="48">
        <f>L37+L38</f>
        <v>166.92000000000002</v>
      </c>
    </row>
    <row r="40" spans="2:14" ht="20.149999999999999" customHeight="1" x14ac:dyDescent="0.45">
      <c r="B40" s="11" t="s">
        <v>1400</v>
      </c>
      <c r="C40" s="7"/>
      <c r="D40" s="7"/>
      <c r="E40" s="7"/>
      <c r="F40" s="7"/>
      <c r="G40" s="7"/>
      <c r="H40" s="7"/>
      <c r="I40" s="7"/>
      <c r="L40" s="42"/>
    </row>
    <row r="41" spans="2:14" ht="20.149999999999999" customHeight="1" x14ac:dyDescent="0.45">
      <c r="B41" s="11" t="s">
        <v>26</v>
      </c>
      <c r="L41" s="42"/>
    </row>
    <row r="42" spans="2:14" ht="20.149999999999999" customHeight="1" x14ac:dyDescent="0.45">
      <c r="B42" s="224" t="s">
        <v>1379</v>
      </c>
      <c r="L42" s="42"/>
    </row>
    <row r="43" spans="2:14" ht="20.149999999999999" customHeight="1" x14ac:dyDescent="0.45">
      <c r="B43" s="41"/>
      <c r="L43" s="42"/>
    </row>
    <row r="44" spans="2:14" ht="20.149999999999999" customHeight="1" x14ac:dyDescent="0.45">
      <c r="B44" s="41"/>
      <c r="L44" s="42"/>
    </row>
    <row r="45" spans="2:14" ht="20.149999999999999" customHeight="1" x14ac:dyDescent="0.45">
      <c r="B45" s="49"/>
      <c r="C45" s="50"/>
      <c r="D45" s="50"/>
      <c r="J45" s="50"/>
      <c r="K45" s="50"/>
      <c r="L45" s="51"/>
    </row>
    <row r="46" spans="2:14" ht="20.149999999999999" customHeight="1" thickBot="1" x14ac:dyDescent="0.5">
      <c r="B46" s="52" t="s">
        <v>27</v>
      </c>
      <c r="C46" s="53"/>
      <c r="D46" s="53"/>
      <c r="E46" s="53"/>
      <c r="F46" s="53"/>
      <c r="G46" s="53"/>
      <c r="H46" s="53"/>
      <c r="I46" s="53"/>
      <c r="J46" s="53" t="s">
        <v>28</v>
      </c>
      <c r="K46" s="53"/>
      <c r="L46" s="54"/>
    </row>
  </sheetData>
  <mergeCells count="37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D22:F22"/>
    <mergeCell ref="I22:J22"/>
    <mergeCell ref="D17:F17"/>
    <mergeCell ref="I17:J17"/>
    <mergeCell ref="D18:F18"/>
    <mergeCell ref="I18:J18"/>
    <mergeCell ref="D20:F20"/>
    <mergeCell ref="I20:J20"/>
    <mergeCell ref="D21:F21"/>
    <mergeCell ref="I21:J21"/>
    <mergeCell ref="D19:F19"/>
    <mergeCell ref="I19:J19"/>
    <mergeCell ref="D26:F26"/>
    <mergeCell ref="I26:J26"/>
    <mergeCell ref="D23:F23"/>
    <mergeCell ref="I23:J23"/>
    <mergeCell ref="J39:K39"/>
    <mergeCell ref="D33:F33"/>
    <mergeCell ref="I33:J33"/>
    <mergeCell ref="I29:J29"/>
    <mergeCell ref="D29:F29"/>
    <mergeCell ref="J35:K35"/>
    <mergeCell ref="J37:K37"/>
    <mergeCell ref="D32:F32"/>
    <mergeCell ref="I32:J32"/>
  </mergeCells>
  <conditionalFormatting sqref="C29:C30">
    <cfRule type="duplicateValues" dxfId="20" priority="1"/>
  </conditionalFormatting>
  <conditionalFormatting sqref="C28:C31">
    <cfRule type="duplicateValues" dxfId="19" priority="2"/>
  </conditionalFormatting>
  <pageMargins left="0.70866141732283472" right="0.31496062992125984" top="0.59055118110236227" bottom="0" header="0.31496062992125984" footer="0.31496062992125984"/>
  <pageSetup paperSize="9" scale="77" orientation="portrait" horizontalDpi="300" verticalDpi="300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F1C20E-3482-4C87-BA9E-5130C0CF8F32}">
  <sheetPr codeName="Sheet89">
    <tabColor rgb="FF92D050"/>
    <pageSetUpPr fitToPage="1"/>
  </sheetPr>
  <dimension ref="B1:P51"/>
  <sheetViews>
    <sheetView topLeftCell="B1" workbookViewId="0">
      <selection activeCell="B1" sqref="B1:L51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4.54296875" style="24" customWidth="1"/>
    <col min="7" max="7" width="8.54296875" style="24" customWidth="1"/>
    <col min="8" max="8" width="12.54296875" style="24" customWidth="1"/>
    <col min="9" max="9" width="4.54296875" style="24" customWidth="1"/>
    <col min="10" max="10" width="15.54296875" style="24" customWidth="1"/>
    <col min="11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239</v>
      </c>
      <c r="J10" s="29" t="s">
        <v>29</v>
      </c>
      <c r="K10" s="452">
        <v>202008423</v>
      </c>
      <c r="L10" s="453"/>
    </row>
    <row r="11" spans="2:12" ht="20.149999999999999" customHeight="1" x14ac:dyDescent="0.45">
      <c r="B11" s="454" t="s">
        <v>2037</v>
      </c>
      <c r="C11" s="455"/>
      <c r="D11" s="456"/>
      <c r="E11" s="30"/>
      <c r="F11" s="457" t="str">
        <f>VLOOKUP(H10,'Delivery Location'!A$4:N$416,2,0)</f>
        <v xml:space="preserve">Koufu - Drink                                         Sengkang General Community Hospital. 1 Anchorvale Street #01-21 S'pore 544835                                                                     </v>
      </c>
      <c r="G11" s="458"/>
      <c r="H11" s="459"/>
      <c r="J11" s="31" t="s">
        <v>11</v>
      </c>
      <c r="K11" s="551" t="s">
        <v>1246</v>
      </c>
      <c r="L11" s="472"/>
    </row>
    <row r="12" spans="2:12" ht="20.149999999999999" customHeight="1" x14ac:dyDescent="0.45">
      <c r="B12" s="468" t="s">
        <v>2139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533</v>
      </c>
      <c r="L12" s="472"/>
    </row>
    <row r="13" spans="2:12" ht="20.149999999999999" customHeight="1" x14ac:dyDescent="0.45">
      <c r="B13" s="468" t="s">
        <v>2024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14</v>
      </c>
      <c r="L13" s="472"/>
    </row>
    <row r="14" spans="2:12" ht="20.149999999999999" customHeight="1" x14ac:dyDescent="0.45">
      <c r="B14" s="468" t="s">
        <v>2025</v>
      </c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463" t="s">
        <v>2026</v>
      </c>
      <c r="C15" s="464"/>
      <c r="D15" s="465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16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8" t="s">
        <v>622</v>
      </c>
      <c r="I17" s="478" t="s">
        <v>621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16" ht="20.149999999999999" customHeight="1" x14ac:dyDescent="0.45">
      <c r="B18" s="34"/>
      <c r="C18" s="22" t="s">
        <v>410</v>
      </c>
      <c r="D18" s="508" t="e">
        <f>VLOOKUP(C18,'Sales Master'!B$3:D$499,2,)</f>
        <v>#N/A</v>
      </c>
      <c r="E18" s="508"/>
      <c r="F18" s="508"/>
      <c r="G18" s="22">
        <v>2</v>
      </c>
      <c r="H18" s="68" t="e">
        <f>VLOOKUP(C18,'Sales Master'!$B$3:$E$590,4,0)</f>
        <v>#N/A</v>
      </c>
      <c r="I18" s="450" t="e">
        <f>VLOOKUP(C18,'Sales Master'!$B$3:F$590,5,0)</f>
        <v>#N/A</v>
      </c>
      <c r="J18" s="450"/>
      <c r="K18" s="35" t="e">
        <f>VLOOKUP(C18,'Sales Master'!B$3:J$499,9,0)</f>
        <v>#N/A</v>
      </c>
      <c r="L18" s="77" t="e">
        <f>K18*G18</f>
        <v>#N/A</v>
      </c>
      <c r="M18" s="78"/>
      <c r="N18" s="225" t="e">
        <f>VLOOKUP(C18,'Sales Master'!$B$3:$DA$3038,104,0)</f>
        <v>#N/A</v>
      </c>
      <c r="O18" s="225" t="e">
        <f>K18-N18</f>
        <v>#N/A</v>
      </c>
      <c r="P18" s="225" t="e">
        <f>O18*G18</f>
        <v>#N/A</v>
      </c>
    </row>
    <row r="19" spans="2:16" ht="20.149999999999999" customHeight="1" x14ac:dyDescent="0.45">
      <c r="B19" s="34"/>
      <c r="C19" s="22" t="s">
        <v>520</v>
      </c>
      <c r="D19" s="508" t="e">
        <f>VLOOKUP(C19,'Sales Master'!B$3:D$499,2,)</f>
        <v>#N/A</v>
      </c>
      <c r="E19" s="508"/>
      <c r="F19" s="508"/>
      <c r="G19" s="22">
        <v>2</v>
      </c>
      <c r="H19" s="68" t="e">
        <f>VLOOKUP(C19,'Sales Master'!$B$3:$E$590,4,0)</f>
        <v>#N/A</v>
      </c>
      <c r="I19" s="450" t="e">
        <f>VLOOKUP(C19,'Sales Master'!$B$3:F$590,5,0)</f>
        <v>#N/A</v>
      </c>
      <c r="J19" s="450"/>
      <c r="K19" s="35" t="e">
        <f>VLOOKUP(C19,'Sales Master'!B$3:J$499,9,0)</f>
        <v>#N/A</v>
      </c>
      <c r="L19" s="77" t="e">
        <f>K19*G19</f>
        <v>#N/A</v>
      </c>
      <c r="M19" s="78"/>
      <c r="N19" s="225" t="e">
        <f>VLOOKUP(C19,'Sales Master'!$B$3:$DA$3038,104,0)</f>
        <v>#N/A</v>
      </c>
      <c r="O19" s="225" t="e">
        <f>K19-N19</f>
        <v>#N/A</v>
      </c>
      <c r="P19" s="225" t="e">
        <f>O19*G19</f>
        <v>#N/A</v>
      </c>
    </row>
    <row r="20" spans="2:16" ht="20.149999999999999" customHeight="1" x14ac:dyDescent="0.45">
      <c r="B20" s="34"/>
      <c r="C20" s="22"/>
      <c r="D20" s="508"/>
      <c r="E20" s="508"/>
      <c r="F20" s="508"/>
      <c r="G20" s="22"/>
      <c r="H20" s="68"/>
      <c r="I20" s="450"/>
      <c r="J20" s="450"/>
      <c r="K20" s="35"/>
      <c r="L20" s="77"/>
      <c r="M20" s="78"/>
    </row>
    <row r="21" spans="2:16" ht="20.149999999999999" customHeight="1" x14ac:dyDescent="0.45">
      <c r="B21" s="34"/>
      <c r="C21" s="22"/>
      <c r="D21" s="508"/>
      <c r="E21" s="508"/>
      <c r="F21" s="508"/>
      <c r="G21" s="22"/>
      <c r="H21" s="68"/>
      <c r="I21" s="450"/>
      <c r="J21" s="450"/>
      <c r="K21" s="35"/>
      <c r="L21" s="77"/>
      <c r="M21" s="78"/>
    </row>
    <row r="22" spans="2:16" ht="20.149999999999999" customHeight="1" x14ac:dyDescent="0.45">
      <c r="B22" s="34"/>
      <c r="C22" s="22"/>
      <c r="D22" s="508"/>
      <c r="E22" s="508"/>
      <c r="F22" s="508"/>
      <c r="G22" s="22"/>
      <c r="H22" s="68"/>
      <c r="I22" s="450"/>
      <c r="J22" s="450"/>
      <c r="K22" s="35"/>
      <c r="L22" s="77"/>
      <c r="M22" s="78"/>
    </row>
    <row r="23" spans="2:16" ht="20.149999999999999" customHeight="1" x14ac:dyDescent="0.45">
      <c r="B23" s="34"/>
      <c r="C23" s="22"/>
      <c r="D23" s="508"/>
      <c r="E23" s="508"/>
      <c r="F23" s="508"/>
      <c r="G23" s="22"/>
      <c r="H23" s="68"/>
      <c r="I23" s="450"/>
      <c r="J23" s="450"/>
      <c r="K23" s="35"/>
      <c r="L23" s="77"/>
      <c r="M23" s="78"/>
    </row>
    <row r="24" spans="2:16" ht="20.149999999999999" customHeight="1" x14ac:dyDescent="0.45">
      <c r="B24" s="34"/>
      <c r="C24" s="22"/>
      <c r="D24" s="508"/>
      <c r="E24" s="508"/>
      <c r="F24" s="508"/>
      <c r="G24" s="22"/>
      <c r="H24" s="68"/>
      <c r="I24" s="450"/>
      <c r="J24" s="450"/>
      <c r="K24" s="35"/>
      <c r="L24" s="77"/>
      <c r="M24" s="78"/>
    </row>
    <row r="25" spans="2:16" ht="20.149999999999999" customHeight="1" x14ac:dyDescent="0.45">
      <c r="B25" s="34"/>
      <c r="C25" s="22"/>
      <c r="D25" s="508"/>
      <c r="E25" s="508"/>
      <c r="F25" s="508"/>
      <c r="G25" s="22"/>
      <c r="H25" s="68"/>
      <c r="I25" s="450"/>
      <c r="J25" s="450"/>
      <c r="K25" s="35"/>
      <c r="L25" s="77"/>
      <c r="M25" s="78"/>
    </row>
    <row r="26" spans="2:16" ht="20.149999999999999" customHeight="1" x14ac:dyDescent="0.45">
      <c r="B26" s="34"/>
      <c r="C26" s="22"/>
      <c r="D26" s="508"/>
      <c r="E26" s="508"/>
      <c r="F26" s="508"/>
      <c r="G26" s="22"/>
      <c r="H26" s="68"/>
      <c r="I26" s="450"/>
      <c r="J26" s="450"/>
      <c r="K26" s="35"/>
      <c r="L26" s="77"/>
      <c r="M26" s="78"/>
    </row>
    <row r="27" spans="2:16" ht="20.149999999999999" customHeight="1" x14ac:dyDescent="0.45">
      <c r="B27" s="34"/>
      <c r="C27" s="22"/>
      <c r="D27" s="508"/>
      <c r="E27" s="508"/>
      <c r="F27" s="508"/>
      <c r="G27" s="22"/>
      <c r="H27" s="68"/>
      <c r="I27" s="450"/>
      <c r="J27" s="450"/>
      <c r="K27" s="35"/>
      <c r="L27" s="77"/>
      <c r="M27" s="78"/>
    </row>
    <row r="28" spans="2:16" ht="20.149999999999999" customHeight="1" x14ac:dyDescent="0.45">
      <c r="B28" s="34"/>
      <c r="C28" s="22"/>
      <c r="D28" s="508"/>
      <c r="E28" s="508"/>
      <c r="F28" s="508"/>
      <c r="G28" s="22"/>
      <c r="H28" s="68"/>
      <c r="I28" s="450"/>
      <c r="J28" s="450"/>
      <c r="K28" s="35"/>
      <c r="L28" s="77"/>
      <c r="M28" s="78"/>
    </row>
    <row r="29" spans="2:16" ht="20.149999999999999" customHeight="1" x14ac:dyDescent="0.45">
      <c r="B29" s="34"/>
      <c r="C29" s="22"/>
      <c r="D29" s="508"/>
      <c r="E29" s="508"/>
      <c r="F29" s="508"/>
      <c r="G29" s="22"/>
      <c r="H29" s="68"/>
      <c r="I29" s="450"/>
      <c r="J29" s="450"/>
      <c r="K29" s="35"/>
      <c r="L29" s="77"/>
      <c r="M29" s="78"/>
    </row>
    <row r="30" spans="2:16" ht="20.149999999999999" customHeight="1" x14ac:dyDescent="0.45">
      <c r="B30" s="34"/>
      <c r="C30" s="22"/>
      <c r="D30" s="508"/>
      <c r="E30" s="508"/>
      <c r="F30" s="508"/>
      <c r="G30" s="22"/>
      <c r="H30" s="68"/>
      <c r="I30" s="450"/>
      <c r="J30" s="450"/>
      <c r="K30" s="35"/>
      <c r="L30" s="77"/>
      <c r="M30" s="78"/>
    </row>
    <row r="31" spans="2:16" ht="20.149999999999999" customHeight="1" x14ac:dyDescent="0.45">
      <c r="B31" s="34"/>
      <c r="C31" s="22"/>
      <c r="D31" s="508"/>
      <c r="E31" s="508"/>
      <c r="F31" s="508"/>
      <c r="G31" s="22"/>
      <c r="H31" s="68"/>
      <c r="I31" s="450"/>
      <c r="J31" s="450"/>
      <c r="K31" s="35"/>
      <c r="L31" s="77"/>
      <c r="M31" s="78"/>
    </row>
    <row r="32" spans="2:16" ht="20.149999999999999" customHeight="1" x14ac:dyDescent="0.45">
      <c r="B32" s="34"/>
      <c r="C32" s="22"/>
      <c r="D32" s="508"/>
      <c r="E32" s="508"/>
      <c r="F32" s="508"/>
      <c r="G32" s="22"/>
      <c r="H32" s="68"/>
      <c r="I32" s="450"/>
      <c r="J32" s="450"/>
      <c r="K32" s="35"/>
      <c r="L32" s="77"/>
      <c r="M32" s="78"/>
    </row>
    <row r="33" spans="2:13" ht="20.149999999999999" customHeight="1" x14ac:dyDescent="0.45">
      <c r="B33" s="34"/>
      <c r="C33" s="22"/>
      <c r="D33" s="508"/>
      <c r="E33" s="508"/>
      <c r="F33" s="508"/>
      <c r="G33" s="22"/>
      <c r="H33" s="68"/>
      <c r="I33" s="450"/>
      <c r="J33" s="450"/>
      <c r="K33" s="35"/>
      <c r="L33" s="77"/>
      <c r="M33" s="78"/>
    </row>
    <row r="34" spans="2:13" ht="20.149999999999999" customHeight="1" x14ac:dyDescent="0.45">
      <c r="B34" s="34"/>
      <c r="C34" s="22"/>
      <c r="D34" s="508"/>
      <c r="E34" s="508"/>
      <c r="F34" s="508"/>
      <c r="G34" s="22"/>
      <c r="H34" s="68"/>
      <c r="I34" s="450"/>
      <c r="J34" s="450"/>
      <c r="K34" s="35"/>
      <c r="L34" s="77"/>
      <c r="M34" s="78"/>
    </row>
    <row r="35" spans="2:13" ht="20.149999999999999" customHeight="1" x14ac:dyDescent="0.45">
      <c r="B35" s="34"/>
      <c r="C35" s="22"/>
      <c r="D35" s="508"/>
      <c r="E35" s="508"/>
      <c r="F35" s="508"/>
      <c r="G35" s="22"/>
      <c r="H35" s="68"/>
      <c r="I35" s="450"/>
      <c r="J35" s="450"/>
      <c r="K35" s="35"/>
      <c r="L35" s="77"/>
      <c r="M35" s="78"/>
    </row>
    <row r="36" spans="2:13" ht="20.149999999999999" customHeight="1" x14ac:dyDescent="0.45">
      <c r="B36" s="34"/>
      <c r="C36" s="22"/>
      <c r="D36" s="508"/>
      <c r="E36" s="508"/>
      <c r="F36" s="508"/>
      <c r="G36" s="22"/>
      <c r="H36" s="68"/>
      <c r="I36" s="450"/>
      <c r="J36" s="450"/>
      <c r="K36" s="35"/>
      <c r="L36" s="36"/>
    </row>
    <row r="37" spans="2:13" ht="20.149999999999999" customHeight="1" thickBot="1" x14ac:dyDescent="0.5">
      <c r="B37" s="37"/>
      <c r="C37" s="38"/>
      <c r="D37" s="509"/>
      <c r="E37" s="509"/>
      <c r="F37" s="509"/>
      <c r="G37" s="38"/>
      <c r="H37" s="69"/>
      <c r="I37" s="451"/>
      <c r="J37" s="451"/>
      <c r="K37" s="39"/>
      <c r="L37" s="40"/>
    </row>
    <row r="38" spans="2:13" ht="20.149999999999999" customHeight="1" thickBot="1" x14ac:dyDescent="0.5">
      <c r="B38" s="41"/>
      <c r="L38" s="42"/>
    </row>
    <row r="39" spans="2:13" ht="20.149999999999999" customHeight="1" x14ac:dyDescent="0.45">
      <c r="B39" s="11" t="s">
        <v>18</v>
      </c>
      <c r="C39" s="7"/>
      <c r="D39" s="7"/>
      <c r="E39" s="7"/>
      <c r="F39" s="7"/>
      <c r="G39" s="7"/>
      <c r="H39" s="7"/>
      <c r="I39" s="7"/>
      <c r="J39" s="510" t="s">
        <v>15</v>
      </c>
      <c r="K39" s="511"/>
      <c r="L39" s="43" t="e">
        <f>SUM(L17:L36)</f>
        <v>#N/A</v>
      </c>
      <c r="M39" s="76">
        <f>166+26</f>
        <v>192</v>
      </c>
    </row>
    <row r="40" spans="2:13" ht="20.149999999999999" customHeight="1" x14ac:dyDescent="0.45">
      <c r="B40" s="11" t="s">
        <v>19</v>
      </c>
      <c r="C40" s="7"/>
      <c r="D40" s="7"/>
      <c r="E40" s="7"/>
      <c r="F40" s="7"/>
      <c r="G40" s="7"/>
      <c r="H40" s="7"/>
      <c r="I40" s="7"/>
      <c r="J40" s="44" t="s">
        <v>22</v>
      </c>
      <c r="K40" s="45"/>
      <c r="L40" s="46" t="e">
        <f>L39*K40</f>
        <v>#N/A</v>
      </c>
    </row>
    <row r="41" spans="2:13" ht="20.149999999999999" customHeight="1" x14ac:dyDescent="0.45">
      <c r="B41" s="11" t="s">
        <v>20</v>
      </c>
      <c r="C41" s="7"/>
      <c r="D41" s="7"/>
      <c r="E41" s="7"/>
      <c r="F41" s="7"/>
      <c r="G41" s="7"/>
      <c r="H41" s="7"/>
      <c r="I41" s="7"/>
      <c r="J41" s="486" t="s">
        <v>21</v>
      </c>
      <c r="K41" s="487"/>
      <c r="L41" s="46" t="e">
        <f>L39-L40</f>
        <v>#N/A</v>
      </c>
    </row>
    <row r="42" spans="2:13" ht="20.149999999999999" customHeight="1" x14ac:dyDescent="0.45">
      <c r="B42" s="11" t="s">
        <v>24</v>
      </c>
      <c r="C42" s="7"/>
      <c r="D42" s="7"/>
      <c r="E42" s="7"/>
      <c r="F42" s="7"/>
      <c r="G42" s="7"/>
      <c r="H42" s="7"/>
      <c r="I42" s="7"/>
      <c r="J42" s="150" t="s">
        <v>17</v>
      </c>
      <c r="K42" s="151">
        <v>7.0000000000000007E-2</v>
      </c>
      <c r="L42" s="47" t="e">
        <f>L41*K42</f>
        <v>#N/A</v>
      </c>
    </row>
    <row r="43" spans="2:13" ht="20.149999999999999" customHeight="1" thickBot="1" x14ac:dyDescent="0.5">
      <c r="B43" s="11" t="s">
        <v>1400</v>
      </c>
      <c r="C43" s="7"/>
      <c r="D43" s="7"/>
      <c r="E43" s="7"/>
      <c r="F43" s="7"/>
      <c r="G43" s="7"/>
      <c r="H43" s="7"/>
      <c r="I43" s="7"/>
      <c r="J43" s="488" t="s">
        <v>23</v>
      </c>
      <c r="K43" s="489"/>
      <c r="L43" s="48" t="e">
        <f>L41+L42</f>
        <v>#N/A</v>
      </c>
    </row>
    <row r="44" spans="2:13" ht="20.149999999999999" customHeight="1" x14ac:dyDescent="0.45">
      <c r="B44" s="11" t="s">
        <v>26</v>
      </c>
      <c r="C44" s="7"/>
      <c r="D44" s="7"/>
      <c r="E44" s="7"/>
      <c r="F44" s="7"/>
      <c r="G44" s="7"/>
      <c r="H44" s="7"/>
      <c r="I44" s="7"/>
      <c r="L44" s="42"/>
    </row>
    <row r="45" spans="2:13" ht="20.149999999999999" customHeight="1" x14ac:dyDescent="0.45">
      <c r="B45" s="224" t="s">
        <v>1379</v>
      </c>
      <c r="L45" s="42"/>
    </row>
    <row r="46" spans="2:13" ht="20.149999999999999" customHeight="1" x14ac:dyDescent="0.45">
      <c r="B46" s="41"/>
      <c r="L46" s="42"/>
    </row>
    <row r="47" spans="2:13" ht="20.149999999999999" customHeight="1" x14ac:dyDescent="0.45">
      <c r="B47" s="41"/>
      <c r="L47" s="42"/>
    </row>
    <row r="48" spans="2:13" ht="20.149999999999999" customHeight="1" x14ac:dyDescent="0.45">
      <c r="B48" s="41"/>
      <c r="L48" s="42"/>
    </row>
    <row r="49" spans="2:12" ht="20.149999999999999" customHeight="1" x14ac:dyDescent="0.45">
      <c r="B49" s="49"/>
      <c r="C49" s="50"/>
      <c r="D49" s="50"/>
      <c r="J49" s="50"/>
      <c r="K49" s="50"/>
      <c r="L49" s="51"/>
    </row>
    <row r="50" spans="2:12" ht="20.149999999999999" customHeight="1" x14ac:dyDescent="0.45">
      <c r="B50" s="41" t="s">
        <v>27</v>
      </c>
      <c r="J50" s="24" t="s">
        <v>28</v>
      </c>
      <c r="L50" s="42"/>
    </row>
    <row r="51" spans="2:12" ht="19" thickBot="1" x14ac:dyDescent="0.5">
      <c r="B51" s="52"/>
      <c r="C51" s="53"/>
      <c r="D51" s="53"/>
      <c r="E51" s="53"/>
      <c r="F51" s="53"/>
      <c r="G51" s="53"/>
      <c r="H51" s="53"/>
      <c r="I51" s="53"/>
      <c r="J51" s="53"/>
      <c r="K51" s="53"/>
      <c r="L51" s="54"/>
    </row>
  </sheetData>
  <mergeCells count="58">
    <mergeCell ref="B15:D15"/>
    <mergeCell ref="J43:K43"/>
    <mergeCell ref="D35:F35"/>
    <mergeCell ref="I35:J35"/>
    <mergeCell ref="D36:F36"/>
    <mergeCell ref="I36:J36"/>
    <mergeCell ref="D37:F37"/>
    <mergeCell ref="I37:J37"/>
    <mergeCell ref="D34:F34"/>
    <mergeCell ref="I34:J34"/>
    <mergeCell ref="J39:K39"/>
    <mergeCell ref="J41:K41"/>
    <mergeCell ref="D31:F31"/>
    <mergeCell ref="I31:J31"/>
    <mergeCell ref="D32:F32"/>
    <mergeCell ref="I32:J32"/>
    <mergeCell ref="D33:F33"/>
    <mergeCell ref="I33:J33"/>
    <mergeCell ref="D28:F28"/>
    <mergeCell ref="I28:J28"/>
    <mergeCell ref="D29:F29"/>
    <mergeCell ref="I29:J29"/>
    <mergeCell ref="D30:F30"/>
    <mergeCell ref="I30:J30"/>
    <mergeCell ref="D25:F25"/>
    <mergeCell ref="I25:J25"/>
    <mergeCell ref="D26:F26"/>
    <mergeCell ref="I26:J26"/>
    <mergeCell ref="D27:F27"/>
    <mergeCell ref="I27:J27"/>
    <mergeCell ref="D22:F22"/>
    <mergeCell ref="I22:J22"/>
    <mergeCell ref="D23:F23"/>
    <mergeCell ref="I23:J23"/>
    <mergeCell ref="D24:F24"/>
    <mergeCell ref="I24:J24"/>
    <mergeCell ref="D20:F20"/>
    <mergeCell ref="I20:J20"/>
    <mergeCell ref="D21:F21"/>
    <mergeCell ref="I21:J21"/>
    <mergeCell ref="D19:F19"/>
    <mergeCell ref="I19:J19"/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18:J18"/>
  </mergeCells>
  <pageMargins left="0.70866141732283472" right="0.31496062992125984" top="0.59055118110236227" bottom="0" header="0.31496062992125984" footer="0.31496062992125984"/>
  <pageSetup paperSize="9" scale="76" orientation="portrait" verticalDpi="300" r:id="rId1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116F3-7810-4B7A-A359-F651A25FDA97}">
  <sheetPr codeName="Sheet90">
    <tabColor rgb="FF92D050"/>
    <pageSetUpPr fitToPage="1"/>
  </sheetPr>
  <dimension ref="B1:P43"/>
  <sheetViews>
    <sheetView topLeftCell="B1" workbookViewId="0">
      <selection activeCell="B1" sqref="B1:L43"/>
    </sheetView>
  </sheetViews>
  <sheetFormatPr defaultColWidth="12.54296875" defaultRowHeight="18.5" x14ac:dyDescent="0.45"/>
  <cols>
    <col min="1" max="1" width="12.54296875" style="24"/>
    <col min="2" max="4" width="12.54296875" style="24" customWidth="1"/>
    <col min="5" max="5" width="1.54296875" style="24" customWidth="1"/>
    <col min="6" max="6" width="16.54296875" style="24" customWidth="1"/>
    <col min="7" max="7" width="8.54296875" style="24" customWidth="1"/>
    <col min="8" max="8" width="17.7265625" style="24" customWidth="1"/>
    <col min="9" max="9" width="1.453125" style="24" customWidth="1"/>
    <col min="10" max="10" width="12.453125" style="24" customWidth="1"/>
    <col min="11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243</v>
      </c>
      <c r="J10" s="29" t="s">
        <v>29</v>
      </c>
      <c r="K10" s="452">
        <v>202202042</v>
      </c>
      <c r="L10" s="453"/>
    </row>
    <row r="11" spans="2:12" ht="20.149999999999999" customHeight="1" x14ac:dyDescent="0.45">
      <c r="B11" s="454" t="s">
        <v>2037</v>
      </c>
      <c r="C11" s="455"/>
      <c r="D11" s="456"/>
      <c r="E11" s="30"/>
      <c r="F11" s="457" t="str">
        <f>VLOOKUP(H10,'Delivery Location'!A$4:N$416,2,0)</f>
        <v xml:space="preserve">Koufu - Dessert                                    Sengkang General Community Hospital. 1 Anchorvale Street #01-21 S'pore 544835                                                                   </v>
      </c>
      <c r="G11" s="458"/>
      <c r="H11" s="459"/>
      <c r="J11" s="31" t="s">
        <v>11</v>
      </c>
      <c r="K11" s="551">
        <v>44652</v>
      </c>
      <c r="L11" s="472"/>
    </row>
    <row r="12" spans="2:12" ht="20.149999999999999" customHeight="1" x14ac:dyDescent="0.45">
      <c r="B12" s="468" t="s">
        <v>2139</v>
      </c>
      <c r="C12" s="469"/>
      <c r="D12" s="470"/>
      <c r="E12" s="30"/>
      <c r="F12" s="460"/>
      <c r="G12" s="461"/>
      <c r="H12" s="462"/>
      <c r="J12" s="31" t="s">
        <v>171</v>
      </c>
      <c r="K12" s="471" t="s">
        <v>533</v>
      </c>
      <c r="L12" s="472"/>
    </row>
    <row r="13" spans="2:12" ht="20.149999999999999" customHeight="1" x14ac:dyDescent="0.45">
      <c r="B13" s="468" t="s">
        <v>2024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14</v>
      </c>
      <c r="L13" s="472"/>
    </row>
    <row r="14" spans="2:12" ht="20.149999999999999" customHeight="1" x14ac:dyDescent="0.45">
      <c r="B14" s="468" t="s">
        <v>2025</v>
      </c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463" t="s">
        <v>2026</v>
      </c>
      <c r="C15" s="464"/>
      <c r="D15" s="465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16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178" t="s">
        <v>31</v>
      </c>
      <c r="I17" s="586" t="s">
        <v>60</v>
      </c>
      <c r="J17" s="586"/>
      <c r="K17" s="17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16" ht="20.149999999999999" customHeight="1" x14ac:dyDescent="0.45">
      <c r="B18" s="34"/>
      <c r="C18" s="22" t="s">
        <v>1530</v>
      </c>
      <c r="D18" s="508" t="str">
        <f>VLOOKUP(C18,'Sales Master'!B$3:D$499,2,)</f>
        <v>Sweet Potato Powder番薯粉</v>
      </c>
      <c r="E18" s="508"/>
      <c r="F18" s="508"/>
      <c r="G18" s="22">
        <v>1</v>
      </c>
      <c r="H18" s="68" t="str">
        <f>VLOOKUP(C18,'Sales Master'!$B$3:$F$3179,5,0)</f>
        <v>3 kgs</v>
      </c>
      <c r="I18" s="481" t="str">
        <f>VLOOKUP(C18,'Sales Master'!$B$3:$E$3179,4,0)</f>
        <v>RE-PACK</v>
      </c>
      <c r="J18" s="481"/>
      <c r="K18" s="35">
        <f>VLOOKUP(C18,'Sales Master'!B$3:BA$499,52,0)</f>
        <v>9.5</v>
      </c>
      <c r="L18" s="77">
        <f t="shared" ref="L18:L26" si="0">K18*G18</f>
        <v>9.5</v>
      </c>
      <c r="M18" s="78"/>
      <c r="N18" s="225">
        <f>VLOOKUP(C18,'Sales Master'!$B$3:$DA$3038,104,0)</f>
        <v>7.4399999999999995</v>
      </c>
      <c r="O18" s="225">
        <f>K18-N18</f>
        <v>2.0600000000000005</v>
      </c>
      <c r="P18" s="225">
        <f>O18*G18</f>
        <v>2.0600000000000005</v>
      </c>
    </row>
    <row r="19" spans="2:16" ht="20.149999999999999" customHeight="1" x14ac:dyDescent="0.45">
      <c r="B19" s="34"/>
      <c r="C19" s="22" t="s">
        <v>1548</v>
      </c>
      <c r="D19" s="508" t="str">
        <f>VLOOKUP(C19,'Sales Master'!B$3:D$499,2,)</f>
        <v>Potato Starch 风车粉</v>
      </c>
      <c r="E19" s="508"/>
      <c r="F19" s="508"/>
      <c r="G19" s="22">
        <v>1</v>
      </c>
      <c r="H19" s="68" t="str">
        <f>VLOOKUP(C19,'Sales Master'!$B$3:$F$3179,5,0)</f>
        <v>5 kg</v>
      </c>
      <c r="I19" s="481" t="str">
        <f>VLOOKUP(C19,'Sales Master'!$B$3:$E$3179,4,0)</f>
        <v>RE-PACK</v>
      </c>
      <c r="J19" s="481"/>
      <c r="K19" s="35">
        <f>VLOOKUP(C19,'Sales Master'!B$3:BA$499,52,0)</f>
        <v>12</v>
      </c>
      <c r="L19" s="77">
        <f t="shared" si="0"/>
        <v>12</v>
      </c>
      <c r="M19" s="78"/>
      <c r="N19" s="225">
        <f>VLOOKUP(C19,'Sales Master'!$B$3:$DA$3038,104,0)</f>
        <v>7.1999999999999993</v>
      </c>
      <c r="O19" s="225">
        <f>K19-N19</f>
        <v>4.8000000000000007</v>
      </c>
      <c r="P19" s="225">
        <f>O19*G19</f>
        <v>4.8000000000000007</v>
      </c>
    </row>
    <row r="20" spans="2:16" ht="20.149999999999999" customHeight="1" x14ac:dyDescent="0.45">
      <c r="B20" s="34"/>
      <c r="C20" s="22" t="s">
        <v>1572</v>
      </c>
      <c r="D20" s="508" t="str">
        <f>VLOOKUP(C20,'Sales Master'!B$3:D$499,2,)</f>
        <v>Red Bean红豆 (5.5 mm)</v>
      </c>
      <c r="E20" s="508"/>
      <c r="F20" s="508"/>
      <c r="G20" s="22">
        <v>2</v>
      </c>
      <c r="H20" s="68" t="str">
        <f>VLOOKUP(C20,'Sales Master'!$B$3:$F$3179,5,0)</f>
        <v>5 kgs</v>
      </c>
      <c r="I20" s="481" t="str">
        <f>VLOOKUP(C20,'Sales Master'!$B$3:$E$3179,4,0)</f>
        <v>-</v>
      </c>
      <c r="J20" s="481"/>
      <c r="K20" s="35">
        <f>VLOOKUP(C20,'Sales Master'!B$3:BA$499,52,0)</f>
        <v>20.5</v>
      </c>
      <c r="L20" s="77">
        <f t="shared" si="0"/>
        <v>41</v>
      </c>
      <c r="M20" s="78"/>
      <c r="N20" s="225">
        <f>VLOOKUP(C20,'Sales Master'!$B$3:$DA$3038,104,0)</f>
        <v>17</v>
      </c>
      <c r="O20" s="225">
        <f t="shared" ref="O20:O26" si="1">K20-N20</f>
        <v>3.5</v>
      </c>
      <c r="P20" s="225">
        <f t="shared" ref="P20:P26" si="2">O20*G20</f>
        <v>7</v>
      </c>
    </row>
    <row r="21" spans="2:16" ht="20.149999999999999" customHeight="1" x14ac:dyDescent="0.45">
      <c r="B21" s="34"/>
      <c r="C21" s="22" t="s">
        <v>1585</v>
      </c>
      <c r="D21" s="508" t="str">
        <f>VLOOKUP(C21,'Sales Master'!B$3:D$499,2,)</f>
        <v>Green Bean 绿豆</v>
      </c>
      <c r="E21" s="508"/>
      <c r="F21" s="508"/>
      <c r="G21" s="22">
        <v>2</v>
      </c>
      <c r="H21" s="68" t="str">
        <f>VLOOKUP(C21,'Sales Master'!$B$3:$F$3179,5,0)</f>
        <v>5 kgs</v>
      </c>
      <c r="I21" s="592" t="str">
        <f>VLOOKUP(C21,'Sales Master'!$B$3:$E$3179,4,0)</f>
        <v>-</v>
      </c>
      <c r="J21" s="592"/>
      <c r="K21" s="35">
        <f>VLOOKUP(C21,'Sales Master'!B$3:BA$499,52,0)</f>
        <v>13</v>
      </c>
      <c r="L21" s="77">
        <f t="shared" si="0"/>
        <v>26</v>
      </c>
      <c r="M21" s="78"/>
      <c r="N21" s="225">
        <f>VLOOKUP(C21,'Sales Master'!$B$3:$DA$3038,104,0)</f>
        <v>9.3999999999999986</v>
      </c>
      <c r="O21" s="225">
        <f t="shared" si="1"/>
        <v>3.6000000000000014</v>
      </c>
      <c r="P21" s="225">
        <f t="shared" si="2"/>
        <v>7.2000000000000028</v>
      </c>
    </row>
    <row r="22" spans="2:16" ht="20.149999999999999" customHeight="1" x14ac:dyDescent="0.45">
      <c r="B22" s="34"/>
      <c r="C22" s="22" t="s">
        <v>1615</v>
      </c>
      <c r="D22" s="508" t="str">
        <f>VLOOKUP(C22,'Sales Master'!B$3:D$499,2,)</f>
        <v>Small Sago 小丸</v>
      </c>
      <c r="E22" s="508"/>
      <c r="F22" s="508"/>
      <c r="G22" s="22">
        <v>1</v>
      </c>
      <c r="H22" s="68" t="str">
        <f>VLOOKUP(C22,'Sales Master'!$B$3:$F$3179,5,0)</f>
        <v>5 kgs</v>
      </c>
      <c r="I22" s="481" t="str">
        <f>VLOOKUP(C22,'Sales Master'!$B$3:$E$3179,4,0)</f>
        <v>-</v>
      </c>
      <c r="J22" s="481"/>
      <c r="K22" s="35">
        <f>VLOOKUP(C22,'Sales Master'!B$3:BA$499,52,0)</f>
        <v>10</v>
      </c>
      <c r="L22" s="77">
        <f t="shared" si="0"/>
        <v>10</v>
      </c>
      <c r="M22" s="78"/>
      <c r="N22" s="225">
        <f>VLOOKUP(C22,'Sales Master'!$B$3:$DA$3038,104,0)</f>
        <v>8</v>
      </c>
      <c r="O22" s="225">
        <f t="shared" si="1"/>
        <v>2</v>
      </c>
      <c r="P22" s="225">
        <f t="shared" si="2"/>
        <v>2</v>
      </c>
    </row>
    <row r="23" spans="2:16" ht="20.149999999999999" customHeight="1" x14ac:dyDescent="0.45">
      <c r="B23" s="34"/>
      <c r="C23" s="22" t="s">
        <v>1624</v>
      </c>
      <c r="D23" s="508" t="str">
        <f>VLOOKUP(C23,'Sales Master'!B$3:D$499,2,)</f>
        <v>Fungus黄 木耳朵</v>
      </c>
      <c r="E23" s="508"/>
      <c r="F23" s="508"/>
      <c r="G23" s="22">
        <v>1</v>
      </c>
      <c r="H23" s="68" t="str">
        <f>VLOOKUP(C23,'Sales Master'!$B$3:$F$3179,5,0)</f>
        <v>1 kg</v>
      </c>
      <c r="I23" s="481" t="str">
        <f>VLOOKUP(C23,'Sales Master'!$B$3:$E$3179,4,0)</f>
        <v>黄</v>
      </c>
      <c r="J23" s="481"/>
      <c r="K23" s="35">
        <f>VLOOKUP(C23,'Sales Master'!B$3:BA$499,52,0)</f>
        <v>16</v>
      </c>
      <c r="L23" s="77">
        <f t="shared" si="0"/>
        <v>16</v>
      </c>
      <c r="M23" s="78"/>
      <c r="N23" s="225">
        <f>VLOOKUP(C23,'Sales Master'!$B$3:$DA$3038,104,0)</f>
        <v>11</v>
      </c>
      <c r="O23" s="225">
        <f t="shared" si="1"/>
        <v>5</v>
      </c>
      <c r="P23" s="225">
        <f t="shared" si="2"/>
        <v>5</v>
      </c>
    </row>
    <row r="24" spans="2:16" ht="20.149999999999999" customHeight="1" x14ac:dyDescent="0.45">
      <c r="B24" s="34"/>
      <c r="C24" s="197" t="s">
        <v>1643</v>
      </c>
      <c r="D24" s="508" t="str">
        <f>VLOOKUP(C24,'Sales Master'!B$3:D$499,2,)</f>
        <v>Wolfberry 枸杞子</v>
      </c>
      <c r="E24" s="508"/>
      <c r="F24" s="508"/>
      <c r="G24" s="197">
        <v>0.5</v>
      </c>
      <c r="H24" s="68" t="str">
        <f>VLOOKUP(C24,'Sales Master'!$B$3:$F$3179,5,0)</f>
        <v>500 GM X 2</v>
      </c>
      <c r="I24" s="481" t="str">
        <f>VLOOKUP(C24,'Sales Master'!$B$3:$E$3179,4,0)</f>
        <v>-</v>
      </c>
      <c r="J24" s="481"/>
      <c r="K24" s="35">
        <f>VLOOKUP(C24,'Sales Master'!B$3:BA$499,52,0)</f>
        <v>16</v>
      </c>
      <c r="L24" s="77">
        <f t="shared" si="0"/>
        <v>8</v>
      </c>
      <c r="M24" s="78"/>
      <c r="N24" s="225">
        <f>VLOOKUP(C24,'Sales Master'!$B$3:$DA$3038,104,0)</f>
        <v>12</v>
      </c>
      <c r="O24" s="225">
        <f t="shared" si="1"/>
        <v>4</v>
      </c>
      <c r="P24" s="225">
        <f t="shared" si="2"/>
        <v>2</v>
      </c>
    </row>
    <row r="25" spans="2:16" ht="20.149999999999999" customHeight="1" x14ac:dyDescent="0.45">
      <c r="B25" s="34"/>
      <c r="C25" s="22" t="s">
        <v>1789</v>
      </c>
      <c r="D25" s="508" t="str">
        <f>VLOOKUP(C25,'Sales Master'!B$3:D$499,2,)</f>
        <v>Sweet Potato 番薯</v>
      </c>
      <c r="E25" s="508"/>
      <c r="F25" s="508"/>
      <c r="G25" s="197">
        <v>10</v>
      </c>
      <c r="H25" s="68" t="str">
        <f>VLOOKUP(C25,'Sales Master'!$B$3:$F$3179,5,0)</f>
        <v>1 KG</v>
      </c>
      <c r="I25" s="481" t="str">
        <f>VLOOKUP(C25,'Sales Master'!$B$3:$E$3179,4,0)</f>
        <v>Malaysia</v>
      </c>
      <c r="J25" s="481"/>
      <c r="K25" s="35">
        <f>VLOOKUP(C25,'Sales Master'!B$3:BA$499,52,0)</f>
        <v>2.5</v>
      </c>
      <c r="L25" s="77">
        <f t="shared" si="0"/>
        <v>25</v>
      </c>
      <c r="M25" s="78"/>
      <c r="N25" s="225">
        <f>VLOOKUP(C25,'Sales Master'!$B$3:$DA$3038,104,0)</f>
        <v>1.8666666666666665</v>
      </c>
      <c r="O25" s="225">
        <f t="shared" si="1"/>
        <v>0.63333333333333353</v>
      </c>
      <c r="P25" s="225">
        <f t="shared" si="2"/>
        <v>6.3333333333333357</v>
      </c>
    </row>
    <row r="26" spans="2:16" ht="20.149999999999999" customHeight="1" x14ac:dyDescent="0.45">
      <c r="B26" s="34"/>
      <c r="C26" s="22" t="s">
        <v>1794</v>
      </c>
      <c r="D26" s="508" t="str">
        <f>VLOOKUP(C26,'Sales Master'!B$3:D$499,2,)</f>
        <v>Pandan Leaf 班兰叶</v>
      </c>
      <c r="E26" s="508"/>
      <c r="F26" s="508"/>
      <c r="G26" s="22">
        <v>1</v>
      </c>
      <c r="H26" s="68" t="str">
        <f>VLOOKUP(C26,'Sales Master'!$B$3:$F$3179,5,0)</f>
        <v>1 kg</v>
      </c>
      <c r="I26" s="481" t="str">
        <f>VLOOKUP(C26,'Sales Master'!$B$3:$E$3179,4,0)</f>
        <v>-</v>
      </c>
      <c r="J26" s="481"/>
      <c r="K26" s="35">
        <f>VLOOKUP(C26,'Sales Master'!B$3:BA$499,52,0)</f>
        <v>1.8</v>
      </c>
      <c r="L26" s="77">
        <f t="shared" si="0"/>
        <v>1.8</v>
      </c>
      <c r="M26" s="78"/>
      <c r="N26" s="225">
        <f>VLOOKUP(C26,'Sales Master'!$B$3:$DA$3038,104,0)</f>
        <v>1</v>
      </c>
      <c r="O26" s="225">
        <f t="shared" si="1"/>
        <v>0.8</v>
      </c>
      <c r="P26" s="225">
        <f t="shared" si="2"/>
        <v>0.8</v>
      </c>
    </row>
    <row r="27" spans="2:16" ht="20.149999999999999" customHeight="1" x14ac:dyDescent="0.45">
      <c r="B27" s="34"/>
      <c r="C27" s="22"/>
      <c r="D27" s="508"/>
      <c r="E27" s="508"/>
      <c r="F27" s="508"/>
      <c r="G27" s="22"/>
      <c r="H27" s="68"/>
      <c r="I27" s="481"/>
      <c r="J27" s="481"/>
      <c r="K27" s="35"/>
      <c r="L27" s="77"/>
      <c r="M27" s="78"/>
    </row>
    <row r="28" spans="2:16" ht="20.149999999999999" customHeight="1" x14ac:dyDescent="0.45">
      <c r="B28" s="34"/>
      <c r="C28" s="22"/>
      <c r="D28" s="508"/>
      <c r="E28" s="508"/>
      <c r="F28" s="508"/>
      <c r="G28" s="22"/>
      <c r="H28" s="68"/>
      <c r="I28" s="450"/>
      <c r="J28" s="450"/>
      <c r="K28" s="35"/>
      <c r="L28" s="36"/>
    </row>
    <row r="29" spans="2:16" ht="20.149999999999999" customHeight="1" thickBot="1" x14ac:dyDescent="0.5">
      <c r="B29" s="37"/>
      <c r="C29" s="38"/>
      <c r="D29" s="509"/>
      <c r="E29" s="509"/>
      <c r="F29" s="509"/>
      <c r="G29" s="38"/>
      <c r="H29" s="69"/>
      <c r="I29" s="451"/>
      <c r="J29" s="451"/>
      <c r="K29" s="39"/>
      <c r="L29" s="40"/>
    </row>
    <row r="30" spans="2:16" ht="20.149999999999999" customHeight="1" thickBot="1" x14ac:dyDescent="0.5">
      <c r="B30" s="41"/>
      <c r="L30" s="42"/>
    </row>
    <row r="31" spans="2:16" ht="20.149999999999999" customHeight="1" x14ac:dyDescent="0.45">
      <c r="B31" s="11" t="s">
        <v>18</v>
      </c>
      <c r="C31" s="7"/>
      <c r="D31" s="7"/>
      <c r="E31" s="7"/>
      <c r="F31" s="7"/>
      <c r="G31" s="7"/>
      <c r="H31" s="7"/>
      <c r="I31" s="7"/>
      <c r="J31" s="510" t="s">
        <v>15</v>
      </c>
      <c r="K31" s="511"/>
      <c r="L31" s="43">
        <f>SUM(L17:L28)</f>
        <v>149.30000000000001</v>
      </c>
      <c r="M31" s="76">
        <f>SUM(P18:P28)</f>
        <v>37.193333333333335</v>
      </c>
      <c r="N31" s="201">
        <f>M31/L31</f>
        <v>0.24911810672025006</v>
      </c>
    </row>
    <row r="32" spans="2:16" ht="20.149999999999999" customHeight="1" x14ac:dyDescent="0.45">
      <c r="B32" s="11" t="s">
        <v>19</v>
      </c>
      <c r="C32" s="7"/>
      <c r="D32" s="7"/>
      <c r="E32" s="7"/>
      <c r="F32" s="7"/>
      <c r="G32" s="7"/>
      <c r="H32" s="7"/>
      <c r="I32" s="7"/>
      <c r="J32" s="44" t="s">
        <v>22</v>
      </c>
      <c r="K32" s="45"/>
      <c r="L32" s="46">
        <f>L31*K32</f>
        <v>0</v>
      </c>
    </row>
    <row r="33" spans="2:12" ht="20.149999999999999" customHeight="1" x14ac:dyDescent="0.45">
      <c r="B33" s="11" t="s">
        <v>20</v>
      </c>
      <c r="C33" s="7"/>
      <c r="D33" s="7"/>
      <c r="E33" s="7"/>
      <c r="F33" s="7"/>
      <c r="G33" s="7"/>
      <c r="H33" s="7"/>
      <c r="I33" s="7"/>
      <c r="J33" s="486" t="s">
        <v>21</v>
      </c>
      <c r="K33" s="487"/>
      <c r="L33" s="46">
        <f>L31-L32</f>
        <v>149.30000000000001</v>
      </c>
    </row>
    <row r="34" spans="2:12" ht="20.149999999999999" customHeight="1" x14ac:dyDescent="0.45">
      <c r="B34" s="11" t="s">
        <v>24</v>
      </c>
      <c r="C34" s="7"/>
      <c r="D34" s="7"/>
      <c r="E34" s="7"/>
      <c r="F34" s="7"/>
      <c r="G34" s="7"/>
      <c r="H34" s="7"/>
      <c r="I34" s="7"/>
      <c r="J34" s="150" t="s">
        <v>17</v>
      </c>
      <c r="K34" s="151">
        <v>7.0000000000000007E-2</v>
      </c>
      <c r="L34" s="47">
        <f>L33*K34</f>
        <v>10.451000000000002</v>
      </c>
    </row>
    <row r="35" spans="2:12" ht="20.149999999999999" customHeight="1" thickBot="1" x14ac:dyDescent="0.5">
      <c r="B35" s="11" t="s">
        <v>1400</v>
      </c>
      <c r="C35" s="7"/>
      <c r="D35" s="7"/>
      <c r="E35" s="7"/>
      <c r="F35" s="7"/>
      <c r="G35" s="7"/>
      <c r="H35" s="7"/>
      <c r="I35" s="7"/>
      <c r="J35" s="488" t="s">
        <v>23</v>
      </c>
      <c r="K35" s="489"/>
      <c r="L35" s="48">
        <f>L33+L34</f>
        <v>159.751</v>
      </c>
    </row>
    <row r="36" spans="2:12" ht="20.149999999999999" customHeight="1" x14ac:dyDescent="0.45">
      <c r="B36" s="11" t="s">
        <v>26</v>
      </c>
      <c r="C36" s="7"/>
      <c r="D36" s="7"/>
      <c r="E36" s="7"/>
      <c r="F36" s="7"/>
      <c r="G36" s="7"/>
      <c r="H36" s="7"/>
      <c r="I36" s="7"/>
      <c r="L36" s="42"/>
    </row>
    <row r="37" spans="2:12" ht="20.149999999999999" customHeight="1" x14ac:dyDescent="0.45">
      <c r="B37" s="224" t="s">
        <v>1379</v>
      </c>
      <c r="L37" s="42"/>
    </row>
    <row r="38" spans="2:12" ht="20.149999999999999" customHeight="1" x14ac:dyDescent="0.45">
      <c r="B38" s="41"/>
      <c r="L38" s="42"/>
    </row>
    <row r="39" spans="2:12" ht="20.149999999999999" customHeight="1" x14ac:dyDescent="0.45">
      <c r="B39" s="41"/>
      <c r="L39" s="42"/>
    </row>
    <row r="40" spans="2:12" ht="20.149999999999999" customHeight="1" x14ac:dyDescent="0.45">
      <c r="B40" s="41"/>
      <c r="L40" s="42"/>
    </row>
    <row r="41" spans="2:12" ht="20.149999999999999" customHeight="1" x14ac:dyDescent="0.45">
      <c r="B41" s="49"/>
      <c r="C41" s="50"/>
      <c r="D41" s="50"/>
      <c r="J41" s="50"/>
      <c r="K41" s="50"/>
      <c r="L41" s="51"/>
    </row>
    <row r="42" spans="2:12" ht="20.149999999999999" customHeight="1" x14ac:dyDescent="0.45">
      <c r="B42" s="41" t="s">
        <v>27</v>
      </c>
      <c r="J42" s="24" t="s">
        <v>28</v>
      </c>
      <c r="L42" s="42"/>
    </row>
    <row r="43" spans="2:12" ht="19" thickBot="1" x14ac:dyDescent="0.5">
      <c r="B43" s="52"/>
      <c r="C43" s="53"/>
      <c r="D43" s="53"/>
      <c r="E43" s="53"/>
      <c r="F43" s="53"/>
      <c r="G43" s="53"/>
      <c r="H43" s="53"/>
      <c r="I43" s="53"/>
      <c r="J43" s="53"/>
      <c r="K43" s="53"/>
      <c r="L43" s="54"/>
    </row>
  </sheetData>
  <mergeCells count="42">
    <mergeCell ref="D24:F24"/>
    <mergeCell ref="I24:J24"/>
    <mergeCell ref="D22:F22"/>
    <mergeCell ref="I22:J22"/>
    <mergeCell ref="D23:F23"/>
    <mergeCell ref="I23:J23"/>
    <mergeCell ref="J35:K35"/>
    <mergeCell ref="D28:F28"/>
    <mergeCell ref="I28:J28"/>
    <mergeCell ref="D29:F29"/>
    <mergeCell ref="I29:J29"/>
    <mergeCell ref="J31:K31"/>
    <mergeCell ref="J33:K33"/>
    <mergeCell ref="D26:F26"/>
    <mergeCell ref="I26:J26"/>
    <mergeCell ref="D27:F27"/>
    <mergeCell ref="I27:J27"/>
    <mergeCell ref="I25:J25"/>
    <mergeCell ref="D25:F25"/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I18:J18"/>
    <mergeCell ref="B14:D14"/>
    <mergeCell ref="K14:L14"/>
    <mergeCell ref="K15:L15"/>
    <mergeCell ref="B15:D15"/>
    <mergeCell ref="D19:F19"/>
    <mergeCell ref="I20:J20"/>
    <mergeCell ref="I19:J19"/>
    <mergeCell ref="D21:F21"/>
    <mergeCell ref="I21:J21"/>
    <mergeCell ref="D20:F20"/>
  </mergeCells>
  <pageMargins left="0.70866141732283505" right="0.31496062992126" top="0.59055118110236204" bottom="0" header="0.31496062992126" footer="0.31496062992126"/>
  <pageSetup paperSize="9" scale="77" orientation="portrait" horizontalDpi="300" verticalDpi="300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F0747F-1B72-4A4A-BF3D-80BDF2184115}">
  <sheetPr codeName="Sheet91">
    <tabColor rgb="FF92D050"/>
    <pageSetUpPr fitToPage="1"/>
  </sheetPr>
  <dimension ref="B1:P42"/>
  <sheetViews>
    <sheetView workbookViewId="0">
      <selection activeCell="B1" sqref="B1:L41"/>
    </sheetView>
  </sheetViews>
  <sheetFormatPr defaultColWidth="12.54296875" defaultRowHeight="18.5" x14ac:dyDescent="0.45"/>
  <cols>
    <col min="1" max="1" width="12.54296875" style="24"/>
    <col min="2" max="3" width="12.54296875" style="24" customWidth="1"/>
    <col min="4" max="4" width="13.81640625" style="24" customWidth="1"/>
    <col min="5" max="5" width="1.54296875" style="24" customWidth="1"/>
    <col min="6" max="6" width="15.54296875" style="24" customWidth="1"/>
    <col min="7" max="7" width="8.54296875" style="24" customWidth="1"/>
    <col min="8" max="8" width="15.54296875" style="24" customWidth="1"/>
    <col min="9" max="9" width="2.54296875" style="24" customWidth="1"/>
    <col min="10" max="10" width="15.54296875" style="24" customWidth="1"/>
    <col min="11" max="11" width="10.54296875" style="24" customWidth="1"/>
    <col min="12" max="12" width="12.54296875" style="24" customWidth="1"/>
    <col min="13" max="16384" width="12.54296875" style="24"/>
  </cols>
  <sheetData>
    <row r="1" spans="2:12" x14ac:dyDescent="0.45"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2:12" x14ac:dyDescent="0.45"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2:12" x14ac:dyDescent="0.45"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</row>
    <row r="4" spans="2:12" x14ac:dyDescent="0.4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2:12" x14ac:dyDescent="0.45"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2:12" x14ac:dyDescent="0.45"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2:12" x14ac:dyDescent="0.45"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9" thickBot="1" x14ac:dyDescent="0.5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</row>
    <row r="9" spans="2:12" ht="19" thickBot="1" x14ac:dyDescent="0.5">
      <c r="B9" s="23"/>
    </row>
    <row r="10" spans="2:12" ht="18" customHeight="1" thickTop="1" thickBot="1" x14ac:dyDescent="0.5">
      <c r="B10" s="25" t="s">
        <v>9</v>
      </c>
      <c r="C10" s="25"/>
      <c r="D10" s="26"/>
      <c r="E10" s="26"/>
      <c r="F10" s="27" t="s">
        <v>10</v>
      </c>
      <c r="G10" s="28"/>
      <c r="H10" s="28" t="s">
        <v>1408</v>
      </c>
      <c r="J10" s="29" t="s">
        <v>29</v>
      </c>
      <c r="K10" s="452">
        <v>202210003</v>
      </c>
      <c r="L10" s="453"/>
    </row>
    <row r="11" spans="2:12" ht="20.149999999999999" customHeight="1" x14ac:dyDescent="0.45">
      <c r="B11" s="454" t="s">
        <v>2037</v>
      </c>
      <c r="C11" s="455"/>
      <c r="D11" s="456"/>
      <c r="E11" s="30"/>
      <c r="F11" s="457" t="str">
        <f>VLOOKUP(H10,'Delivery Location'!A$4:N$416,2,0)</f>
        <v>WaterWay Point                                            83 Punggol Central #02-20/21 Singapore 828761                               (DIM SUM STALL)</v>
      </c>
      <c r="G11" s="458"/>
      <c r="H11" s="459"/>
      <c r="J11" s="31" t="s">
        <v>11</v>
      </c>
      <c r="K11" s="466">
        <v>44835</v>
      </c>
      <c r="L11" s="467"/>
    </row>
    <row r="12" spans="2:12" ht="20.149999999999999" customHeight="1" x14ac:dyDescent="0.45">
      <c r="B12" s="468" t="s">
        <v>2023</v>
      </c>
      <c r="C12" s="469"/>
      <c r="D12" s="470"/>
      <c r="E12" s="30"/>
      <c r="F12" s="460"/>
      <c r="G12" s="461"/>
      <c r="H12" s="462"/>
      <c r="J12" s="31" t="s">
        <v>171</v>
      </c>
      <c r="K12" s="551" t="s">
        <v>36</v>
      </c>
      <c r="L12" s="472"/>
    </row>
    <row r="13" spans="2:12" ht="20.149999999999999" customHeight="1" x14ac:dyDescent="0.45">
      <c r="B13" s="468" t="s">
        <v>2024</v>
      </c>
      <c r="C13" s="469"/>
      <c r="D13" s="470"/>
      <c r="E13" s="30"/>
      <c r="F13" s="460"/>
      <c r="G13" s="461"/>
      <c r="H13" s="462"/>
      <c r="J13" s="31" t="s">
        <v>12</v>
      </c>
      <c r="K13" s="471" t="s">
        <v>14</v>
      </c>
      <c r="L13" s="472"/>
    </row>
    <row r="14" spans="2:12" ht="20.149999999999999" customHeight="1" x14ac:dyDescent="0.45">
      <c r="B14" s="468" t="s">
        <v>2025</v>
      </c>
      <c r="C14" s="469"/>
      <c r="D14" s="470"/>
      <c r="E14" s="30"/>
      <c r="F14" s="460"/>
      <c r="G14" s="461"/>
      <c r="H14" s="462"/>
      <c r="J14" s="31" t="s">
        <v>30</v>
      </c>
      <c r="K14" s="471" t="s">
        <v>16</v>
      </c>
      <c r="L14" s="472"/>
    </row>
    <row r="15" spans="2:12" ht="18" customHeight="1" thickBot="1" x14ac:dyDescent="0.5">
      <c r="B15" s="463" t="s">
        <v>2026</v>
      </c>
      <c r="C15" s="464"/>
      <c r="D15" s="465"/>
      <c r="E15" s="26"/>
      <c r="F15" s="463"/>
      <c r="G15" s="464"/>
      <c r="H15" s="465"/>
      <c r="J15" s="32" t="s">
        <v>13</v>
      </c>
      <c r="K15" s="476"/>
      <c r="L15" s="477"/>
    </row>
    <row r="16" spans="2:12" ht="19" thickBot="1" x14ac:dyDescent="0.5">
      <c r="J16" s="22"/>
    </row>
    <row r="17" spans="2:16" ht="30" customHeight="1" thickBot="1" x14ac:dyDescent="0.5">
      <c r="B17" s="8" t="s">
        <v>2</v>
      </c>
      <c r="C17" s="9" t="s">
        <v>3</v>
      </c>
      <c r="D17" s="478" t="s">
        <v>4</v>
      </c>
      <c r="E17" s="483"/>
      <c r="F17" s="479"/>
      <c r="G17" s="19" t="s">
        <v>620</v>
      </c>
      <c r="H17" s="9" t="s">
        <v>31</v>
      </c>
      <c r="I17" s="478" t="s">
        <v>60</v>
      </c>
      <c r="J17" s="479"/>
      <c r="K17" s="9" t="s">
        <v>6</v>
      </c>
      <c r="L17" s="10" t="s">
        <v>7</v>
      </c>
      <c r="M17" s="33"/>
      <c r="N17" s="383" t="s">
        <v>2138</v>
      </c>
      <c r="O17" s="383" t="s">
        <v>2141</v>
      </c>
      <c r="P17" s="383" t="s">
        <v>2142</v>
      </c>
    </row>
    <row r="18" spans="2:16" ht="20.149999999999999" customHeight="1" x14ac:dyDescent="0.45">
      <c r="B18" s="34"/>
      <c r="C18" s="22" t="s">
        <v>1532</v>
      </c>
      <c r="D18" s="508" t="str">
        <f>VLOOKUP(C18,'Sales Master'!B$3:D$499,2,)</f>
        <v>Sweet Potato Powder番薯粉</v>
      </c>
      <c r="E18" s="508"/>
      <c r="F18" s="508"/>
      <c r="G18" s="22">
        <v>1</v>
      </c>
      <c r="H18" s="391" t="str">
        <f>VLOOKUP(C18,'Sales Master'!$B$3:$F$3179,5,0)</f>
        <v>(500gm x 20Pkt)包</v>
      </c>
      <c r="I18" s="482" t="str">
        <f>VLOOKUP(C18,'Sales Master'!$B$3:$E$3179,4,0)</f>
        <v>RE-PACK</v>
      </c>
      <c r="J18" s="482"/>
      <c r="K18" s="35">
        <f>VLOOKUP(C18,'Sales Master'!B$3:AO$499,40,0)</f>
        <v>32</v>
      </c>
      <c r="L18" s="77">
        <f>K18*G18</f>
        <v>32</v>
      </c>
      <c r="M18" s="78"/>
      <c r="N18" s="225">
        <f>VLOOKUP(C18,'Sales Master'!$B$3:$DA$3038,104,0)</f>
        <v>24.8</v>
      </c>
      <c r="O18" s="225">
        <f>K18-N18</f>
        <v>7.1999999999999993</v>
      </c>
      <c r="P18" s="225">
        <f>O18*G18</f>
        <v>7.1999999999999993</v>
      </c>
    </row>
    <row r="19" spans="2:16" ht="20.149999999999999" customHeight="1" x14ac:dyDescent="0.45">
      <c r="B19" s="34"/>
      <c r="C19" s="22" t="s">
        <v>1736</v>
      </c>
      <c r="D19" s="508" t="str">
        <f>VLOOKUP(C19,'Sales Master'!B$3:D$499,2,)</f>
        <v>Coconut Milk 椰浆</v>
      </c>
      <c r="E19" s="508"/>
      <c r="F19" s="508"/>
      <c r="G19" s="22">
        <v>2</v>
      </c>
      <c r="H19" s="389" t="str">
        <f>VLOOKUP(C19,'Sales Master'!$B$3:$F$3179,5,0)</f>
        <v>(1L x 12bag)/箱</v>
      </c>
      <c r="I19" s="482" t="str">
        <f>VLOOKUP(C19,'Sales Master'!$B$3:$E$3179,4,0)</f>
        <v>Kara UHT</v>
      </c>
      <c r="J19" s="482"/>
      <c r="K19" s="35">
        <f>VLOOKUP(C19,'Sales Master'!B$3:AO$499,40,0)</f>
        <v>42</v>
      </c>
      <c r="L19" s="77">
        <f>K19*G19</f>
        <v>84</v>
      </c>
      <c r="M19" s="78"/>
      <c r="N19" s="225">
        <f>VLOOKUP(C19,'Sales Master'!$B$3:$DA$3038,104,0)</f>
        <v>35.5</v>
      </c>
      <c r="O19" s="225">
        <f>K19-N19</f>
        <v>6.5</v>
      </c>
      <c r="P19" s="225">
        <f>O19*G19</f>
        <v>13</v>
      </c>
    </row>
    <row r="20" spans="2:16" ht="20.149999999999999" customHeight="1" x14ac:dyDescent="0.45">
      <c r="B20" s="34"/>
      <c r="C20" s="22"/>
      <c r="D20" s="508"/>
      <c r="E20" s="508"/>
      <c r="F20" s="508"/>
      <c r="G20" s="22"/>
      <c r="H20" s="68"/>
      <c r="I20" s="481"/>
      <c r="J20" s="481"/>
      <c r="K20" s="35"/>
      <c r="L20" s="77"/>
      <c r="M20" s="78"/>
    </row>
    <row r="21" spans="2:16" ht="20.149999999999999" customHeight="1" x14ac:dyDescent="0.45">
      <c r="B21" s="34"/>
      <c r="C21" s="22"/>
      <c r="D21" s="508"/>
      <c r="E21" s="508"/>
      <c r="F21" s="508"/>
      <c r="G21" s="22"/>
      <c r="H21" s="68"/>
      <c r="I21" s="481"/>
      <c r="J21" s="481"/>
      <c r="K21" s="35"/>
      <c r="L21" s="77"/>
      <c r="M21" s="78"/>
    </row>
    <row r="22" spans="2:16" ht="20.149999999999999" customHeight="1" x14ac:dyDescent="0.45">
      <c r="B22" s="34"/>
      <c r="C22" s="22"/>
      <c r="D22" s="508"/>
      <c r="E22" s="508"/>
      <c r="F22" s="508"/>
      <c r="G22" s="22"/>
      <c r="H22" s="68"/>
      <c r="I22" s="481"/>
      <c r="J22" s="481"/>
      <c r="K22" s="35"/>
      <c r="L22" s="77"/>
      <c r="M22" s="78"/>
    </row>
    <row r="23" spans="2:16" ht="20.149999999999999" customHeight="1" x14ac:dyDescent="0.45">
      <c r="B23" s="34"/>
      <c r="C23" s="22"/>
      <c r="D23" s="508"/>
      <c r="E23" s="508"/>
      <c r="F23" s="508"/>
      <c r="G23" s="22"/>
      <c r="H23" s="68"/>
      <c r="I23" s="481"/>
      <c r="J23" s="481"/>
      <c r="K23" s="35"/>
      <c r="L23" s="77"/>
      <c r="M23" s="78"/>
      <c r="N23" s="125"/>
    </row>
    <row r="24" spans="2:16" ht="20.149999999999999" customHeight="1" x14ac:dyDescent="0.45">
      <c r="B24" s="34"/>
      <c r="C24" s="22"/>
      <c r="D24" s="508"/>
      <c r="E24" s="508"/>
      <c r="F24" s="508"/>
      <c r="G24" s="22"/>
      <c r="H24" s="68"/>
      <c r="I24" s="481"/>
      <c r="J24" s="481"/>
      <c r="K24" s="35"/>
      <c r="L24" s="77"/>
      <c r="M24" s="78"/>
    </row>
    <row r="25" spans="2:16" ht="20.149999999999999" customHeight="1" x14ac:dyDescent="0.45">
      <c r="B25" s="34"/>
      <c r="C25" s="22"/>
      <c r="D25" s="508"/>
      <c r="E25" s="508"/>
      <c r="F25" s="508"/>
      <c r="G25" s="22"/>
      <c r="H25" s="68"/>
      <c r="I25" s="481"/>
      <c r="J25" s="481"/>
      <c r="K25" s="35"/>
      <c r="L25" s="77"/>
      <c r="M25" s="78"/>
    </row>
    <row r="26" spans="2:16" ht="20.149999999999999" customHeight="1" x14ac:dyDescent="0.45">
      <c r="B26" s="34"/>
      <c r="C26" s="22"/>
      <c r="D26" s="508"/>
      <c r="E26" s="508"/>
      <c r="F26" s="508"/>
      <c r="G26" s="22"/>
      <c r="H26" s="68"/>
      <c r="I26" s="450"/>
      <c r="J26" s="450"/>
      <c r="K26" s="35"/>
      <c r="L26" s="77"/>
    </row>
    <row r="27" spans="2:16" ht="20.149999999999999" customHeight="1" thickBot="1" x14ac:dyDescent="0.5">
      <c r="B27" s="37"/>
      <c r="C27" s="38"/>
      <c r="D27" s="509"/>
      <c r="E27" s="509"/>
      <c r="F27" s="509"/>
      <c r="G27" s="38"/>
      <c r="H27" s="69"/>
      <c r="I27" s="451"/>
      <c r="J27" s="451"/>
      <c r="K27" s="39"/>
      <c r="L27" s="40"/>
    </row>
    <row r="28" spans="2:16" ht="20.149999999999999" customHeight="1" thickBot="1" x14ac:dyDescent="0.5">
      <c r="B28" s="41"/>
      <c r="L28" s="42"/>
    </row>
    <row r="29" spans="2:16" ht="20.149999999999999" customHeight="1" x14ac:dyDescent="0.45">
      <c r="B29" s="11" t="s">
        <v>18</v>
      </c>
      <c r="D29" s="7"/>
      <c r="E29" s="7"/>
      <c r="F29" s="7"/>
      <c r="G29" s="7"/>
      <c r="H29" s="7"/>
      <c r="I29" s="7"/>
      <c r="J29" s="510" t="s">
        <v>15</v>
      </c>
      <c r="K29" s="511"/>
      <c r="L29" s="43">
        <f>SUM(L17:L28)</f>
        <v>116</v>
      </c>
      <c r="M29" s="76">
        <f>SUM(P18:P26)</f>
        <v>20.2</v>
      </c>
      <c r="N29" s="201">
        <f>M29/L29</f>
        <v>0.17413793103448275</v>
      </c>
    </row>
    <row r="30" spans="2:16" ht="20.149999999999999" customHeight="1" x14ac:dyDescent="0.45">
      <c r="B30" s="11" t="s">
        <v>19</v>
      </c>
      <c r="C30" s="7"/>
      <c r="D30" s="7"/>
      <c r="E30" s="7"/>
      <c r="F30" s="7"/>
      <c r="G30" s="7"/>
      <c r="H30" s="7"/>
      <c r="I30" s="7"/>
      <c r="J30" s="44" t="s">
        <v>22</v>
      </c>
      <c r="K30" s="45"/>
      <c r="L30" s="46">
        <f>L29*K30</f>
        <v>0</v>
      </c>
    </row>
    <row r="31" spans="2:16" ht="20.149999999999999" customHeight="1" x14ac:dyDescent="0.45">
      <c r="B31" s="11" t="s">
        <v>20</v>
      </c>
      <c r="C31" s="7"/>
      <c r="D31" s="7"/>
      <c r="E31" s="7"/>
      <c r="F31" s="7"/>
      <c r="G31" s="7"/>
      <c r="H31" s="7"/>
      <c r="I31" s="7"/>
      <c r="J31" s="486" t="s">
        <v>21</v>
      </c>
      <c r="K31" s="487"/>
      <c r="L31" s="46">
        <f>L29-L30</f>
        <v>116</v>
      </c>
    </row>
    <row r="32" spans="2:16" ht="20.149999999999999" customHeight="1" x14ac:dyDescent="0.45">
      <c r="B32" s="11" t="s">
        <v>24</v>
      </c>
      <c r="C32" s="7"/>
      <c r="D32" s="7"/>
      <c r="E32" s="7"/>
      <c r="F32" s="7"/>
      <c r="G32" s="7"/>
      <c r="H32" s="7"/>
      <c r="I32" s="7"/>
      <c r="J32" s="150" t="s">
        <v>17</v>
      </c>
      <c r="K32" s="151">
        <v>7.0000000000000007E-2</v>
      </c>
      <c r="L32" s="47">
        <f>L31*K32</f>
        <v>8.120000000000001</v>
      </c>
    </row>
    <row r="33" spans="2:12" ht="20.149999999999999" customHeight="1" thickBot="1" x14ac:dyDescent="0.5">
      <c r="B33" s="11" t="s">
        <v>1400</v>
      </c>
      <c r="C33" s="7"/>
      <c r="D33" s="7"/>
      <c r="E33" s="7"/>
      <c r="F33" s="7"/>
      <c r="G33" s="7"/>
      <c r="H33" s="7"/>
      <c r="I33" s="7"/>
      <c r="J33" s="488" t="s">
        <v>23</v>
      </c>
      <c r="K33" s="489"/>
      <c r="L33" s="48">
        <f>L31+L32</f>
        <v>124.12</v>
      </c>
    </row>
    <row r="34" spans="2:12" ht="20.149999999999999" customHeight="1" x14ac:dyDescent="0.45">
      <c r="B34" s="11" t="s">
        <v>26</v>
      </c>
      <c r="C34" s="7"/>
      <c r="D34" s="7"/>
      <c r="E34" s="7"/>
      <c r="F34" s="7"/>
      <c r="G34" s="7"/>
      <c r="H34" s="7"/>
      <c r="I34" s="7"/>
      <c r="L34" s="42"/>
    </row>
    <row r="35" spans="2:12" ht="20.149999999999999" customHeight="1" x14ac:dyDescent="0.45">
      <c r="B35" s="224" t="s">
        <v>1379</v>
      </c>
      <c r="C35" s="7"/>
      <c r="L35" s="42"/>
    </row>
    <row r="36" spans="2:12" ht="20.149999999999999" customHeight="1" x14ac:dyDescent="0.45">
      <c r="B36" s="41"/>
      <c r="L36" s="42"/>
    </row>
    <row r="37" spans="2:12" ht="20.149999999999999" customHeight="1" x14ac:dyDescent="0.45">
      <c r="B37" s="41"/>
      <c r="L37" s="42"/>
    </row>
    <row r="38" spans="2:12" ht="20.149999999999999" customHeight="1" x14ac:dyDescent="0.45">
      <c r="B38" s="41"/>
      <c r="L38" s="42"/>
    </row>
    <row r="39" spans="2:12" ht="20.149999999999999" customHeight="1" x14ac:dyDescent="0.45">
      <c r="B39" s="49"/>
      <c r="C39" s="50"/>
      <c r="D39" s="50"/>
      <c r="J39" s="50"/>
      <c r="K39" s="50"/>
      <c r="L39" s="51"/>
    </row>
    <row r="40" spans="2:12" ht="20.149999999999999" customHeight="1" x14ac:dyDescent="0.45">
      <c r="B40" s="41" t="s">
        <v>27</v>
      </c>
      <c r="C40" s="50"/>
      <c r="J40" s="24" t="s">
        <v>28</v>
      </c>
      <c r="L40" s="42"/>
    </row>
    <row r="41" spans="2:12" ht="19" thickBot="1" x14ac:dyDescent="0.5">
      <c r="B41" s="52"/>
      <c r="C41" s="194"/>
      <c r="D41" s="53"/>
      <c r="E41" s="53"/>
      <c r="F41" s="53"/>
      <c r="G41" s="53"/>
      <c r="H41" s="53"/>
      <c r="I41" s="53"/>
      <c r="J41" s="53"/>
      <c r="K41" s="53"/>
      <c r="L41" s="54"/>
    </row>
    <row r="42" spans="2:12" ht="19" thickBot="1" x14ac:dyDescent="0.5">
      <c r="C42" s="53"/>
    </row>
  </sheetData>
  <mergeCells count="38">
    <mergeCell ref="J31:K31"/>
    <mergeCell ref="J33:K33"/>
    <mergeCell ref="D26:F26"/>
    <mergeCell ref="I26:J26"/>
    <mergeCell ref="D27:F27"/>
    <mergeCell ref="I27:J27"/>
    <mergeCell ref="J29:K29"/>
    <mergeCell ref="D23:F23"/>
    <mergeCell ref="I23:J23"/>
    <mergeCell ref="D24:F24"/>
    <mergeCell ref="I24:J24"/>
    <mergeCell ref="D25:F25"/>
    <mergeCell ref="I25:J25"/>
    <mergeCell ref="D20:F20"/>
    <mergeCell ref="I20:J20"/>
    <mergeCell ref="D21:F21"/>
    <mergeCell ref="I21:J21"/>
    <mergeCell ref="D22:F22"/>
    <mergeCell ref="I22:J22"/>
    <mergeCell ref="D17:F17"/>
    <mergeCell ref="I17:J17"/>
    <mergeCell ref="D18:F18"/>
    <mergeCell ref="I18:J18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</mergeCells>
  <pageMargins left="0.70866141732283472" right="0.31496062992125984" top="0.59055118110236227" bottom="0" header="0.31496062992125984" footer="0.31496062992125984"/>
  <pageSetup paperSize="9" scale="77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210</vt:i4>
      </vt:variant>
      <vt:variant>
        <vt:lpstr>Named Ranges</vt:lpstr>
      </vt:variant>
      <vt:variant>
        <vt:i4>211</vt:i4>
      </vt:variant>
    </vt:vector>
  </HeadingPairs>
  <TitlesOfParts>
    <vt:vector size="421" baseType="lpstr">
      <vt:lpstr>#61</vt:lpstr>
      <vt:lpstr>Sales Master</vt:lpstr>
      <vt:lpstr>Delivery Location</vt:lpstr>
      <vt:lpstr>#193</vt:lpstr>
      <vt:lpstr>#197</vt:lpstr>
      <vt:lpstr>#196</vt:lpstr>
      <vt:lpstr>#195</vt:lpstr>
      <vt:lpstr>#194</vt:lpstr>
      <vt:lpstr>#192</vt:lpstr>
      <vt:lpstr>#191</vt:lpstr>
      <vt:lpstr>#190</vt:lpstr>
      <vt:lpstr>#189</vt:lpstr>
      <vt:lpstr>#188</vt:lpstr>
      <vt:lpstr>#187</vt:lpstr>
      <vt:lpstr>#21</vt:lpstr>
      <vt:lpstr>#64</vt:lpstr>
      <vt:lpstr>#04-33 Picking List</vt:lpstr>
      <vt:lpstr>#04-36 Picking List</vt:lpstr>
      <vt:lpstr>好运 </vt:lpstr>
      <vt:lpstr>NY LIST</vt:lpstr>
      <vt:lpstr>Product Master</vt:lpstr>
      <vt:lpstr>Teck Wah</vt:lpstr>
      <vt:lpstr>order list new</vt:lpstr>
      <vt:lpstr>FOODGLE</vt:lpstr>
      <vt:lpstr>Yuan Yuan</vt:lpstr>
      <vt:lpstr>BLK 248</vt:lpstr>
      <vt:lpstr>ORDER LIST</vt:lpstr>
      <vt:lpstr>#94</vt:lpstr>
      <vt:lpstr>#34</vt:lpstr>
      <vt:lpstr>#90</vt:lpstr>
      <vt:lpstr>SAMPLE</vt:lpstr>
      <vt:lpstr>#185</vt:lpstr>
      <vt:lpstr>#184</vt:lpstr>
      <vt:lpstr>#183</vt:lpstr>
      <vt:lpstr>#172</vt:lpstr>
      <vt:lpstr>#170</vt:lpstr>
      <vt:lpstr>#176</vt:lpstr>
      <vt:lpstr>#182</vt:lpstr>
      <vt:lpstr>#153</vt:lpstr>
      <vt:lpstr>#86</vt:lpstr>
      <vt:lpstr>#171</vt:lpstr>
      <vt:lpstr>#181</vt:lpstr>
      <vt:lpstr>#181 (2)</vt:lpstr>
      <vt:lpstr>#180</vt:lpstr>
      <vt:lpstr>#179</vt:lpstr>
      <vt:lpstr>#88</vt:lpstr>
      <vt:lpstr>#88 (2)</vt:lpstr>
      <vt:lpstr>#85</vt:lpstr>
      <vt:lpstr>#84</vt:lpstr>
      <vt:lpstr>#173</vt:lpstr>
      <vt:lpstr>#174</vt:lpstr>
      <vt:lpstr>#166</vt:lpstr>
      <vt:lpstr>#168</vt:lpstr>
      <vt:lpstr>#175</vt:lpstr>
      <vt:lpstr>#178</vt:lpstr>
      <vt:lpstr>#164</vt:lpstr>
      <vt:lpstr>#169</vt:lpstr>
      <vt:lpstr>#80</vt:lpstr>
      <vt:lpstr>#04</vt:lpstr>
      <vt:lpstr>#02</vt:lpstr>
      <vt:lpstr>#03</vt:lpstr>
      <vt:lpstr>#163</vt:lpstr>
      <vt:lpstr>#162</vt:lpstr>
      <vt:lpstr>#161</vt:lpstr>
      <vt:lpstr>#165</vt:lpstr>
      <vt:lpstr>#58</vt:lpstr>
      <vt:lpstr>#08</vt:lpstr>
      <vt:lpstr>#25</vt:lpstr>
      <vt:lpstr>#71</vt:lpstr>
      <vt:lpstr>#18</vt:lpstr>
      <vt:lpstr>#157</vt:lpstr>
      <vt:lpstr>#157 (2)</vt:lpstr>
      <vt:lpstr>#145</vt:lpstr>
      <vt:lpstr>#152</vt:lpstr>
      <vt:lpstr>#154</vt:lpstr>
      <vt:lpstr>#155</vt:lpstr>
      <vt:lpstr>#159</vt:lpstr>
      <vt:lpstr>#52</vt:lpstr>
      <vt:lpstr>#10</vt:lpstr>
      <vt:lpstr>#78</vt:lpstr>
      <vt:lpstr>#148</vt:lpstr>
      <vt:lpstr>#13</vt:lpstr>
      <vt:lpstr>#101</vt:lpstr>
      <vt:lpstr>#26</vt:lpstr>
      <vt:lpstr>#33</vt:lpstr>
      <vt:lpstr>#50</vt:lpstr>
      <vt:lpstr>#89</vt:lpstr>
      <vt:lpstr>#135</vt:lpstr>
      <vt:lpstr>#63</vt:lpstr>
      <vt:lpstr>#47</vt:lpstr>
      <vt:lpstr>#42</vt:lpstr>
      <vt:lpstr>#45</vt:lpstr>
      <vt:lpstr>#69</vt:lpstr>
      <vt:lpstr>#93</vt:lpstr>
      <vt:lpstr>#93 (2)</vt:lpstr>
      <vt:lpstr>#24</vt:lpstr>
      <vt:lpstr>#74</vt:lpstr>
      <vt:lpstr>#75</vt:lpstr>
      <vt:lpstr>#150</vt:lpstr>
      <vt:lpstr>#81</vt:lpstr>
      <vt:lpstr>#133</vt:lpstr>
      <vt:lpstr>#44</vt:lpstr>
      <vt:lpstr>#91</vt:lpstr>
      <vt:lpstr>#27</vt:lpstr>
      <vt:lpstr>#15</vt:lpstr>
      <vt:lpstr>#16</vt:lpstr>
      <vt:lpstr>#17</vt:lpstr>
      <vt:lpstr>#48</vt:lpstr>
      <vt:lpstr>#49</vt:lpstr>
      <vt:lpstr>#36</vt:lpstr>
      <vt:lpstr>#56</vt:lpstr>
      <vt:lpstr>#55</vt:lpstr>
      <vt:lpstr>#54</vt:lpstr>
      <vt:lpstr>#92</vt:lpstr>
      <vt:lpstr>#79</vt:lpstr>
      <vt:lpstr>#186</vt:lpstr>
      <vt:lpstr>#66</vt:lpstr>
      <vt:lpstr>#28</vt:lpstr>
      <vt:lpstr>#29</vt:lpstr>
      <vt:lpstr>#105</vt:lpstr>
      <vt:lpstr>#67</vt:lpstr>
      <vt:lpstr>#20</vt:lpstr>
      <vt:lpstr>#65</vt:lpstr>
      <vt:lpstr>#124</vt:lpstr>
      <vt:lpstr>#121</vt:lpstr>
      <vt:lpstr>#41</vt:lpstr>
      <vt:lpstr>#40</vt:lpstr>
      <vt:lpstr>#68</vt:lpstr>
      <vt:lpstr>#59</vt:lpstr>
      <vt:lpstr>#128</vt:lpstr>
      <vt:lpstr>#95</vt:lpstr>
      <vt:lpstr>#130</vt:lpstr>
      <vt:lpstr>#131</vt:lpstr>
      <vt:lpstr>#39</vt:lpstr>
      <vt:lpstr>#114</vt:lpstr>
      <vt:lpstr>#158</vt:lpstr>
      <vt:lpstr>#160</vt:lpstr>
      <vt:lpstr>#126</vt:lpstr>
      <vt:lpstr>#151</vt:lpstr>
      <vt:lpstr>#156</vt:lpstr>
      <vt:lpstr>#123</vt:lpstr>
      <vt:lpstr>#09</vt:lpstr>
      <vt:lpstr>#149</vt:lpstr>
      <vt:lpstr>#144</vt:lpstr>
      <vt:lpstr>#142</vt:lpstr>
      <vt:lpstr>#43</vt:lpstr>
      <vt:lpstr>#46</vt:lpstr>
      <vt:lpstr>#138</vt:lpstr>
      <vt:lpstr>#137</vt:lpstr>
      <vt:lpstr>#139</vt:lpstr>
      <vt:lpstr>#140</vt:lpstr>
      <vt:lpstr>#141</vt:lpstr>
      <vt:lpstr>#143</vt:lpstr>
      <vt:lpstr>#111</vt:lpstr>
      <vt:lpstr>#51</vt:lpstr>
      <vt:lpstr>#122</vt:lpstr>
      <vt:lpstr>#31</vt:lpstr>
      <vt:lpstr>#115</vt:lpstr>
      <vt:lpstr>#32</vt:lpstr>
      <vt:lpstr>#53</vt:lpstr>
      <vt:lpstr>#97</vt:lpstr>
      <vt:lpstr>#110</vt:lpstr>
      <vt:lpstr>#116</vt:lpstr>
      <vt:lpstr>#129</vt:lpstr>
      <vt:lpstr>#30</vt:lpstr>
      <vt:lpstr>#57</vt:lpstr>
      <vt:lpstr>#109</vt:lpstr>
      <vt:lpstr>#132</vt:lpstr>
      <vt:lpstr>#01</vt:lpstr>
      <vt:lpstr>#11</vt:lpstr>
      <vt:lpstr>#76</vt:lpstr>
      <vt:lpstr>#77</vt:lpstr>
      <vt:lpstr>#102</vt:lpstr>
      <vt:lpstr>#127</vt:lpstr>
      <vt:lpstr>#134</vt:lpstr>
      <vt:lpstr>#05</vt:lpstr>
      <vt:lpstr>#72</vt:lpstr>
      <vt:lpstr>#96</vt:lpstr>
      <vt:lpstr>#73</vt:lpstr>
      <vt:lpstr>#103</vt:lpstr>
      <vt:lpstr>#136</vt:lpstr>
      <vt:lpstr>#60</vt:lpstr>
      <vt:lpstr>#99</vt:lpstr>
      <vt:lpstr>#113</vt:lpstr>
      <vt:lpstr>STAFF</vt:lpstr>
      <vt:lpstr>#06</vt:lpstr>
      <vt:lpstr>#07</vt:lpstr>
      <vt:lpstr>#12</vt:lpstr>
      <vt:lpstr>#14</vt:lpstr>
      <vt:lpstr>#19</vt:lpstr>
      <vt:lpstr>#22</vt:lpstr>
      <vt:lpstr>#35</vt:lpstr>
      <vt:lpstr>#37</vt:lpstr>
      <vt:lpstr>#38</vt:lpstr>
      <vt:lpstr>#62</vt:lpstr>
      <vt:lpstr>#70</vt:lpstr>
      <vt:lpstr>#87</vt:lpstr>
      <vt:lpstr>#100</vt:lpstr>
      <vt:lpstr>#104</vt:lpstr>
      <vt:lpstr>#118</vt:lpstr>
      <vt:lpstr>#106</vt:lpstr>
      <vt:lpstr>#107</vt:lpstr>
      <vt:lpstr>#112</vt:lpstr>
      <vt:lpstr>#119</vt:lpstr>
      <vt:lpstr>#120</vt:lpstr>
      <vt:lpstr>#125</vt:lpstr>
      <vt:lpstr>#146</vt:lpstr>
      <vt:lpstr>#147</vt:lpstr>
      <vt:lpstr>sEFONG</vt:lpstr>
      <vt:lpstr>Ally</vt:lpstr>
      <vt:lpstr>'#01'!Print_Area</vt:lpstr>
      <vt:lpstr>'#02'!Print_Area</vt:lpstr>
      <vt:lpstr>'#03'!Print_Area</vt:lpstr>
      <vt:lpstr>'#04'!Print_Area</vt:lpstr>
      <vt:lpstr>'#04-33 Picking List'!Print_Area</vt:lpstr>
      <vt:lpstr>'#04-36 Picking List'!Print_Area</vt:lpstr>
      <vt:lpstr>'#05'!Print_Area</vt:lpstr>
      <vt:lpstr>'#06'!Print_Area</vt:lpstr>
      <vt:lpstr>'#07'!Print_Area</vt:lpstr>
      <vt:lpstr>'#08'!Print_Area</vt:lpstr>
      <vt:lpstr>'#09'!Print_Area</vt:lpstr>
      <vt:lpstr>'#10'!Print_Area</vt:lpstr>
      <vt:lpstr>'#100'!Print_Area</vt:lpstr>
      <vt:lpstr>'#101'!Print_Area</vt:lpstr>
      <vt:lpstr>'#102'!Print_Area</vt:lpstr>
      <vt:lpstr>'#103'!Print_Area</vt:lpstr>
      <vt:lpstr>'#104'!Print_Area</vt:lpstr>
      <vt:lpstr>'#105'!Print_Area</vt:lpstr>
      <vt:lpstr>'#106'!Print_Area</vt:lpstr>
      <vt:lpstr>'#107'!Print_Area</vt:lpstr>
      <vt:lpstr>'#109'!Print_Area</vt:lpstr>
      <vt:lpstr>'#11'!Print_Area</vt:lpstr>
      <vt:lpstr>'#110'!Print_Area</vt:lpstr>
      <vt:lpstr>'#111'!Print_Area</vt:lpstr>
      <vt:lpstr>'#112'!Print_Area</vt:lpstr>
      <vt:lpstr>'#113'!Print_Area</vt:lpstr>
      <vt:lpstr>'#114'!Print_Area</vt:lpstr>
      <vt:lpstr>'#115'!Print_Area</vt:lpstr>
      <vt:lpstr>'#116'!Print_Area</vt:lpstr>
      <vt:lpstr>'#118'!Print_Area</vt:lpstr>
      <vt:lpstr>'#119'!Print_Area</vt:lpstr>
      <vt:lpstr>'#12'!Print_Area</vt:lpstr>
      <vt:lpstr>'#120'!Print_Area</vt:lpstr>
      <vt:lpstr>'#121'!Print_Area</vt:lpstr>
      <vt:lpstr>'#122'!Print_Area</vt:lpstr>
      <vt:lpstr>'#123'!Print_Area</vt:lpstr>
      <vt:lpstr>'#124'!Print_Area</vt:lpstr>
      <vt:lpstr>'#125'!Print_Area</vt:lpstr>
      <vt:lpstr>'#126'!Print_Area</vt:lpstr>
      <vt:lpstr>'#127'!Print_Area</vt:lpstr>
      <vt:lpstr>'#128'!Print_Area</vt:lpstr>
      <vt:lpstr>'#129'!Print_Area</vt:lpstr>
      <vt:lpstr>'#13'!Print_Area</vt:lpstr>
      <vt:lpstr>'#130'!Print_Area</vt:lpstr>
      <vt:lpstr>'#131'!Print_Area</vt:lpstr>
      <vt:lpstr>'#132'!Print_Area</vt:lpstr>
      <vt:lpstr>'#133'!Print_Area</vt:lpstr>
      <vt:lpstr>'#134'!Print_Area</vt:lpstr>
      <vt:lpstr>'#135'!Print_Area</vt:lpstr>
      <vt:lpstr>'#136'!Print_Area</vt:lpstr>
      <vt:lpstr>'#137'!Print_Area</vt:lpstr>
      <vt:lpstr>'#138'!Print_Area</vt:lpstr>
      <vt:lpstr>'#139'!Print_Area</vt:lpstr>
      <vt:lpstr>'#14'!Print_Area</vt:lpstr>
      <vt:lpstr>'#140'!Print_Area</vt:lpstr>
      <vt:lpstr>'#141'!Print_Area</vt:lpstr>
      <vt:lpstr>'#142'!Print_Area</vt:lpstr>
      <vt:lpstr>'#143'!Print_Area</vt:lpstr>
      <vt:lpstr>'#144'!Print_Area</vt:lpstr>
      <vt:lpstr>'#145'!Print_Area</vt:lpstr>
      <vt:lpstr>'#146'!Print_Area</vt:lpstr>
      <vt:lpstr>'#147'!Print_Area</vt:lpstr>
      <vt:lpstr>'#148'!Print_Area</vt:lpstr>
      <vt:lpstr>'#149'!Print_Area</vt:lpstr>
      <vt:lpstr>'#15'!Print_Area</vt:lpstr>
      <vt:lpstr>'#150'!Print_Area</vt:lpstr>
      <vt:lpstr>'#151'!Print_Area</vt:lpstr>
      <vt:lpstr>'#152'!Print_Area</vt:lpstr>
      <vt:lpstr>'#153'!Print_Area</vt:lpstr>
      <vt:lpstr>'#154'!Print_Area</vt:lpstr>
      <vt:lpstr>'#155'!Print_Area</vt:lpstr>
      <vt:lpstr>'#156'!Print_Area</vt:lpstr>
      <vt:lpstr>'#157'!Print_Area</vt:lpstr>
      <vt:lpstr>'#157 (2)'!Print_Area</vt:lpstr>
      <vt:lpstr>'#158'!Print_Area</vt:lpstr>
      <vt:lpstr>'#159'!Print_Area</vt:lpstr>
      <vt:lpstr>'#16'!Print_Area</vt:lpstr>
      <vt:lpstr>'#160'!Print_Area</vt:lpstr>
      <vt:lpstr>'#161'!Print_Area</vt:lpstr>
      <vt:lpstr>'#162'!Print_Area</vt:lpstr>
      <vt:lpstr>'#163'!Print_Area</vt:lpstr>
      <vt:lpstr>'#164'!Print_Area</vt:lpstr>
      <vt:lpstr>'#165'!Print_Area</vt:lpstr>
      <vt:lpstr>'#166'!Print_Area</vt:lpstr>
      <vt:lpstr>'#168'!Print_Area</vt:lpstr>
      <vt:lpstr>'#169'!Print_Area</vt:lpstr>
      <vt:lpstr>'#17'!Print_Area</vt:lpstr>
      <vt:lpstr>'#170'!Print_Area</vt:lpstr>
      <vt:lpstr>'#171'!Print_Area</vt:lpstr>
      <vt:lpstr>'#172'!Print_Area</vt:lpstr>
      <vt:lpstr>'#173'!Print_Area</vt:lpstr>
      <vt:lpstr>'#174'!Print_Area</vt:lpstr>
      <vt:lpstr>'#175'!Print_Area</vt:lpstr>
      <vt:lpstr>'#176'!Print_Area</vt:lpstr>
      <vt:lpstr>'#178'!Print_Area</vt:lpstr>
      <vt:lpstr>'#179'!Print_Area</vt:lpstr>
      <vt:lpstr>'#18'!Print_Area</vt:lpstr>
      <vt:lpstr>'#180'!Print_Area</vt:lpstr>
      <vt:lpstr>'#181'!Print_Area</vt:lpstr>
      <vt:lpstr>'#181 (2)'!Print_Area</vt:lpstr>
      <vt:lpstr>'#182'!Print_Area</vt:lpstr>
      <vt:lpstr>'#183'!Print_Area</vt:lpstr>
      <vt:lpstr>'#184'!Print_Area</vt:lpstr>
      <vt:lpstr>'#185'!Print_Area</vt:lpstr>
      <vt:lpstr>'#186'!Print_Area</vt:lpstr>
      <vt:lpstr>'#187'!Print_Area</vt:lpstr>
      <vt:lpstr>'#188'!Print_Area</vt:lpstr>
      <vt:lpstr>'#189'!Print_Area</vt:lpstr>
      <vt:lpstr>'#19'!Print_Area</vt:lpstr>
      <vt:lpstr>'#190'!Print_Area</vt:lpstr>
      <vt:lpstr>'#191'!Print_Area</vt:lpstr>
      <vt:lpstr>'#192'!Print_Area</vt:lpstr>
      <vt:lpstr>'#193'!Print_Area</vt:lpstr>
      <vt:lpstr>'#194'!Print_Area</vt:lpstr>
      <vt:lpstr>'#195'!Print_Area</vt:lpstr>
      <vt:lpstr>'#196'!Print_Area</vt:lpstr>
      <vt:lpstr>'#197'!Print_Area</vt:lpstr>
      <vt:lpstr>'#20'!Print_Area</vt:lpstr>
      <vt:lpstr>'#21'!Print_Area</vt:lpstr>
      <vt:lpstr>'#22'!Print_Area</vt:lpstr>
      <vt:lpstr>'#24'!Print_Area</vt:lpstr>
      <vt:lpstr>'#25'!Print_Area</vt:lpstr>
      <vt:lpstr>'#26'!Print_Area</vt:lpstr>
      <vt:lpstr>'#27'!Print_Area</vt:lpstr>
      <vt:lpstr>'#28'!Print_Area</vt:lpstr>
      <vt:lpstr>'#29'!Print_Area</vt:lpstr>
      <vt:lpstr>'#30'!Print_Area</vt:lpstr>
      <vt:lpstr>'#31'!Print_Area</vt:lpstr>
      <vt:lpstr>'#32'!Print_Area</vt:lpstr>
      <vt:lpstr>'#33'!Print_Area</vt:lpstr>
      <vt:lpstr>'#34'!Print_Area</vt:lpstr>
      <vt:lpstr>'#35'!Print_Area</vt:lpstr>
      <vt:lpstr>'#36'!Print_Area</vt:lpstr>
      <vt:lpstr>'#37'!Print_Area</vt:lpstr>
      <vt:lpstr>'#38'!Print_Area</vt:lpstr>
      <vt:lpstr>'#39'!Print_Area</vt:lpstr>
      <vt:lpstr>'#40'!Print_Area</vt:lpstr>
      <vt:lpstr>'#41'!Print_Area</vt:lpstr>
      <vt:lpstr>'#42'!Print_Area</vt:lpstr>
      <vt:lpstr>'#43'!Print_Area</vt:lpstr>
      <vt:lpstr>'#44'!Print_Area</vt:lpstr>
      <vt:lpstr>'#45'!Print_Area</vt:lpstr>
      <vt:lpstr>'#46'!Print_Area</vt:lpstr>
      <vt:lpstr>'#47'!Print_Area</vt:lpstr>
      <vt:lpstr>'#48'!Print_Area</vt:lpstr>
      <vt:lpstr>'#49'!Print_Area</vt:lpstr>
      <vt:lpstr>'#50'!Print_Area</vt:lpstr>
      <vt:lpstr>'#51'!Print_Area</vt:lpstr>
      <vt:lpstr>'#52'!Print_Area</vt:lpstr>
      <vt:lpstr>'#53'!Print_Area</vt:lpstr>
      <vt:lpstr>'#54'!Print_Area</vt:lpstr>
      <vt:lpstr>'#55'!Print_Area</vt:lpstr>
      <vt:lpstr>'#56'!Print_Area</vt:lpstr>
      <vt:lpstr>'#57'!Print_Area</vt:lpstr>
      <vt:lpstr>'#58'!Print_Area</vt:lpstr>
      <vt:lpstr>'#59'!Print_Area</vt:lpstr>
      <vt:lpstr>'#60'!Print_Area</vt:lpstr>
      <vt:lpstr>'#61'!Print_Area</vt:lpstr>
      <vt:lpstr>'#62'!Print_Area</vt:lpstr>
      <vt:lpstr>'#63'!Print_Area</vt:lpstr>
      <vt:lpstr>'#64'!Print_Area</vt:lpstr>
      <vt:lpstr>'#65'!Print_Area</vt:lpstr>
      <vt:lpstr>'#66'!Print_Area</vt:lpstr>
      <vt:lpstr>'#67'!Print_Area</vt:lpstr>
      <vt:lpstr>'#68'!Print_Area</vt:lpstr>
      <vt:lpstr>'#69'!Print_Area</vt:lpstr>
      <vt:lpstr>'#70'!Print_Area</vt:lpstr>
      <vt:lpstr>'#71'!Print_Area</vt:lpstr>
      <vt:lpstr>'#72'!Print_Area</vt:lpstr>
      <vt:lpstr>'#73'!Print_Area</vt:lpstr>
      <vt:lpstr>'#74'!Print_Area</vt:lpstr>
      <vt:lpstr>'#75'!Print_Area</vt:lpstr>
      <vt:lpstr>'#76'!Print_Area</vt:lpstr>
      <vt:lpstr>'#77'!Print_Area</vt:lpstr>
      <vt:lpstr>'#78'!Print_Area</vt:lpstr>
      <vt:lpstr>'#79'!Print_Area</vt:lpstr>
      <vt:lpstr>'#80'!Print_Area</vt:lpstr>
      <vt:lpstr>'#81'!Print_Area</vt:lpstr>
      <vt:lpstr>'#84'!Print_Area</vt:lpstr>
      <vt:lpstr>'#85'!Print_Area</vt:lpstr>
      <vt:lpstr>'#86'!Print_Area</vt:lpstr>
      <vt:lpstr>'#87'!Print_Area</vt:lpstr>
      <vt:lpstr>'#88'!Print_Area</vt:lpstr>
      <vt:lpstr>'#88 (2)'!Print_Area</vt:lpstr>
      <vt:lpstr>'#89'!Print_Area</vt:lpstr>
      <vt:lpstr>'#90'!Print_Area</vt:lpstr>
      <vt:lpstr>'#91'!Print_Area</vt:lpstr>
      <vt:lpstr>'#92'!Print_Area</vt:lpstr>
      <vt:lpstr>'#93'!Print_Area</vt:lpstr>
      <vt:lpstr>'#93 (2)'!Print_Area</vt:lpstr>
      <vt:lpstr>'#94'!Print_Area</vt:lpstr>
      <vt:lpstr>'#95'!Print_Area</vt:lpstr>
      <vt:lpstr>'#96'!Print_Area</vt:lpstr>
      <vt:lpstr>'#97'!Print_Area</vt:lpstr>
      <vt:lpstr>'#99'!Print_Area</vt:lpstr>
      <vt:lpstr>Ally!Print_Area</vt:lpstr>
      <vt:lpstr>'BLK 248'!Print_Area</vt:lpstr>
      <vt:lpstr>'Delivery Location'!Print_Area</vt:lpstr>
      <vt:lpstr>FOODGLE!Print_Area</vt:lpstr>
      <vt:lpstr>'NY LIST'!Print_Area</vt:lpstr>
      <vt:lpstr>'ORDER LIST'!Print_Area</vt:lpstr>
      <vt:lpstr>'order list new'!Print_Area</vt:lpstr>
      <vt:lpstr>'Product Master'!Print_Area</vt:lpstr>
      <vt:lpstr>'Sales Master'!Print_Area</vt:lpstr>
      <vt:lpstr>SAMPLE!Print_Area</vt:lpstr>
      <vt:lpstr>sEFONG!Print_Area</vt:lpstr>
      <vt:lpstr>STAFF!Print_Area</vt:lpstr>
      <vt:lpstr>'Teck Wah'!Print_Area</vt:lpstr>
      <vt:lpstr>'Yuan Yuan'!Print_Area</vt:lpstr>
      <vt:lpstr>'好运 '!Print_Area</vt:lpstr>
      <vt:lpstr>'Sales Master'!Print_Titles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desse</cp:lastModifiedBy>
  <cp:lastPrinted>2022-10-01T04:18:39Z</cp:lastPrinted>
  <dcterms:created xsi:type="dcterms:W3CDTF">2015-06-05T18:17:20Z</dcterms:created>
  <dcterms:modified xsi:type="dcterms:W3CDTF">2022-10-01T04:26:58Z</dcterms:modified>
</cp:coreProperties>
</file>